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195" windowWidth="5025" windowHeight="9015" tabRatio="943" activeTab="1"/>
  </bookViews>
  <sheets>
    <sheet name="Kalend" sheetId="22" r:id="rId1"/>
    <sheet name="Üldreiting" sheetId="1" r:id="rId2"/>
    <sheet name="1" sheetId="50" r:id="rId3"/>
    <sheet name="2" sheetId="53" r:id="rId4"/>
    <sheet name="3" sheetId="43" r:id="rId5"/>
    <sheet name="4" sheetId="69" r:id="rId6"/>
    <sheet name="5" sheetId="76" r:id="rId7"/>
    <sheet name="6" sheetId="75" r:id="rId8"/>
    <sheet name="Kl-S" sheetId="77" r:id="rId9"/>
    <sheet name="7" sheetId="79" r:id="rId10"/>
    <sheet name="8" sheetId="81" r:id="rId11"/>
    <sheet name="9" sheetId="84" r:id="rId12"/>
    <sheet name="9b" sheetId="82" r:id="rId13"/>
    <sheet name="10" sheetId="90" r:id="rId14"/>
    <sheet name="11" sheetId="85" r:id="rId15"/>
    <sheet name="nalja" sheetId="93" r:id="rId16"/>
    <sheet name="Reg-Fin" sheetId="94" r:id="rId17"/>
    <sheet name="Juhend" sheetId="14" r:id="rId18"/>
    <sheet name="Üldjuhend" sheetId="46" r:id="rId19"/>
    <sheet name="Reg. karikas" sheetId="21" r:id="rId20"/>
    <sheet name="Klubide sari" sheetId="29" r:id="rId21"/>
    <sheet name="Klubide karikas" sheetId="45" r:id="rId22"/>
    <sheet name="6-8" sheetId="54" r:id="rId23"/>
    <sheet name="9-10" sheetId="68" r:id="rId24"/>
    <sheet name=".11" sheetId="51" r:id="rId25"/>
    <sheet name="12-16" sheetId="47" r:id="rId26"/>
    <sheet name="17-32" sheetId="44" r:id="rId27"/>
    <sheet name="ETAPP" sheetId="70" r:id="rId28"/>
    <sheet name="PUNKTID" sheetId="71" r:id="rId29"/>
    <sheet name="P-EV" sheetId="72" r:id="rId30"/>
    <sheet name="val" sheetId="74" r:id="rId31"/>
  </sheets>
  <definedNames>
    <definedName name="_xlnm._FilterDatabase" localSheetId="0" hidden="1">Kalend!$A$4:$H$35</definedName>
    <definedName name="_xlnm._FilterDatabase" localSheetId="1" hidden="1">Üldreiting!$A$8:$AJ$109</definedName>
    <definedName name="Nimed" localSheetId="24">#REF!</definedName>
    <definedName name="Nimed" localSheetId="2">#REF!</definedName>
    <definedName name="Nimed" localSheetId="13">#REF!</definedName>
    <definedName name="Nimed" localSheetId="14">#REF!</definedName>
    <definedName name="Nimed" localSheetId="25">#REF!</definedName>
    <definedName name="Nimed" localSheetId="26">#REF!</definedName>
    <definedName name="Nimed" localSheetId="3">#REF!</definedName>
    <definedName name="Nimed" localSheetId="4">#REF!</definedName>
    <definedName name="Nimed" localSheetId="5">#REF!</definedName>
    <definedName name="Nimed" localSheetId="6">#REF!</definedName>
    <definedName name="Nimed" localSheetId="7">#REF!</definedName>
    <definedName name="Nimed" localSheetId="22">#REF!</definedName>
    <definedName name="Nimed" localSheetId="9">#REF!</definedName>
    <definedName name="Nimed" localSheetId="10">#REF!</definedName>
    <definedName name="Nimed" localSheetId="11">#REF!</definedName>
    <definedName name="Nimed" localSheetId="23">#REF!</definedName>
    <definedName name="Nimed" localSheetId="12">#REF!</definedName>
    <definedName name="Nimed" localSheetId="8">#REF!</definedName>
    <definedName name="Nimed" localSheetId="21">#REF!</definedName>
    <definedName name="Nimed" localSheetId="15">#REF!</definedName>
    <definedName name="Nimed" localSheetId="16">#REF!</definedName>
    <definedName name="Nimed" localSheetId="18">#REF!</definedName>
    <definedName name="Nimed">#REF!</definedName>
    <definedName name="_xlnm.Print_Area" localSheetId="13">'10'!$A$1:$I$310</definedName>
    <definedName name="_xlnm.Print_Area" localSheetId="14">'11'!$A$1:$Y$312</definedName>
    <definedName name="_xlnm.Print_Area" localSheetId="22">'6-8'!$A$1:$J$307</definedName>
    <definedName name="_xlnm.Print_Area" localSheetId="9">'7'!$A$1:$I$309</definedName>
    <definedName name="_xlnm.Print_Area" localSheetId="10">'8'!$A$1:$I$310</definedName>
    <definedName name="_xlnm.Print_Area" localSheetId="23">'9-10'!$A$1:$L$309</definedName>
    <definedName name="_xlnm.Print_Area" localSheetId="8">'Kl-S'!$A$1:$N$69</definedName>
    <definedName name="_xlnm.Print_Area" localSheetId="16">'Reg-Fin'!$A$1:$L$27</definedName>
    <definedName name="_xlnm.Print_Area" localSheetId="18">Üldjuhend!$A$1:$A$166</definedName>
    <definedName name="_xlnm.Print_Titles" localSheetId="24">'.11'!$1:$2</definedName>
    <definedName name="_xlnm.Print_Titles" localSheetId="2">'1'!$1:$2</definedName>
    <definedName name="_xlnm.Print_Titles" localSheetId="13">'10'!$1:$2</definedName>
    <definedName name="_xlnm.Print_Titles" localSheetId="14">'11'!$1:$2</definedName>
    <definedName name="_xlnm.Print_Titles" localSheetId="25">'12-16'!$1:$2</definedName>
    <definedName name="_xlnm.Print_Titles" localSheetId="26">'17-32'!$1:$2</definedName>
    <definedName name="_xlnm.Print_Titles" localSheetId="3">'2'!$1:$2</definedName>
    <definedName name="_xlnm.Print_Titles" localSheetId="4">'3'!$1:$2</definedName>
    <definedName name="_xlnm.Print_Titles" localSheetId="5">'4'!$1:$2</definedName>
    <definedName name="_xlnm.Print_Titles" localSheetId="6">'5'!$1:$2</definedName>
    <definedName name="_xlnm.Print_Titles" localSheetId="7">'6'!$1:$2</definedName>
    <definedName name="_xlnm.Print_Titles" localSheetId="22">'6-8'!$1:$2</definedName>
    <definedName name="_xlnm.Print_Titles" localSheetId="9">'7'!$1:$2</definedName>
    <definedName name="_xlnm.Print_Titles" localSheetId="10">'8'!$1:$2</definedName>
    <definedName name="_xlnm.Print_Titles" localSheetId="11">'9'!$1:$7</definedName>
    <definedName name="_xlnm.Print_Titles" localSheetId="23">'9-10'!$1:$2</definedName>
    <definedName name="_xlnm.Print_Titles" localSheetId="12">'9b'!$1:$2</definedName>
    <definedName name="_xlnm.Print_Titles" localSheetId="0">Kalend!$1:$1</definedName>
    <definedName name="_xlnm.Print_Titles" localSheetId="8">'Kl-S'!$1:$2</definedName>
    <definedName name="_xlnm.Print_Titles" localSheetId="15">nalja!$1:$2</definedName>
    <definedName name="_xlnm.Print_Titles" localSheetId="16">'Reg-Fin'!$1:$2</definedName>
    <definedName name="_xlnm.Print_Titles" localSheetId="1">Üldreiting!$1:$8</definedName>
    <definedName name="sd" localSheetId="24">#REF!</definedName>
    <definedName name="sd" localSheetId="2">#REF!</definedName>
    <definedName name="sd" localSheetId="13">#REF!</definedName>
    <definedName name="sd" localSheetId="14">#REF!</definedName>
    <definedName name="sd" localSheetId="25">#REF!</definedName>
    <definedName name="sd" localSheetId="26">#REF!</definedName>
    <definedName name="sd" localSheetId="3">#REF!</definedName>
    <definedName name="sd" localSheetId="4">#REF!</definedName>
    <definedName name="sd" localSheetId="5">#REF!</definedName>
    <definedName name="sd" localSheetId="6">#REF!</definedName>
    <definedName name="sd" localSheetId="7">#REF!</definedName>
    <definedName name="sd" localSheetId="22">#REF!</definedName>
    <definedName name="sd" localSheetId="9">#REF!</definedName>
    <definedName name="sd" localSheetId="10">#REF!</definedName>
    <definedName name="sd" localSheetId="11">#REF!</definedName>
    <definedName name="sd" localSheetId="23">#REF!</definedName>
    <definedName name="sd" localSheetId="12">#REF!</definedName>
    <definedName name="sd" localSheetId="8">#REF!</definedName>
    <definedName name="sd" localSheetId="21">#REF!</definedName>
    <definedName name="sd" localSheetId="15">#REF!</definedName>
    <definedName name="sd" localSheetId="16">#REF!</definedName>
    <definedName name="sd" localSheetId="18">#REF!</definedName>
    <definedName name="sd">#REF!</definedName>
  </definedNames>
  <calcPr calcId="145621"/>
</workbook>
</file>

<file path=xl/calcChain.xml><?xml version="1.0" encoding="utf-8"?>
<calcChain xmlns="http://schemas.openxmlformats.org/spreadsheetml/2006/main">
  <c r="AN10" i="1" l="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9" i="1"/>
  <c r="AE10" i="1" l="1"/>
  <c r="F30" i="22" l="1"/>
  <c r="F17" i="22"/>
  <c r="F16" i="22"/>
  <c r="F12" i="22"/>
  <c r="A4" i="94" l="1"/>
  <c r="A2" i="94"/>
  <c r="E36" i="22"/>
  <c r="A1" i="94" s="1"/>
  <c r="H1" i="94"/>
  <c r="E1" i="94"/>
  <c r="C36" i="22"/>
  <c r="C30" i="22"/>
  <c r="C27" i="22"/>
  <c r="C25" i="22"/>
  <c r="C23" i="22"/>
  <c r="C22" i="22"/>
  <c r="C21" i="22"/>
  <c r="C20" i="22"/>
  <c r="C14" i="22"/>
  <c r="C12" i="22"/>
  <c r="C8" i="22"/>
  <c r="J1" i="93" l="1"/>
  <c r="G1" i="93"/>
  <c r="A4" i="93"/>
  <c r="A2" i="93"/>
  <c r="E35" i="22"/>
  <c r="J72" i="93"/>
  <c r="I72" i="93"/>
  <c r="J71" i="93"/>
  <c r="I71" i="93"/>
  <c r="J70" i="93"/>
  <c r="I70" i="93"/>
  <c r="J69" i="93"/>
  <c r="I69" i="93"/>
  <c r="J68" i="93"/>
  <c r="I68" i="93"/>
  <c r="J67" i="93"/>
  <c r="I67" i="93"/>
  <c r="J66" i="93"/>
  <c r="I66" i="93"/>
  <c r="J65" i="93"/>
  <c r="I65" i="93"/>
  <c r="J64" i="93"/>
  <c r="I64" i="93"/>
  <c r="J63" i="93"/>
  <c r="I63" i="93"/>
  <c r="J62" i="93"/>
  <c r="I62" i="93"/>
  <c r="J61" i="93"/>
  <c r="I61" i="93"/>
  <c r="J60" i="93"/>
  <c r="I60" i="93"/>
  <c r="J59" i="93"/>
  <c r="I59" i="93"/>
  <c r="J58" i="93"/>
  <c r="I58" i="93"/>
  <c r="J57" i="93"/>
  <c r="I57" i="93"/>
  <c r="J56" i="93"/>
  <c r="I56" i="93"/>
  <c r="J55" i="93"/>
  <c r="I55" i="93"/>
  <c r="J54" i="93"/>
  <c r="I54" i="93"/>
  <c r="J53" i="93"/>
  <c r="I53" i="93"/>
  <c r="J52" i="93"/>
  <c r="I52" i="93"/>
  <c r="J51" i="93"/>
  <c r="I51" i="93"/>
  <c r="J50" i="93"/>
  <c r="I50" i="93"/>
  <c r="J49" i="93"/>
  <c r="I49" i="93"/>
  <c r="J48" i="93"/>
  <c r="I48" i="93"/>
  <c r="J47" i="93"/>
  <c r="I47" i="93"/>
  <c r="J46" i="93"/>
  <c r="I46" i="93"/>
  <c r="J45" i="93"/>
  <c r="I45" i="93"/>
  <c r="E18" i="22" l="1"/>
  <c r="F10" i="1" l="1"/>
  <c r="E10" i="1" s="1"/>
  <c r="F11" i="1"/>
  <c r="E11" i="1" s="1"/>
  <c r="F12" i="1"/>
  <c r="E12" i="1" s="1"/>
  <c r="F13" i="1"/>
  <c r="E13" i="1" s="1"/>
  <c r="F14" i="1"/>
  <c r="E14" i="1" s="1"/>
  <c r="F15" i="1"/>
  <c r="E15" i="1" s="1"/>
  <c r="F16" i="1"/>
  <c r="E16" i="1" s="1"/>
  <c r="F17" i="1"/>
  <c r="E17" i="1" s="1"/>
  <c r="F18" i="1"/>
  <c r="E18" i="1" s="1"/>
  <c r="F19" i="1"/>
  <c r="E19" i="1" s="1"/>
  <c r="F20" i="1"/>
  <c r="E20" i="1" s="1"/>
  <c r="F21" i="1"/>
  <c r="E21" i="1" s="1"/>
  <c r="F22" i="1"/>
  <c r="E22" i="1" s="1"/>
  <c r="F23" i="1"/>
  <c r="E23" i="1" s="1"/>
  <c r="F24" i="1"/>
  <c r="E24" i="1" s="1"/>
  <c r="F25" i="1"/>
  <c r="E25" i="1" s="1"/>
  <c r="F26" i="1"/>
  <c r="E26" i="1" s="1"/>
  <c r="F27" i="1"/>
  <c r="E27" i="1" s="1"/>
  <c r="F28" i="1"/>
  <c r="E28" i="1" s="1"/>
  <c r="F29" i="1"/>
  <c r="E29" i="1" s="1"/>
  <c r="F30" i="1"/>
  <c r="E30" i="1" s="1"/>
  <c r="F31" i="1"/>
  <c r="E31" i="1" s="1"/>
  <c r="F32" i="1"/>
  <c r="E32" i="1" s="1"/>
  <c r="F34" i="1"/>
  <c r="E34" i="1" s="1"/>
  <c r="F35" i="1"/>
  <c r="E35" i="1" s="1"/>
  <c r="F36" i="1"/>
  <c r="E36" i="1" s="1"/>
  <c r="F37" i="1"/>
  <c r="E37" i="1" s="1"/>
  <c r="F38" i="1"/>
  <c r="E38" i="1" s="1"/>
  <c r="F39" i="1"/>
  <c r="E39" i="1" s="1"/>
  <c r="F40" i="1"/>
  <c r="E40" i="1" s="1"/>
  <c r="F41" i="1"/>
  <c r="E41" i="1" s="1"/>
  <c r="F42" i="1"/>
  <c r="E42" i="1" s="1"/>
  <c r="F43" i="1"/>
  <c r="E43" i="1" s="1"/>
  <c r="F44" i="1"/>
  <c r="E44" i="1" s="1"/>
  <c r="F45" i="1"/>
  <c r="E45" i="1" s="1"/>
  <c r="F46" i="1"/>
  <c r="E46" i="1" s="1"/>
  <c r="F47" i="1"/>
  <c r="E47" i="1" s="1"/>
  <c r="F49" i="1"/>
  <c r="E49" i="1" s="1"/>
  <c r="F50" i="1"/>
  <c r="E50" i="1" s="1"/>
  <c r="F51" i="1"/>
  <c r="E51" i="1" s="1"/>
  <c r="F52" i="1"/>
  <c r="E52" i="1" s="1"/>
  <c r="F53" i="1"/>
  <c r="E53" i="1" s="1"/>
  <c r="F54" i="1"/>
  <c r="E54" i="1" s="1"/>
  <c r="F55" i="1"/>
  <c r="E55" i="1" s="1"/>
  <c r="F56" i="1"/>
  <c r="E56" i="1" s="1"/>
  <c r="F57" i="1"/>
  <c r="E57" i="1" s="1"/>
  <c r="F58" i="1"/>
  <c r="E58" i="1" s="1"/>
  <c r="F59" i="1"/>
  <c r="E59" i="1" s="1"/>
  <c r="F60" i="1"/>
  <c r="E60" i="1" s="1"/>
  <c r="F61" i="1"/>
  <c r="E61" i="1" s="1"/>
  <c r="F62" i="1"/>
  <c r="E62" i="1" s="1"/>
  <c r="F63" i="1"/>
  <c r="E63" i="1" s="1"/>
  <c r="F64" i="1"/>
  <c r="E64" i="1" s="1"/>
  <c r="F65" i="1"/>
  <c r="E65" i="1" s="1"/>
  <c r="F66" i="1"/>
  <c r="E66" i="1" s="1"/>
  <c r="F67" i="1"/>
  <c r="E67" i="1" s="1"/>
  <c r="F68" i="1"/>
  <c r="E68" i="1" s="1"/>
  <c r="F69" i="1"/>
  <c r="E69" i="1" s="1"/>
  <c r="F70" i="1"/>
  <c r="E70" i="1" s="1"/>
  <c r="F71" i="1"/>
  <c r="E71" i="1" s="1"/>
  <c r="F72" i="1"/>
  <c r="E72" i="1" s="1"/>
  <c r="F73" i="1"/>
  <c r="E73" i="1" s="1"/>
  <c r="F74" i="1"/>
  <c r="E74" i="1" s="1"/>
  <c r="F75" i="1"/>
  <c r="E75" i="1" s="1"/>
  <c r="F76" i="1"/>
  <c r="E76" i="1" s="1"/>
  <c r="F77" i="1"/>
  <c r="E77" i="1" s="1"/>
  <c r="F78" i="1"/>
  <c r="E78" i="1" s="1"/>
  <c r="F79" i="1"/>
  <c r="E79" i="1" s="1"/>
  <c r="F80" i="1"/>
  <c r="E80" i="1" s="1"/>
  <c r="F81" i="1"/>
  <c r="E81" i="1" s="1"/>
  <c r="F82" i="1"/>
  <c r="E82" i="1" s="1"/>
  <c r="F83" i="1"/>
  <c r="E83" i="1" s="1"/>
  <c r="F84" i="1"/>
  <c r="E84" i="1" s="1"/>
  <c r="F86" i="1"/>
  <c r="E86" i="1" s="1"/>
  <c r="F87" i="1"/>
  <c r="E87" i="1" s="1"/>
  <c r="F88" i="1"/>
  <c r="E88" i="1" s="1"/>
  <c r="F89" i="1"/>
  <c r="E89" i="1" s="1"/>
  <c r="F90" i="1"/>
  <c r="E90" i="1" s="1"/>
  <c r="F91" i="1"/>
  <c r="E91" i="1" s="1"/>
  <c r="F92" i="1"/>
  <c r="E92" i="1" s="1"/>
  <c r="F93" i="1"/>
  <c r="E93" i="1" s="1"/>
  <c r="F94" i="1"/>
  <c r="E94" i="1" s="1"/>
  <c r="F95" i="1"/>
  <c r="E95" i="1" s="1"/>
  <c r="F97" i="1"/>
  <c r="E97" i="1" s="1"/>
  <c r="F98" i="1"/>
  <c r="E98" i="1" s="1"/>
  <c r="F99" i="1"/>
  <c r="E99" i="1" s="1"/>
  <c r="F100" i="1"/>
  <c r="E100" i="1" s="1"/>
  <c r="F101" i="1"/>
  <c r="E101" i="1" s="1"/>
  <c r="F102" i="1"/>
  <c r="E102" i="1" s="1"/>
  <c r="F103" i="1"/>
  <c r="E103" i="1" s="1"/>
  <c r="F104" i="1"/>
  <c r="E104" i="1" s="1"/>
  <c r="F105" i="1"/>
  <c r="E105" i="1" s="1"/>
  <c r="F106" i="1"/>
  <c r="E106" i="1" s="1"/>
  <c r="F107" i="1"/>
  <c r="E107" i="1" s="1"/>
  <c r="C10" i="1"/>
  <c r="B10" i="1" s="1"/>
  <c r="C11" i="1"/>
  <c r="B11" i="1" s="1"/>
  <c r="C12" i="1"/>
  <c r="B12" i="1" s="1"/>
  <c r="C13" i="1"/>
  <c r="B13" i="1" s="1"/>
  <c r="C14" i="1"/>
  <c r="B14" i="1" s="1"/>
  <c r="C15" i="1"/>
  <c r="B15" i="1" s="1"/>
  <c r="C16" i="1"/>
  <c r="B16" i="1" s="1"/>
  <c r="C17" i="1"/>
  <c r="B17" i="1" s="1"/>
  <c r="C18" i="1"/>
  <c r="B18" i="1" s="1"/>
  <c r="C19" i="1"/>
  <c r="B19" i="1" s="1"/>
  <c r="C23" i="1"/>
  <c r="B23" i="1" s="1"/>
  <c r="C25" i="1"/>
  <c r="B25" i="1" s="1"/>
  <c r="C26" i="1"/>
  <c r="B26" i="1" s="1"/>
  <c r="C27" i="1"/>
  <c r="B27" i="1" s="1"/>
  <c r="C28" i="1"/>
  <c r="B28" i="1" s="1"/>
  <c r="C29" i="1"/>
  <c r="B29" i="1" s="1"/>
  <c r="C30" i="1"/>
  <c r="B30" i="1" s="1"/>
  <c r="C32" i="1"/>
  <c r="B32" i="1" s="1"/>
  <c r="C33" i="1"/>
  <c r="B33" i="1" s="1"/>
  <c r="C34" i="1"/>
  <c r="B34" i="1" s="1"/>
  <c r="C35" i="1"/>
  <c r="B35" i="1" s="1"/>
  <c r="C37" i="1"/>
  <c r="B37" i="1" s="1"/>
  <c r="C38" i="1"/>
  <c r="B38" i="1" s="1"/>
  <c r="C40" i="1"/>
  <c r="B40" i="1" s="1"/>
  <c r="C42" i="1"/>
  <c r="B42" i="1" s="1"/>
  <c r="C43" i="1"/>
  <c r="B43" i="1" s="1"/>
  <c r="C44" i="1"/>
  <c r="B44" i="1" s="1"/>
  <c r="C45" i="1"/>
  <c r="B45" i="1" s="1"/>
  <c r="C46" i="1"/>
  <c r="B46" i="1" s="1"/>
  <c r="C48" i="1"/>
  <c r="B48" i="1" s="1"/>
  <c r="C49" i="1"/>
  <c r="B49" i="1" s="1"/>
  <c r="C51" i="1"/>
  <c r="B51" i="1" s="1"/>
  <c r="C52" i="1"/>
  <c r="B52" i="1" s="1"/>
  <c r="C53" i="1"/>
  <c r="B53" i="1" s="1"/>
  <c r="C54" i="1"/>
  <c r="B54" i="1" s="1"/>
  <c r="C55" i="1"/>
  <c r="B55" i="1" s="1"/>
  <c r="C56" i="1"/>
  <c r="B56" i="1" s="1"/>
  <c r="C57" i="1"/>
  <c r="B57" i="1" s="1"/>
  <c r="C60" i="1"/>
  <c r="B60" i="1" s="1"/>
  <c r="C61" i="1"/>
  <c r="B61" i="1" s="1"/>
  <c r="C62" i="1"/>
  <c r="B62" i="1" s="1"/>
  <c r="C63" i="1"/>
  <c r="B63" i="1" s="1"/>
  <c r="C67" i="1"/>
  <c r="B67" i="1" s="1"/>
  <c r="C68" i="1"/>
  <c r="B68" i="1" s="1"/>
  <c r="C70" i="1"/>
  <c r="B70" i="1" s="1"/>
  <c r="C71" i="1"/>
  <c r="B71" i="1" s="1"/>
  <c r="C72" i="1"/>
  <c r="B72" i="1" s="1"/>
  <c r="C73" i="1"/>
  <c r="B73" i="1" s="1"/>
  <c r="C77" i="1"/>
  <c r="B77" i="1" s="1"/>
  <c r="C83" i="1"/>
  <c r="B83" i="1" s="1"/>
  <c r="C84" i="1"/>
  <c r="B84" i="1" s="1"/>
  <c r="C85" i="1"/>
  <c r="B85" i="1" s="1"/>
  <c r="C87" i="1"/>
  <c r="B87" i="1" s="1"/>
  <c r="C88" i="1"/>
  <c r="B88" i="1" s="1"/>
  <c r="C89" i="1"/>
  <c r="B89" i="1" s="1"/>
  <c r="C90" i="1"/>
  <c r="B90" i="1" s="1"/>
  <c r="C92" i="1"/>
  <c r="B92" i="1" s="1"/>
  <c r="C94" i="1"/>
  <c r="B94" i="1" s="1"/>
  <c r="C95" i="1"/>
  <c r="B95" i="1" s="1"/>
  <c r="C96" i="1"/>
  <c r="B96" i="1" s="1"/>
  <c r="C97" i="1"/>
  <c r="B97" i="1" s="1"/>
  <c r="C98" i="1"/>
  <c r="B98" i="1" s="1"/>
  <c r="C99" i="1"/>
  <c r="B99" i="1" s="1"/>
  <c r="C100" i="1"/>
  <c r="B100" i="1" s="1"/>
  <c r="C101" i="1"/>
  <c r="B101" i="1" s="1"/>
  <c r="C103" i="1"/>
  <c r="B103" i="1" s="1"/>
  <c r="C104" i="1"/>
  <c r="B104" i="1" s="1"/>
  <c r="C105" i="1"/>
  <c r="B105" i="1" s="1"/>
  <c r="C107" i="1"/>
  <c r="B107" i="1" s="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V10" i="1"/>
  <c r="W10" i="1"/>
  <c r="X10" i="1"/>
  <c r="Y10" i="1"/>
  <c r="Z10" i="1"/>
  <c r="AA10" i="1"/>
  <c r="AB10" i="1"/>
  <c r="AC10" i="1"/>
  <c r="AF10" i="1"/>
  <c r="V11" i="1"/>
  <c r="W11" i="1"/>
  <c r="X11" i="1"/>
  <c r="Y11" i="1"/>
  <c r="Z11" i="1"/>
  <c r="AA11" i="1"/>
  <c r="AB11" i="1"/>
  <c r="AC11" i="1"/>
  <c r="AE11" i="1"/>
  <c r="AF11" i="1"/>
  <c r="V12" i="1"/>
  <c r="W12" i="1"/>
  <c r="X12" i="1"/>
  <c r="Y12" i="1"/>
  <c r="Z12" i="1"/>
  <c r="AA12" i="1"/>
  <c r="AB12" i="1"/>
  <c r="AC12" i="1"/>
  <c r="AE12" i="1"/>
  <c r="AF12" i="1"/>
  <c r="V13" i="1"/>
  <c r="W13" i="1"/>
  <c r="X13" i="1"/>
  <c r="Y13" i="1"/>
  <c r="Z13" i="1"/>
  <c r="AA13" i="1"/>
  <c r="AB13" i="1"/>
  <c r="AC13" i="1"/>
  <c r="AE13" i="1"/>
  <c r="AF13" i="1"/>
  <c r="V14" i="1"/>
  <c r="W14" i="1"/>
  <c r="X14" i="1"/>
  <c r="Y14" i="1"/>
  <c r="Z14" i="1"/>
  <c r="AA14" i="1"/>
  <c r="AB14" i="1"/>
  <c r="AC14" i="1"/>
  <c r="AE14" i="1"/>
  <c r="AF14" i="1"/>
  <c r="V15" i="1"/>
  <c r="W15" i="1"/>
  <c r="X15" i="1"/>
  <c r="Y15" i="1"/>
  <c r="Z15" i="1"/>
  <c r="AA15" i="1"/>
  <c r="AB15" i="1"/>
  <c r="AC15" i="1"/>
  <c r="AE15" i="1"/>
  <c r="AF15" i="1"/>
  <c r="V16" i="1"/>
  <c r="W16" i="1"/>
  <c r="X16" i="1"/>
  <c r="Y16" i="1"/>
  <c r="Z16" i="1"/>
  <c r="AA16" i="1"/>
  <c r="AB16" i="1"/>
  <c r="AC16" i="1"/>
  <c r="AE16" i="1"/>
  <c r="AF16" i="1"/>
  <c r="V17" i="1"/>
  <c r="W17" i="1"/>
  <c r="X17" i="1"/>
  <c r="Y17" i="1"/>
  <c r="Z17" i="1"/>
  <c r="AA17" i="1"/>
  <c r="AB17" i="1"/>
  <c r="AC17" i="1"/>
  <c r="AE17" i="1"/>
  <c r="AF17" i="1"/>
  <c r="V18" i="1"/>
  <c r="W18" i="1"/>
  <c r="X18" i="1"/>
  <c r="Y18" i="1"/>
  <c r="Z18" i="1"/>
  <c r="AA18" i="1"/>
  <c r="AB18" i="1"/>
  <c r="AC18" i="1"/>
  <c r="AE18" i="1"/>
  <c r="AF18" i="1"/>
  <c r="V19" i="1"/>
  <c r="W19" i="1"/>
  <c r="X19" i="1"/>
  <c r="Y19" i="1"/>
  <c r="Z19" i="1"/>
  <c r="AA19" i="1"/>
  <c r="AB19" i="1"/>
  <c r="AC19" i="1"/>
  <c r="AE19" i="1"/>
  <c r="AF19" i="1"/>
  <c r="V20" i="1"/>
  <c r="W20" i="1"/>
  <c r="X20" i="1"/>
  <c r="Y20" i="1"/>
  <c r="Z20" i="1"/>
  <c r="AA20" i="1"/>
  <c r="AB20" i="1"/>
  <c r="AC20" i="1"/>
  <c r="AE20" i="1"/>
  <c r="AF20" i="1"/>
  <c r="V21" i="1"/>
  <c r="W21" i="1"/>
  <c r="X21" i="1"/>
  <c r="Y21" i="1"/>
  <c r="Z21" i="1"/>
  <c r="AA21" i="1"/>
  <c r="AB21" i="1"/>
  <c r="AC21" i="1"/>
  <c r="AE21" i="1"/>
  <c r="AF21" i="1"/>
  <c r="V22" i="1"/>
  <c r="W22" i="1"/>
  <c r="X22" i="1"/>
  <c r="Y22" i="1"/>
  <c r="Z22" i="1"/>
  <c r="AA22" i="1"/>
  <c r="AB22" i="1"/>
  <c r="AC22" i="1"/>
  <c r="AE22" i="1"/>
  <c r="AF22" i="1"/>
  <c r="V23" i="1"/>
  <c r="W23" i="1"/>
  <c r="X23" i="1"/>
  <c r="Y23" i="1"/>
  <c r="Z23" i="1"/>
  <c r="AA23" i="1"/>
  <c r="AB23" i="1"/>
  <c r="AC23" i="1"/>
  <c r="AE23" i="1"/>
  <c r="AF23" i="1"/>
  <c r="V24" i="1"/>
  <c r="W24" i="1"/>
  <c r="X24" i="1"/>
  <c r="Y24" i="1"/>
  <c r="Z24" i="1"/>
  <c r="AA24" i="1"/>
  <c r="AB24" i="1"/>
  <c r="AC24" i="1"/>
  <c r="AE24" i="1"/>
  <c r="AF24" i="1"/>
  <c r="V25" i="1"/>
  <c r="W25" i="1"/>
  <c r="X25" i="1"/>
  <c r="Y25" i="1"/>
  <c r="Z25" i="1"/>
  <c r="AA25" i="1"/>
  <c r="AB25" i="1"/>
  <c r="AC25" i="1"/>
  <c r="AE25" i="1"/>
  <c r="AF25" i="1"/>
  <c r="V26" i="1"/>
  <c r="W26" i="1"/>
  <c r="X26" i="1"/>
  <c r="Y26" i="1"/>
  <c r="Z26" i="1"/>
  <c r="AA26" i="1"/>
  <c r="AB26" i="1"/>
  <c r="AC26" i="1"/>
  <c r="AE26" i="1"/>
  <c r="AF26" i="1"/>
  <c r="V27" i="1"/>
  <c r="W27" i="1"/>
  <c r="X27" i="1"/>
  <c r="Y27" i="1"/>
  <c r="Z27" i="1"/>
  <c r="AA27" i="1"/>
  <c r="AB27" i="1"/>
  <c r="AC27" i="1"/>
  <c r="AE27" i="1"/>
  <c r="AF27" i="1"/>
  <c r="V28" i="1"/>
  <c r="W28" i="1"/>
  <c r="X28" i="1"/>
  <c r="Y28" i="1"/>
  <c r="Z28" i="1"/>
  <c r="AA28" i="1"/>
  <c r="AB28" i="1"/>
  <c r="AC28" i="1"/>
  <c r="AE28" i="1"/>
  <c r="AF28" i="1"/>
  <c r="V29" i="1"/>
  <c r="W29" i="1"/>
  <c r="X29" i="1"/>
  <c r="Y29" i="1"/>
  <c r="Z29" i="1"/>
  <c r="AA29" i="1"/>
  <c r="AB29" i="1"/>
  <c r="AC29" i="1"/>
  <c r="AE29" i="1"/>
  <c r="AF29" i="1"/>
  <c r="V30" i="1"/>
  <c r="W30" i="1"/>
  <c r="X30" i="1"/>
  <c r="Y30" i="1"/>
  <c r="Z30" i="1"/>
  <c r="AA30" i="1"/>
  <c r="AB30" i="1"/>
  <c r="AC30" i="1"/>
  <c r="AE30" i="1"/>
  <c r="AF30" i="1"/>
  <c r="V31" i="1"/>
  <c r="W31" i="1"/>
  <c r="X31" i="1"/>
  <c r="Y31" i="1"/>
  <c r="Z31" i="1"/>
  <c r="AA31" i="1"/>
  <c r="AB31" i="1"/>
  <c r="AC31" i="1"/>
  <c r="AE31" i="1"/>
  <c r="AF31" i="1"/>
  <c r="V32" i="1"/>
  <c r="W32" i="1"/>
  <c r="X32" i="1"/>
  <c r="Y32" i="1"/>
  <c r="Z32" i="1"/>
  <c r="AA32" i="1"/>
  <c r="AB32" i="1"/>
  <c r="AC32" i="1"/>
  <c r="AE32" i="1"/>
  <c r="AF32" i="1"/>
  <c r="V33" i="1"/>
  <c r="W33" i="1"/>
  <c r="X33" i="1"/>
  <c r="Y33" i="1"/>
  <c r="Z33" i="1"/>
  <c r="AA33" i="1"/>
  <c r="AB33" i="1"/>
  <c r="AC33" i="1"/>
  <c r="AE33" i="1"/>
  <c r="AF33" i="1"/>
  <c r="V34" i="1"/>
  <c r="W34" i="1"/>
  <c r="X34" i="1"/>
  <c r="Y34" i="1"/>
  <c r="Z34" i="1"/>
  <c r="AA34" i="1"/>
  <c r="AB34" i="1"/>
  <c r="AC34" i="1"/>
  <c r="AE34" i="1"/>
  <c r="AF34" i="1"/>
  <c r="V35" i="1"/>
  <c r="W35" i="1"/>
  <c r="X35" i="1"/>
  <c r="Y35" i="1"/>
  <c r="Z35" i="1"/>
  <c r="AA35" i="1"/>
  <c r="AB35" i="1"/>
  <c r="AC35" i="1"/>
  <c r="AE35" i="1"/>
  <c r="AF35" i="1"/>
  <c r="V36" i="1"/>
  <c r="W36" i="1"/>
  <c r="X36" i="1"/>
  <c r="Y36" i="1"/>
  <c r="Z36" i="1"/>
  <c r="AA36" i="1"/>
  <c r="AB36" i="1"/>
  <c r="AC36" i="1"/>
  <c r="AE36" i="1"/>
  <c r="AF36" i="1"/>
  <c r="V37" i="1"/>
  <c r="W37" i="1"/>
  <c r="X37" i="1"/>
  <c r="Y37" i="1"/>
  <c r="Z37" i="1"/>
  <c r="AA37" i="1"/>
  <c r="AB37" i="1"/>
  <c r="AC37" i="1"/>
  <c r="AE37" i="1"/>
  <c r="AF37" i="1"/>
  <c r="V38" i="1"/>
  <c r="W38" i="1"/>
  <c r="X38" i="1"/>
  <c r="Y38" i="1"/>
  <c r="Z38" i="1"/>
  <c r="AA38" i="1"/>
  <c r="AB38" i="1"/>
  <c r="AC38" i="1"/>
  <c r="AE38" i="1"/>
  <c r="AF38" i="1"/>
  <c r="V39" i="1"/>
  <c r="W39" i="1"/>
  <c r="X39" i="1"/>
  <c r="Y39" i="1"/>
  <c r="Z39" i="1"/>
  <c r="AA39" i="1"/>
  <c r="AB39" i="1"/>
  <c r="AC39" i="1"/>
  <c r="AE39" i="1"/>
  <c r="AF39" i="1"/>
  <c r="V40" i="1"/>
  <c r="W40" i="1"/>
  <c r="X40" i="1"/>
  <c r="Y40" i="1"/>
  <c r="Z40" i="1"/>
  <c r="AA40" i="1"/>
  <c r="AB40" i="1"/>
  <c r="AC40" i="1"/>
  <c r="AE40" i="1"/>
  <c r="AF40" i="1"/>
  <c r="V41" i="1"/>
  <c r="W41" i="1"/>
  <c r="X41" i="1"/>
  <c r="Y41" i="1"/>
  <c r="Z41" i="1"/>
  <c r="AA41" i="1"/>
  <c r="AB41" i="1"/>
  <c r="AC41" i="1"/>
  <c r="AE41" i="1"/>
  <c r="AF41" i="1"/>
  <c r="V42" i="1"/>
  <c r="W42" i="1"/>
  <c r="X42" i="1"/>
  <c r="Y42" i="1"/>
  <c r="Z42" i="1"/>
  <c r="AA42" i="1"/>
  <c r="AB42" i="1"/>
  <c r="AC42" i="1"/>
  <c r="AE42" i="1"/>
  <c r="AF42" i="1"/>
  <c r="V43" i="1"/>
  <c r="W43" i="1"/>
  <c r="X43" i="1"/>
  <c r="Y43" i="1"/>
  <c r="Z43" i="1"/>
  <c r="AA43" i="1"/>
  <c r="AB43" i="1"/>
  <c r="AC43" i="1"/>
  <c r="AE43" i="1"/>
  <c r="AF43" i="1"/>
  <c r="V44" i="1"/>
  <c r="W44" i="1"/>
  <c r="X44" i="1"/>
  <c r="Y44" i="1"/>
  <c r="Z44" i="1"/>
  <c r="AA44" i="1"/>
  <c r="AB44" i="1"/>
  <c r="AC44" i="1"/>
  <c r="AE44" i="1"/>
  <c r="AF44" i="1"/>
  <c r="V45" i="1"/>
  <c r="W45" i="1"/>
  <c r="X45" i="1"/>
  <c r="Y45" i="1"/>
  <c r="Z45" i="1"/>
  <c r="AA45" i="1"/>
  <c r="AB45" i="1"/>
  <c r="AC45" i="1"/>
  <c r="AE45" i="1"/>
  <c r="AF45" i="1"/>
  <c r="V46" i="1"/>
  <c r="W46" i="1"/>
  <c r="X46" i="1"/>
  <c r="Y46" i="1"/>
  <c r="Z46" i="1"/>
  <c r="AA46" i="1"/>
  <c r="AB46" i="1"/>
  <c r="AC46" i="1"/>
  <c r="AE46" i="1"/>
  <c r="AF46" i="1"/>
  <c r="V47" i="1"/>
  <c r="W47" i="1"/>
  <c r="X47" i="1"/>
  <c r="Y47" i="1"/>
  <c r="Z47" i="1"/>
  <c r="AA47" i="1"/>
  <c r="AB47" i="1"/>
  <c r="AC47" i="1"/>
  <c r="AE47" i="1"/>
  <c r="AF47" i="1"/>
  <c r="V48" i="1"/>
  <c r="W48" i="1"/>
  <c r="X48" i="1"/>
  <c r="Y48" i="1"/>
  <c r="Z48" i="1"/>
  <c r="AA48" i="1"/>
  <c r="AB48" i="1"/>
  <c r="AC48" i="1"/>
  <c r="AE48" i="1"/>
  <c r="AF48" i="1"/>
  <c r="V49" i="1"/>
  <c r="W49" i="1"/>
  <c r="X49" i="1"/>
  <c r="Y49" i="1"/>
  <c r="Z49" i="1"/>
  <c r="AA49" i="1"/>
  <c r="AB49" i="1"/>
  <c r="AC49" i="1"/>
  <c r="AE49" i="1"/>
  <c r="AF49" i="1"/>
  <c r="V50" i="1"/>
  <c r="W50" i="1"/>
  <c r="X50" i="1"/>
  <c r="Y50" i="1"/>
  <c r="Z50" i="1"/>
  <c r="AA50" i="1"/>
  <c r="AB50" i="1"/>
  <c r="AC50" i="1"/>
  <c r="AE50" i="1"/>
  <c r="AF50" i="1"/>
  <c r="V51" i="1"/>
  <c r="W51" i="1"/>
  <c r="X51" i="1"/>
  <c r="Y51" i="1"/>
  <c r="Z51" i="1"/>
  <c r="AA51" i="1"/>
  <c r="AB51" i="1"/>
  <c r="AC51" i="1"/>
  <c r="AE51" i="1"/>
  <c r="AF51" i="1"/>
  <c r="V52" i="1"/>
  <c r="W52" i="1"/>
  <c r="X52" i="1"/>
  <c r="Y52" i="1"/>
  <c r="Z52" i="1"/>
  <c r="AA52" i="1"/>
  <c r="AB52" i="1"/>
  <c r="AC52" i="1"/>
  <c r="AE52" i="1"/>
  <c r="AF52" i="1"/>
  <c r="V53" i="1"/>
  <c r="W53" i="1"/>
  <c r="X53" i="1"/>
  <c r="Y53" i="1"/>
  <c r="Z53" i="1"/>
  <c r="AA53" i="1"/>
  <c r="AB53" i="1"/>
  <c r="AC53" i="1"/>
  <c r="AE53" i="1"/>
  <c r="AF53" i="1"/>
  <c r="V54" i="1"/>
  <c r="W54" i="1"/>
  <c r="X54" i="1"/>
  <c r="Y54" i="1"/>
  <c r="Z54" i="1"/>
  <c r="AA54" i="1"/>
  <c r="AB54" i="1"/>
  <c r="AC54" i="1"/>
  <c r="AE54" i="1"/>
  <c r="AF54" i="1"/>
  <c r="V55" i="1"/>
  <c r="W55" i="1"/>
  <c r="X55" i="1"/>
  <c r="Y55" i="1"/>
  <c r="Z55" i="1"/>
  <c r="AA55" i="1"/>
  <c r="AB55" i="1"/>
  <c r="AC55" i="1"/>
  <c r="AE55" i="1"/>
  <c r="AF55" i="1"/>
  <c r="V56" i="1"/>
  <c r="W56" i="1"/>
  <c r="X56" i="1"/>
  <c r="Y56" i="1"/>
  <c r="Z56" i="1"/>
  <c r="AA56" i="1"/>
  <c r="AB56" i="1"/>
  <c r="AC56" i="1"/>
  <c r="AE56" i="1"/>
  <c r="AF56" i="1"/>
  <c r="V57" i="1"/>
  <c r="W57" i="1"/>
  <c r="X57" i="1"/>
  <c r="Y57" i="1"/>
  <c r="Z57" i="1"/>
  <c r="AA57" i="1"/>
  <c r="AB57" i="1"/>
  <c r="AC57" i="1"/>
  <c r="AE57" i="1"/>
  <c r="AF57" i="1"/>
  <c r="V58" i="1"/>
  <c r="W58" i="1"/>
  <c r="X58" i="1"/>
  <c r="Y58" i="1"/>
  <c r="Z58" i="1"/>
  <c r="AA58" i="1"/>
  <c r="AB58" i="1"/>
  <c r="AC58" i="1"/>
  <c r="AE58" i="1"/>
  <c r="AF58" i="1"/>
  <c r="V59" i="1"/>
  <c r="W59" i="1"/>
  <c r="X59" i="1"/>
  <c r="Y59" i="1"/>
  <c r="Z59" i="1"/>
  <c r="AA59" i="1"/>
  <c r="AB59" i="1"/>
  <c r="AC59" i="1"/>
  <c r="AE59" i="1"/>
  <c r="AF59" i="1"/>
  <c r="V60" i="1"/>
  <c r="W60" i="1"/>
  <c r="X60" i="1"/>
  <c r="Y60" i="1"/>
  <c r="Z60" i="1"/>
  <c r="AA60" i="1"/>
  <c r="AB60" i="1"/>
  <c r="AC60" i="1"/>
  <c r="AE60" i="1"/>
  <c r="AF60" i="1"/>
  <c r="V61" i="1"/>
  <c r="W61" i="1"/>
  <c r="X61" i="1"/>
  <c r="Y61" i="1"/>
  <c r="Z61" i="1"/>
  <c r="AA61" i="1"/>
  <c r="AB61" i="1"/>
  <c r="AC61" i="1"/>
  <c r="AE61" i="1"/>
  <c r="AF61" i="1"/>
  <c r="V62" i="1"/>
  <c r="W62" i="1"/>
  <c r="X62" i="1"/>
  <c r="Y62" i="1"/>
  <c r="Z62" i="1"/>
  <c r="AA62" i="1"/>
  <c r="AB62" i="1"/>
  <c r="AC62" i="1"/>
  <c r="AE62" i="1"/>
  <c r="AF62" i="1"/>
  <c r="V63" i="1"/>
  <c r="W63" i="1"/>
  <c r="X63" i="1"/>
  <c r="Y63" i="1"/>
  <c r="Z63" i="1"/>
  <c r="AA63" i="1"/>
  <c r="AB63" i="1"/>
  <c r="AC63" i="1"/>
  <c r="AE63" i="1"/>
  <c r="AF63" i="1"/>
  <c r="V64" i="1"/>
  <c r="W64" i="1"/>
  <c r="X64" i="1"/>
  <c r="Y64" i="1"/>
  <c r="Z64" i="1"/>
  <c r="AA64" i="1"/>
  <c r="AB64" i="1"/>
  <c r="AC64" i="1"/>
  <c r="AE64" i="1"/>
  <c r="AF64" i="1"/>
  <c r="V65" i="1"/>
  <c r="W65" i="1"/>
  <c r="X65" i="1"/>
  <c r="Y65" i="1"/>
  <c r="Z65" i="1"/>
  <c r="AA65" i="1"/>
  <c r="AB65" i="1"/>
  <c r="AC65" i="1"/>
  <c r="AE65" i="1"/>
  <c r="AF65" i="1"/>
  <c r="V66" i="1"/>
  <c r="W66" i="1"/>
  <c r="X66" i="1"/>
  <c r="Y66" i="1"/>
  <c r="Z66" i="1"/>
  <c r="AA66" i="1"/>
  <c r="AB66" i="1"/>
  <c r="AC66" i="1"/>
  <c r="AE66" i="1"/>
  <c r="AF66" i="1"/>
  <c r="V67" i="1"/>
  <c r="W67" i="1"/>
  <c r="X67" i="1"/>
  <c r="Y67" i="1"/>
  <c r="Z67" i="1"/>
  <c r="AA67" i="1"/>
  <c r="AB67" i="1"/>
  <c r="AC67" i="1"/>
  <c r="AE67" i="1"/>
  <c r="AF67" i="1"/>
  <c r="V68" i="1"/>
  <c r="W68" i="1"/>
  <c r="X68" i="1"/>
  <c r="Y68" i="1"/>
  <c r="Z68" i="1"/>
  <c r="AA68" i="1"/>
  <c r="AB68" i="1"/>
  <c r="AC68" i="1"/>
  <c r="AE68" i="1"/>
  <c r="AF68" i="1"/>
  <c r="V69" i="1"/>
  <c r="W69" i="1"/>
  <c r="X69" i="1"/>
  <c r="Y69" i="1"/>
  <c r="Z69" i="1"/>
  <c r="AA69" i="1"/>
  <c r="AB69" i="1"/>
  <c r="AC69" i="1"/>
  <c r="AE69" i="1"/>
  <c r="AF69" i="1"/>
  <c r="V70" i="1"/>
  <c r="W70" i="1"/>
  <c r="X70" i="1"/>
  <c r="Y70" i="1"/>
  <c r="Z70" i="1"/>
  <c r="AA70" i="1"/>
  <c r="AB70" i="1"/>
  <c r="AC70" i="1"/>
  <c r="AE70" i="1"/>
  <c r="AF70" i="1"/>
  <c r="V71" i="1"/>
  <c r="W71" i="1"/>
  <c r="X71" i="1"/>
  <c r="Y71" i="1"/>
  <c r="Z71" i="1"/>
  <c r="AA71" i="1"/>
  <c r="AB71" i="1"/>
  <c r="AC71" i="1"/>
  <c r="AE71" i="1"/>
  <c r="AF71" i="1"/>
  <c r="V72" i="1"/>
  <c r="W72" i="1"/>
  <c r="X72" i="1"/>
  <c r="Y72" i="1"/>
  <c r="Z72" i="1"/>
  <c r="AA72" i="1"/>
  <c r="AB72" i="1"/>
  <c r="AC72" i="1"/>
  <c r="AE72" i="1"/>
  <c r="AF72" i="1"/>
  <c r="V74" i="1"/>
  <c r="W74" i="1"/>
  <c r="X74" i="1"/>
  <c r="Y74" i="1"/>
  <c r="Z74" i="1"/>
  <c r="AA74" i="1"/>
  <c r="AB74" i="1"/>
  <c r="AC74" i="1"/>
  <c r="AE74" i="1"/>
  <c r="AF74" i="1"/>
  <c r="V75" i="1"/>
  <c r="W75" i="1"/>
  <c r="X75" i="1"/>
  <c r="Y75" i="1"/>
  <c r="Z75" i="1"/>
  <c r="AA75" i="1"/>
  <c r="AB75" i="1"/>
  <c r="AC75" i="1"/>
  <c r="AE75" i="1"/>
  <c r="AF75" i="1"/>
  <c r="V76" i="1"/>
  <c r="W76" i="1"/>
  <c r="X76" i="1"/>
  <c r="Y76" i="1"/>
  <c r="Z76" i="1"/>
  <c r="AA76" i="1"/>
  <c r="AB76" i="1"/>
  <c r="AC76" i="1"/>
  <c r="AE76" i="1"/>
  <c r="AF76" i="1"/>
  <c r="V77" i="1"/>
  <c r="W77" i="1"/>
  <c r="X77" i="1"/>
  <c r="Y77" i="1"/>
  <c r="Z77" i="1"/>
  <c r="AA77" i="1"/>
  <c r="AB77" i="1"/>
  <c r="AC77" i="1"/>
  <c r="AE77" i="1"/>
  <c r="AF77" i="1"/>
  <c r="V78" i="1"/>
  <c r="W78" i="1"/>
  <c r="X78" i="1"/>
  <c r="Y78" i="1"/>
  <c r="Z78" i="1"/>
  <c r="AA78" i="1"/>
  <c r="AB78" i="1"/>
  <c r="AC78" i="1"/>
  <c r="AE78" i="1"/>
  <c r="AF78" i="1"/>
  <c r="V73" i="1"/>
  <c r="W73" i="1"/>
  <c r="X73" i="1"/>
  <c r="Y73" i="1"/>
  <c r="Z73" i="1"/>
  <c r="AA73" i="1"/>
  <c r="AB73" i="1"/>
  <c r="AC73" i="1"/>
  <c r="AE73" i="1"/>
  <c r="AF73" i="1"/>
  <c r="V79" i="1"/>
  <c r="W79" i="1"/>
  <c r="X79" i="1"/>
  <c r="Y79" i="1"/>
  <c r="Z79" i="1"/>
  <c r="AA79" i="1"/>
  <c r="AB79" i="1"/>
  <c r="AC79" i="1"/>
  <c r="AE79" i="1"/>
  <c r="AF79" i="1"/>
  <c r="V80" i="1"/>
  <c r="W80" i="1"/>
  <c r="X80" i="1"/>
  <c r="Y80" i="1"/>
  <c r="Z80" i="1"/>
  <c r="AA80" i="1"/>
  <c r="AB80" i="1"/>
  <c r="AC80" i="1"/>
  <c r="AE80" i="1"/>
  <c r="AF80" i="1"/>
  <c r="V81" i="1"/>
  <c r="W81" i="1"/>
  <c r="X81" i="1"/>
  <c r="Y81" i="1"/>
  <c r="Z81" i="1"/>
  <c r="AA81" i="1"/>
  <c r="AB81" i="1"/>
  <c r="AC81" i="1"/>
  <c r="AE81" i="1"/>
  <c r="AF81" i="1"/>
  <c r="V82" i="1"/>
  <c r="W82" i="1"/>
  <c r="X82" i="1"/>
  <c r="Y82" i="1"/>
  <c r="Z82" i="1"/>
  <c r="AA82" i="1"/>
  <c r="AB82" i="1"/>
  <c r="AC82" i="1"/>
  <c r="AE82" i="1"/>
  <c r="AF82" i="1"/>
  <c r="V83" i="1"/>
  <c r="W83" i="1"/>
  <c r="X83" i="1"/>
  <c r="Y83" i="1"/>
  <c r="Z83" i="1"/>
  <c r="AA83" i="1"/>
  <c r="AB83" i="1"/>
  <c r="AC83" i="1"/>
  <c r="AE83" i="1"/>
  <c r="AF83" i="1"/>
  <c r="V84" i="1"/>
  <c r="W84" i="1"/>
  <c r="X84" i="1"/>
  <c r="Y84" i="1"/>
  <c r="Z84" i="1"/>
  <c r="AA84" i="1"/>
  <c r="AB84" i="1"/>
  <c r="AC84" i="1"/>
  <c r="AE84" i="1"/>
  <c r="AF84" i="1"/>
  <c r="V85" i="1"/>
  <c r="W85" i="1"/>
  <c r="X85" i="1"/>
  <c r="Y85" i="1"/>
  <c r="Z85" i="1"/>
  <c r="AA85" i="1"/>
  <c r="AB85" i="1"/>
  <c r="AC85" i="1"/>
  <c r="AE85" i="1"/>
  <c r="AF85" i="1"/>
  <c r="V86" i="1"/>
  <c r="W86" i="1"/>
  <c r="X86" i="1"/>
  <c r="Y86" i="1"/>
  <c r="Z86" i="1"/>
  <c r="AA86" i="1"/>
  <c r="AB86" i="1"/>
  <c r="AC86" i="1"/>
  <c r="AE86" i="1"/>
  <c r="AF86" i="1"/>
  <c r="V87" i="1"/>
  <c r="W87" i="1"/>
  <c r="X87" i="1"/>
  <c r="Y87" i="1"/>
  <c r="Z87" i="1"/>
  <c r="AA87" i="1"/>
  <c r="AB87" i="1"/>
  <c r="AC87" i="1"/>
  <c r="AE87" i="1"/>
  <c r="AF87" i="1"/>
  <c r="V88" i="1"/>
  <c r="W88" i="1"/>
  <c r="X88" i="1"/>
  <c r="Y88" i="1"/>
  <c r="Z88" i="1"/>
  <c r="AA88" i="1"/>
  <c r="AB88" i="1"/>
  <c r="AC88" i="1"/>
  <c r="AE88" i="1"/>
  <c r="AF88" i="1"/>
  <c r="V89" i="1"/>
  <c r="W89" i="1"/>
  <c r="X89" i="1"/>
  <c r="Y89" i="1"/>
  <c r="Z89" i="1"/>
  <c r="AA89" i="1"/>
  <c r="AB89" i="1"/>
  <c r="AC89" i="1"/>
  <c r="AE89" i="1"/>
  <c r="AF89" i="1"/>
  <c r="V90" i="1"/>
  <c r="W90" i="1"/>
  <c r="X90" i="1"/>
  <c r="Y90" i="1"/>
  <c r="Z90" i="1"/>
  <c r="AA90" i="1"/>
  <c r="AB90" i="1"/>
  <c r="AC90" i="1"/>
  <c r="AE90" i="1"/>
  <c r="AF90" i="1"/>
  <c r="V91" i="1"/>
  <c r="W91" i="1"/>
  <c r="X91" i="1"/>
  <c r="Y91" i="1"/>
  <c r="Z91" i="1"/>
  <c r="AA91" i="1"/>
  <c r="AB91" i="1"/>
  <c r="AC91" i="1"/>
  <c r="AE91" i="1"/>
  <c r="AF91" i="1"/>
  <c r="V92" i="1"/>
  <c r="W92" i="1"/>
  <c r="X92" i="1"/>
  <c r="Y92" i="1"/>
  <c r="Z92" i="1"/>
  <c r="AA92" i="1"/>
  <c r="AB92" i="1"/>
  <c r="AC92" i="1"/>
  <c r="AE92" i="1"/>
  <c r="AF92" i="1"/>
  <c r="V93" i="1"/>
  <c r="W93" i="1"/>
  <c r="X93" i="1"/>
  <c r="Y93" i="1"/>
  <c r="Z93" i="1"/>
  <c r="AA93" i="1"/>
  <c r="AB93" i="1"/>
  <c r="AC93" i="1"/>
  <c r="AE93" i="1"/>
  <c r="AF93" i="1"/>
  <c r="V94" i="1"/>
  <c r="W94" i="1"/>
  <c r="X94" i="1"/>
  <c r="Y94" i="1"/>
  <c r="Z94" i="1"/>
  <c r="AA94" i="1"/>
  <c r="AB94" i="1"/>
  <c r="AC94" i="1"/>
  <c r="AE94" i="1"/>
  <c r="AF94" i="1"/>
  <c r="V95" i="1"/>
  <c r="W95" i="1"/>
  <c r="X95" i="1"/>
  <c r="Y95" i="1"/>
  <c r="Z95" i="1"/>
  <c r="AA95" i="1"/>
  <c r="AB95" i="1"/>
  <c r="AC95" i="1"/>
  <c r="AE95" i="1"/>
  <c r="AF95" i="1"/>
  <c r="V96" i="1"/>
  <c r="W96" i="1"/>
  <c r="X96" i="1"/>
  <c r="Y96" i="1"/>
  <c r="Z96" i="1"/>
  <c r="AA96" i="1"/>
  <c r="AB96" i="1"/>
  <c r="AC96" i="1"/>
  <c r="AE96" i="1"/>
  <c r="AF96" i="1"/>
  <c r="V97" i="1"/>
  <c r="W97" i="1"/>
  <c r="X97" i="1"/>
  <c r="Y97" i="1"/>
  <c r="Z97" i="1"/>
  <c r="AA97" i="1"/>
  <c r="AB97" i="1"/>
  <c r="AC97" i="1"/>
  <c r="AE97" i="1"/>
  <c r="AF97" i="1"/>
  <c r="V98" i="1"/>
  <c r="W98" i="1"/>
  <c r="X98" i="1"/>
  <c r="Y98" i="1"/>
  <c r="Z98" i="1"/>
  <c r="AA98" i="1"/>
  <c r="AB98" i="1"/>
  <c r="AC98" i="1"/>
  <c r="AE98" i="1"/>
  <c r="AF98" i="1"/>
  <c r="V99" i="1"/>
  <c r="W99" i="1"/>
  <c r="X99" i="1"/>
  <c r="Y99" i="1"/>
  <c r="Z99" i="1"/>
  <c r="AA99" i="1"/>
  <c r="AB99" i="1"/>
  <c r="AC99" i="1"/>
  <c r="AE99" i="1"/>
  <c r="AF99" i="1"/>
  <c r="V100" i="1"/>
  <c r="W100" i="1"/>
  <c r="X100" i="1"/>
  <c r="Y100" i="1"/>
  <c r="Z100" i="1"/>
  <c r="AA100" i="1"/>
  <c r="AB100" i="1"/>
  <c r="AC100" i="1"/>
  <c r="AE100" i="1"/>
  <c r="AF100" i="1"/>
  <c r="V101" i="1"/>
  <c r="W101" i="1"/>
  <c r="X101" i="1"/>
  <c r="Y101" i="1"/>
  <c r="Z101" i="1"/>
  <c r="AA101" i="1"/>
  <c r="AB101" i="1"/>
  <c r="AC101" i="1"/>
  <c r="AE101" i="1"/>
  <c r="AF101" i="1"/>
  <c r="V102" i="1"/>
  <c r="W102" i="1"/>
  <c r="X102" i="1"/>
  <c r="Y102" i="1"/>
  <c r="Z102" i="1"/>
  <c r="AA102" i="1"/>
  <c r="AB102" i="1"/>
  <c r="AC102" i="1"/>
  <c r="AE102" i="1"/>
  <c r="AF102" i="1"/>
  <c r="V103" i="1"/>
  <c r="W103" i="1"/>
  <c r="X103" i="1"/>
  <c r="Y103" i="1"/>
  <c r="Z103" i="1"/>
  <c r="AA103" i="1"/>
  <c r="AB103" i="1"/>
  <c r="AC103" i="1"/>
  <c r="AE103" i="1"/>
  <c r="AF103" i="1"/>
  <c r="V104" i="1"/>
  <c r="W104" i="1"/>
  <c r="X104" i="1"/>
  <c r="Y104" i="1"/>
  <c r="Z104" i="1"/>
  <c r="AA104" i="1"/>
  <c r="AB104" i="1"/>
  <c r="AC104" i="1"/>
  <c r="AE104" i="1"/>
  <c r="AF104" i="1"/>
  <c r="V105" i="1"/>
  <c r="W105" i="1"/>
  <c r="X105" i="1"/>
  <c r="Y105" i="1"/>
  <c r="Z105" i="1"/>
  <c r="AA105" i="1"/>
  <c r="AB105" i="1"/>
  <c r="AC105" i="1"/>
  <c r="AE105" i="1"/>
  <c r="AF105" i="1"/>
  <c r="V106" i="1"/>
  <c r="W106" i="1"/>
  <c r="X106" i="1"/>
  <c r="Y106" i="1"/>
  <c r="Z106" i="1"/>
  <c r="AA106" i="1"/>
  <c r="AB106" i="1"/>
  <c r="AC106" i="1"/>
  <c r="AE106" i="1"/>
  <c r="AF106" i="1"/>
  <c r="V107" i="1"/>
  <c r="W107" i="1"/>
  <c r="X107" i="1"/>
  <c r="Y107" i="1"/>
  <c r="Z107" i="1"/>
  <c r="AA107" i="1"/>
  <c r="AB107" i="1"/>
  <c r="AC107" i="1"/>
  <c r="AE107" i="1"/>
  <c r="AF107" i="1"/>
  <c r="F1" i="22" l="1"/>
  <c r="AF9" i="1" l="1"/>
  <c r="H176" i="85"/>
  <c r="J198" i="85"/>
  <c r="J195" i="85"/>
  <c r="J192" i="85"/>
  <c r="J189" i="85"/>
  <c r="J186" i="85"/>
  <c r="H140" i="90"/>
  <c r="C27" i="85"/>
  <c r="B163" i="85" l="1"/>
  <c r="B161" i="85"/>
  <c r="B159" i="85"/>
  <c r="B157" i="85"/>
  <c r="B155" i="85"/>
  <c r="B153" i="85"/>
  <c r="B151" i="85"/>
  <c r="B149" i="85"/>
  <c r="N22" i="85"/>
  <c r="P22" i="85"/>
  <c r="R22" i="85"/>
  <c r="T22" i="85"/>
  <c r="U22" i="85" s="1"/>
  <c r="V22" i="85"/>
  <c r="W22" i="85" s="1"/>
  <c r="N23" i="85"/>
  <c r="O23" i="85" s="1"/>
  <c r="P23" i="85"/>
  <c r="Q23" i="85" s="1"/>
  <c r="R23" i="85"/>
  <c r="S23" i="85" s="1"/>
  <c r="T23" i="85"/>
  <c r="U23" i="85" s="1"/>
  <c r="V23" i="85"/>
  <c r="W23" i="85" s="1"/>
  <c r="N24" i="85"/>
  <c r="O24" i="85" s="1"/>
  <c r="P24" i="85"/>
  <c r="Q24" i="85" s="1"/>
  <c r="R24" i="85"/>
  <c r="S24" i="85" s="1"/>
  <c r="T24" i="85"/>
  <c r="U24" i="85" s="1"/>
  <c r="V24" i="85"/>
  <c r="W24" i="85" s="1"/>
  <c r="N25" i="85"/>
  <c r="P25" i="85"/>
  <c r="R25" i="85"/>
  <c r="T25" i="85"/>
  <c r="U25" i="85" s="1"/>
  <c r="V25" i="85"/>
  <c r="W25" i="85" s="1"/>
  <c r="N26" i="85"/>
  <c r="P26" i="85"/>
  <c r="R26" i="85"/>
  <c r="T26" i="85"/>
  <c r="U26" i="85" s="1"/>
  <c r="V26" i="85"/>
  <c r="W26" i="85" s="1"/>
  <c r="N27" i="85"/>
  <c r="P27" i="85"/>
  <c r="R27" i="85"/>
  <c r="T27" i="85"/>
  <c r="U27" i="85" s="1"/>
  <c r="V27" i="85"/>
  <c r="W27" i="85" s="1"/>
  <c r="N28" i="85"/>
  <c r="P28" i="85"/>
  <c r="R28" i="85"/>
  <c r="T28" i="85"/>
  <c r="U28" i="85" s="1"/>
  <c r="V28" i="85"/>
  <c r="W28" i="85" s="1"/>
  <c r="N29" i="85"/>
  <c r="P29" i="85"/>
  <c r="R29" i="85"/>
  <c r="T29" i="85"/>
  <c r="U29" i="85" s="1"/>
  <c r="V29" i="85"/>
  <c r="W29" i="85" s="1"/>
  <c r="N30" i="85"/>
  <c r="P30" i="85"/>
  <c r="R30" i="85"/>
  <c r="T30" i="85"/>
  <c r="U30" i="85" s="1"/>
  <c r="V30" i="85"/>
  <c r="W30" i="85" s="1"/>
  <c r="N31" i="85"/>
  <c r="P31" i="85"/>
  <c r="R31" i="85"/>
  <c r="T31" i="85"/>
  <c r="U31" i="85" s="1"/>
  <c r="V31" i="85"/>
  <c r="W31" i="85" s="1"/>
  <c r="N32" i="85"/>
  <c r="O32" i="85" s="1"/>
  <c r="P32" i="85"/>
  <c r="Q32" i="85" s="1"/>
  <c r="R32" i="85"/>
  <c r="S32" i="85" s="1"/>
  <c r="T32" i="85"/>
  <c r="U32" i="85" s="1"/>
  <c r="V32" i="85"/>
  <c r="W32" i="85" s="1"/>
  <c r="N33" i="85"/>
  <c r="O33" i="85" s="1"/>
  <c r="P33" i="85"/>
  <c r="Q33" i="85" s="1"/>
  <c r="R33" i="85"/>
  <c r="S33" i="85" s="1"/>
  <c r="T33" i="85"/>
  <c r="U33" i="85" s="1"/>
  <c r="V33" i="85"/>
  <c r="W33" i="85" s="1"/>
  <c r="N34" i="85"/>
  <c r="P34" i="85"/>
  <c r="R34" i="85"/>
  <c r="T34" i="85"/>
  <c r="U34" i="85" s="1"/>
  <c r="V34" i="85"/>
  <c r="W34" i="85" s="1"/>
  <c r="N35" i="85"/>
  <c r="P35" i="85"/>
  <c r="R35" i="85"/>
  <c r="T35" i="85"/>
  <c r="U35" i="85" s="1"/>
  <c r="V35" i="85"/>
  <c r="W35" i="85" s="1"/>
  <c r="N36" i="85"/>
  <c r="P36" i="85"/>
  <c r="R36" i="85"/>
  <c r="T36" i="85"/>
  <c r="U36" i="85" s="1"/>
  <c r="V36" i="85"/>
  <c r="W36" i="85" s="1"/>
  <c r="N37" i="85"/>
  <c r="P37" i="85"/>
  <c r="R37" i="85"/>
  <c r="T37" i="85"/>
  <c r="U37" i="85" s="1"/>
  <c r="V37" i="85"/>
  <c r="W37" i="85" s="1"/>
  <c r="N38" i="85"/>
  <c r="P38" i="85"/>
  <c r="R38" i="85"/>
  <c r="T38" i="85"/>
  <c r="U38" i="85" s="1"/>
  <c r="V38" i="85"/>
  <c r="W38" i="85" s="1"/>
  <c r="N39" i="85"/>
  <c r="P39" i="85"/>
  <c r="R39" i="85"/>
  <c r="T39" i="85"/>
  <c r="U39" i="85" s="1"/>
  <c r="V39" i="85"/>
  <c r="W39" i="85" s="1"/>
  <c r="N40" i="85"/>
  <c r="O40" i="85" s="1"/>
  <c r="P40" i="85"/>
  <c r="Q40" i="85" s="1"/>
  <c r="R40" i="85"/>
  <c r="S40" i="85" s="1"/>
  <c r="T40" i="85"/>
  <c r="U40" i="85" s="1"/>
  <c r="V40" i="85"/>
  <c r="W40" i="85" s="1"/>
  <c r="N34" i="90"/>
  <c r="P34" i="90"/>
  <c r="R34" i="90"/>
  <c r="S34" i="90" s="1"/>
  <c r="T34" i="90"/>
  <c r="U34" i="90" s="1"/>
  <c r="N35" i="90"/>
  <c r="P35" i="90"/>
  <c r="R35" i="90"/>
  <c r="S35" i="90" s="1"/>
  <c r="T35" i="90"/>
  <c r="U35" i="90" s="1"/>
  <c r="N36" i="90"/>
  <c r="P36" i="90"/>
  <c r="R36" i="90"/>
  <c r="S36" i="90" s="1"/>
  <c r="T36" i="90"/>
  <c r="U36" i="90" s="1"/>
  <c r="A4" i="90"/>
  <c r="A2" i="90"/>
  <c r="C134" i="90"/>
  <c r="C132" i="90"/>
  <c r="B121" i="90"/>
  <c r="B119" i="90"/>
  <c r="B117" i="90"/>
  <c r="B115" i="90"/>
  <c r="B104" i="90"/>
  <c r="B102" i="90"/>
  <c r="B100" i="90"/>
  <c r="B98" i="90"/>
  <c r="G36" i="90"/>
  <c r="C36" i="90"/>
  <c r="G35" i="90"/>
  <c r="C35" i="90"/>
  <c r="G34" i="90"/>
  <c r="C34" i="90"/>
  <c r="G33" i="90"/>
  <c r="C33" i="90"/>
  <c r="G32" i="90"/>
  <c r="C32" i="90"/>
  <c r="G31" i="90"/>
  <c r="C31" i="90"/>
  <c r="G28" i="90"/>
  <c r="C28" i="90"/>
  <c r="G27" i="90"/>
  <c r="C27" i="90"/>
  <c r="G26" i="90"/>
  <c r="C26" i="90"/>
  <c r="G25" i="90"/>
  <c r="C25" i="90"/>
  <c r="G24" i="90"/>
  <c r="C24" i="90"/>
  <c r="G23" i="90"/>
  <c r="C23" i="90"/>
  <c r="G20" i="90"/>
  <c r="C20" i="90"/>
  <c r="G19" i="90"/>
  <c r="C19" i="90"/>
  <c r="G18" i="90"/>
  <c r="C18" i="90"/>
  <c r="G17" i="90"/>
  <c r="C17" i="90"/>
  <c r="G16" i="90"/>
  <c r="C16" i="90"/>
  <c r="G15" i="90"/>
  <c r="C15" i="90"/>
  <c r="G12" i="90"/>
  <c r="C12" i="90"/>
  <c r="G11" i="90"/>
  <c r="C11" i="90"/>
  <c r="G10" i="90"/>
  <c r="C10" i="90"/>
  <c r="G9" i="90"/>
  <c r="C9" i="90"/>
  <c r="G8" i="90"/>
  <c r="C8" i="90"/>
  <c r="G7" i="90"/>
  <c r="C7" i="90"/>
  <c r="G1" i="90"/>
  <c r="D1" i="90"/>
  <c r="A4" i="85"/>
  <c r="A2" i="85"/>
  <c r="N11" i="85"/>
  <c r="P11" i="85"/>
  <c r="R11" i="85"/>
  <c r="T11" i="85"/>
  <c r="U11" i="85" s="1"/>
  <c r="V11" i="85"/>
  <c r="W11" i="85" s="1"/>
  <c r="N12" i="85"/>
  <c r="P12" i="85"/>
  <c r="R12" i="85"/>
  <c r="T12" i="85"/>
  <c r="U12" i="85" s="1"/>
  <c r="V12" i="85"/>
  <c r="W12" i="85" s="1"/>
  <c r="N13" i="85"/>
  <c r="P13" i="85"/>
  <c r="R13" i="85"/>
  <c r="T13" i="85"/>
  <c r="U13" i="85" s="1"/>
  <c r="V13" i="85"/>
  <c r="W13" i="85" s="1"/>
  <c r="N14" i="85"/>
  <c r="O14" i="85" s="1"/>
  <c r="P14" i="85"/>
  <c r="Q14" i="85" s="1"/>
  <c r="R14" i="85"/>
  <c r="S14" i="85" s="1"/>
  <c r="T14" i="85"/>
  <c r="U14" i="85" s="1"/>
  <c r="V14" i="85"/>
  <c r="W14" i="85" s="1"/>
  <c r="N15" i="85"/>
  <c r="O15" i="85" s="1"/>
  <c r="P15" i="85"/>
  <c r="Q15" i="85" s="1"/>
  <c r="R15" i="85"/>
  <c r="S15" i="85" s="1"/>
  <c r="T15" i="85"/>
  <c r="U15" i="85" s="1"/>
  <c r="V15" i="85"/>
  <c r="W15" i="85" s="1"/>
  <c r="N16" i="85"/>
  <c r="P16" i="85"/>
  <c r="R16" i="85"/>
  <c r="T16" i="85"/>
  <c r="U16" i="85" s="1"/>
  <c r="V16" i="85"/>
  <c r="W16" i="85" s="1"/>
  <c r="N17" i="85"/>
  <c r="P17" i="85"/>
  <c r="R17" i="85"/>
  <c r="T17" i="85"/>
  <c r="U17" i="85" s="1"/>
  <c r="V17" i="85"/>
  <c r="W17" i="85" s="1"/>
  <c r="N18" i="85"/>
  <c r="P18" i="85"/>
  <c r="R18" i="85"/>
  <c r="T18" i="85"/>
  <c r="U18" i="85" s="1"/>
  <c r="V18" i="85"/>
  <c r="W18" i="85" s="1"/>
  <c r="N19" i="85"/>
  <c r="P19" i="85"/>
  <c r="R19" i="85"/>
  <c r="T19" i="85"/>
  <c r="U19" i="85" s="1"/>
  <c r="V19" i="85"/>
  <c r="W19" i="85" s="1"/>
  <c r="N20" i="85"/>
  <c r="P20" i="85"/>
  <c r="R20" i="85"/>
  <c r="T20" i="85"/>
  <c r="U20" i="85" s="1"/>
  <c r="V20" i="85"/>
  <c r="W20" i="85" s="1"/>
  <c r="N21" i="85"/>
  <c r="P21" i="85"/>
  <c r="R21" i="85"/>
  <c r="T21" i="85"/>
  <c r="U21" i="85" s="1"/>
  <c r="V21" i="85"/>
  <c r="W21" i="85" s="1"/>
  <c r="V10" i="85"/>
  <c r="W10" i="85" s="1"/>
  <c r="T10" i="85"/>
  <c r="U10" i="85" s="1"/>
  <c r="R10" i="85"/>
  <c r="P10" i="85"/>
  <c r="N10" i="85"/>
  <c r="V9" i="85"/>
  <c r="W9" i="85" s="1"/>
  <c r="T9" i="85"/>
  <c r="U9" i="85" s="1"/>
  <c r="R9" i="85"/>
  <c r="P9" i="85"/>
  <c r="N9" i="85"/>
  <c r="V8" i="85"/>
  <c r="W8" i="85" s="1"/>
  <c r="T8" i="85"/>
  <c r="U8" i="85" s="1"/>
  <c r="R8" i="85"/>
  <c r="P8" i="85"/>
  <c r="N8" i="85"/>
  <c r="V7" i="85"/>
  <c r="W7" i="85" s="1"/>
  <c r="T7" i="85"/>
  <c r="U7" i="85" s="1"/>
  <c r="R7" i="85"/>
  <c r="P7" i="85"/>
  <c r="N7" i="85"/>
  <c r="C177" i="85" l="1"/>
  <c r="C175" i="85"/>
  <c r="M33" i="85"/>
  <c r="M23" i="85"/>
  <c r="C171" i="85"/>
  <c r="M32" i="85"/>
  <c r="M24" i="85"/>
  <c r="M40" i="85"/>
  <c r="M14" i="85"/>
  <c r="C108" i="90"/>
  <c r="C106" i="90"/>
  <c r="H136" i="90"/>
  <c r="C123" i="90"/>
  <c r="C116" i="90"/>
  <c r="C103" i="90"/>
  <c r="M15" i="85"/>
  <c r="E17" i="22"/>
  <c r="E16" i="22"/>
  <c r="Z8" i="1"/>
  <c r="E13" i="22"/>
  <c r="E10" i="22"/>
  <c r="Y8" i="1"/>
  <c r="X8" i="1"/>
  <c r="W8" i="1"/>
  <c r="AE8" i="1"/>
  <c r="AD8" i="1"/>
  <c r="AC8" i="1"/>
  <c r="AB8" i="1"/>
  <c r="AF8" i="1"/>
  <c r="E29" i="22"/>
  <c r="E28" i="22"/>
  <c r="E32" i="22"/>
  <c r="E33" i="22"/>
  <c r="H144" i="85"/>
  <c r="C138" i="85"/>
  <c r="C136" i="85"/>
  <c r="B125" i="85"/>
  <c r="B123" i="85"/>
  <c r="B121" i="85"/>
  <c r="C119" i="85" s="1"/>
  <c r="B119" i="85"/>
  <c r="B108" i="85"/>
  <c r="B106" i="85"/>
  <c r="B104" i="85"/>
  <c r="B102" i="85"/>
  <c r="C12" i="85"/>
  <c r="G12" i="85"/>
  <c r="C21" i="85"/>
  <c r="G21" i="85"/>
  <c r="C30" i="85"/>
  <c r="G30" i="85"/>
  <c r="C39" i="85"/>
  <c r="G39" i="85"/>
  <c r="G40" i="85"/>
  <c r="C40" i="85"/>
  <c r="G38" i="85"/>
  <c r="C38" i="85"/>
  <c r="G37" i="85"/>
  <c r="C37" i="85"/>
  <c r="G36" i="85"/>
  <c r="C36" i="85"/>
  <c r="G35" i="85"/>
  <c r="C35" i="85"/>
  <c r="G34" i="85"/>
  <c r="C34" i="85"/>
  <c r="G31" i="85"/>
  <c r="C31" i="85"/>
  <c r="G29" i="85"/>
  <c r="C29" i="85"/>
  <c r="G28" i="85"/>
  <c r="C28" i="85"/>
  <c r="G27" i="85"/>
  <c r="G26" i="85"/>
  <c r="C26" i="85"/>
  <c r="G25" i="85"/>
  <c r="C25" i="85"/>
  <c r="G22" i="85"/>
  <c r="C22" i="85"/>
  <c r="G20" i="85"/>
  <c r="C20" i="85"/>
  <c r="G19" i="85"/>
  <c r="C19" i="85"/>
  <c r="G18" i="85"/>
  <c r="C18" i="85"/>
  <c r="G17" i="85"/>
  <c r="C17" i="85"/>
  <c r="G16" i="85"/>
  <c r="C16" i="85"/>
  <c r="G13" i="85"/>
  <c r="C13" i="85"/>
  <c r="G11" i="85"/>
  <c r="C11" i="85"/>
  <c r="G10" i="85"/>
  <c r="C10" i="85"/>
  <c r="G9" i="85"/>
  <c r="C9" i="85"/>
  <c r="G8" i="85"/>
  <c r="C8" i="85"/>
  <c r="G7" i="85"/>
  <c r="C7" i="85"/>
  <c r="G1" i="85"/>
  <c r="D1" i="85"/>
  <c r="C102" i="85" l="1"/>
  <c r="C106" i="85"/>
  <c r="C121" i="85"/>
  <c r="C125" i="85"/>
  <c r="C173" i="85"/>
  <c r="C123" i="85"/>
  <c r="C158" i="85"/>
  <c r="C150" i="85"/>
  <c r="C154" i="85"/>
  <c r="C162" i="85"/>
  <c r="C127" i="85"/>
  <c r="C129" i="85"/>
  <c r="C120" i="85"/>
  <c r="H133" i="90"/>
  <c r="C99" i="90"/>
  <c r="H110" i="90"/>
  <c r="C125" i="90"/>
  <c r="C120" i="90"/>
  <c r="G129" i="85"/>
  <c r="C104" i="85"/>
  <c r="C103" i="85" s="1"/>
  <c r="C108" i="85"/>
  <c r="C112" i="85" s="1"/>
  <c r="C110" i="85"/>
  <c r="G136" i="85"/>
  <c r="G138" i="85"/>
  <c r="C124" i="85"/>
  <c r="X9" i="1"/>
  <c r="H152" i="85" l="1"/>
  <c r="G127" i="85"/>
  <c r="H131" i="85" s="1"/>
  <c r="H107" i="90"/>
  <c r="C107" i="85"/>
  <c r="G107" i="85" s="1"/>
  <c r="G112" i="85"/>
  <c r="H181" i="85"/>
  <c r="H179" i="85"/>
  <c r="H172" i="85"/>
  <c r="H166" i="85"/>
  <c r="H160" i="85"/>
  <c r="H127" i="90"/>
  <c r="H124" i="90"/>
  <c r="H104" i="90"/>
  <c r="H101" i="90"/>
  <c r="G110" i="85"/>
  <c r="H140" i="85"/>
  <c r="G124" i="85"/>
  <c r="G103" i="85"/>
  <c r="H137" i="85"/>
  <c r="G120" i="85"/>
  <c r="X110" i="84"/>
  <c r="X109" i="84"/>
  <c r="X108" i="84"/>
  <c r="X107" i="84"/>
  <c r="X106" i="84"/>
  <c r="X105" i="84"/>
  <c r="X104" i="84"/>
  <c r="X103" i="84"/>
  <c r="X24" i="84"/>
  <c r="X23" i="84"/>
  <c r="X22" i="84"/>
  <c r="X21" i="84"/>
  <c r="X20" i="84"/>
  <c r="X19" i="84"/>
  <c r="X18" i="84"/>
  <c r="X17" i="84"/>
  <c r="X16" i="84"/>
  <c r="X15" i="84"/>
  <c r="X14" i="84"/>
  <c r="X13" i="84"/>
  <c r="X12" i="84"/>
  <c r="X11" i="84"/>
  <c r="X10" i="84"/>
  <c r="X9" i="84"/>
  <c r="H164" i="85" l="1"/>
  <c r="H128" i="85"/>
  <c r="H125" i="85"/>
  <c r="J177" i="85"/>
  <c r="J180" i="85"/>
  <c r="B302" i="90"/>
  <c r="B300" i="90"/>
  <c r="B303" i="90"/>
  <c r="B301" i="90"/>
  <c r="H121" i="90"/>
  <c r="H118" i="90"/>
  <c r="H111" i="85"/>
  <c r="H114" i="85"/>
  <c r="H108" i="85"/>
  <c r="H105" i="85"/>
  <c r="H122" i="85"/>
  <c r="F9" i="1"/>
  <c r="E9" i="1" s="1"/>
  <c r="O9" i="1"/>
  <c r="V9" i="1"/>
  <c r="W9" i="1"/>
  <c r="Y9" i="1"/>
  <c r="Z9" i="1"/>
  <c r="AA9" i="1"/>
  <c r="AB9" i="1"/>
  <c r="AE9" i="1" l="1"/>
  <c r="J183" i="85"/>
  <c r="J168" i="85"/>
  <c r="J165" i="85"/>
  <c r="J174" i="85"/>
  <c r="J161" i="85"/>
  <c r="J156" i="85"/>
  <c r="B307" i="90"/>
  <c r="B306" i="90"/>
  <c r="B310" i="90"/>
  <c r="B305" i="90"/>
  <c r="B309" i="90"/>
  <c r="B304" i="90"/>
  <c r="B308" i="90"/>
  <c r="V124" i="84"/>
  <c r="U124" i="84"/>
  <c r="T124" i="84"/>
  <c r="S124" i="84"/>
  <c r="R124" i="84"/>
  <c r="Q124" i="84"/>
  <c r="P124" i="84"/>
  <c r="O124" i="84"/>
  <c r="N124" i="84"/>
  <c r="M124" i="84"/>
  <c r="L124" i="84"/>
  <c r="K124" i="84"/>
  <c r="J124" i="84"/>
  <c r="I124" i="84"/>
  <c r="H124" i="84"/>
  <c r="G124" i="84"/>
  <c r="F124" i="84"/>
  <c r="E124" i="84"/>
  <c r="D124" i="84"/>
  <c r="C124" i="84"/>
  <c r="C123" i="84"/>
  <c r="S125" i="84"/>
  <c r="O125" i="84"/>
  <c r="K125" i="84"/>
  <c r="G125" i="84"/>
  <c r="C125" i="84"/>
  <c r="V123" i="84"/>
  <c r="U123" i="84"/>
  <c r="T123" i="84"/>
  <c r="S123" i="84"/>
  <c r="R123" i="84"/>
  <c r="Q123" i="84"/>
  <c r="P123" i="84"/>
  <c r="O123" i="84"/>
  <c r="N123" i="84"/>
  <c r="M123" i="84"/>
  <c r="L123" i="84"/>
  <c r="K123" i="84"/>
  <c r="J123" i="84"/>
  <c r="I123" i="84"/>
  <c r="H123" i="84"/>
  <c r="G123" i="84"/>
  <c r="F123" i="84"/>
  <c r="E123" i="84"/>
  <c r="D123" i="84"/>
  <c r="B303" i="85" l="1"/>
  <c r="B301" i="85"/>
  <c r="B302" i="85"/>
  <c r="B300" i="85"/>
  <c r="B312" i="85"/>
  <c r="B310" i="85"/>
  <c r="B308" i="85"/>
  <c r="B306" i="85"/>
  <c r="B304" i="85"/>
  <c r="B311" i="85"/>
  <c r="B309" i="85"/>
  <c r="B307" i="85"/>
  <c r="B305" i="85"/>
  <c r="W121" i="84"/>
  <c r="W120" i="84"/>
  <c r="W119" i="84"/>
  <c r="W118" i="84"/>
  <c r="W117" i="84"/>
  <c r="W116" i="84"/>
  <c r="W115" i="84"/>
  <c r="W114" i="84"/>
  <c r="W113" i="84"/>
  <c r="W112" i="84"/>
  <c r="W111" i="84"/>
  <c r="W110" i="84"/>
  <c r="W109" i="84"/>
  <c r="W108" i="84"/>
  <c r="W107" i="84"/>
  <c r="W106" i="84"/>
  <c r="W105" i="84"/>
  <c r="W104" i="84"/>
  <c r="W103" i="84"/>
  <c r="W101" i="84"/>
  <c r="W100" i="84"/>
  <c r="W99" i="84"/>
  <c r="W98" i="84"/>
  <c r="W97" i="84"/>
  <c r="W96" i="84"/>
  <c r="W95" i="84"/>
  <c r="W94" i="84"/>
  <c r="W93" i="84"/>
  <c r="W92" i="84"/>
  <c r="W91" i="84"/>
  <c r="W90" i="84"/>
  <c r="W89" i="84"/>
  <c r="W88" i="84"/>
  <c r="W87" i="84"/>
  <c r="W86" i="84"/>
  <c r="W85" i="84"/>
  <c r="W84" i="84"/>
  <c r="W83" i="84"/>
  <c r="W82" i="84"/>
  <c r="W81" i="84"/>
  <c r="W80" i="84"/>
  <c r="W79" i="84"/>
  <c r="W78" i="84"/>
  <c r="W69" i="84"/>
  <c r="W70" i="84"/>
  <c r="W72" i="84"/>
  <c r="W71" i="84"/>
  <c r="W73" i="84"/>
  <c r="W74" i="84"/>
  <c r="W76" i="84"/>
  <c r="W75" i="84"/>
  <c r="W67" i="84"/>
  <c r="W66" i="84"/>
  <c r="W65" i="84"/>
  <c r="W64" i="84"/>
  <c r="W63" i="84"/>
  <c r="W62" i="84"/>
  <c r="W61" i="84"/>
  <c r="W60" i="84"/>
  <c r="W59" i="84"/>
  <c r="W58" i="84"/>
  <c r="W57" i="84"/>
  <c r="W56" i="84"/>
  <c r="W55" i="84"/>
  <c r="W54" i="84"/>
  <c r="W53" i="84"/>
  <c r="W52" i="84"/>
  <c r="W51" i="84"/>
  <c r="W50" i="84"/>
  <c r="W49" i="84"/>
  <c r="W48" i="84"/>
  <c r="W47" i="84"/>
  <c r="W46" i="84"/>
  <c r="W45" i="84"/>
  <c r="W44" i="84"/>
  <c r="W43" i="84"/>
  <c r="W42" i="84"/>
  <c r="W41" i="84"/>
  <c r="W40" i="84"/>
  <c r="W39" i="84"/>
  <c r="W38" i="84"/>
  <c r="W37" i="84"/>
  <c r="W36" i="84"/>
  <c r="X34" i="84"/>
  <c r="W34" i="84"/>
  <c r="X33" i="84"/>
  <c r="W33" i="84"/>
  <c r="X32" i="84"/>
  <c r="W32" i="84"/>
  <c r="X31" i="84"/>
  <c r="W31" i="84"/>
  <c r="X30" i="84"/>
  <c r="W30" i="84"/>
  <c r="X29" i="84"/>
  <c r="W29" i="84"/>
  <c r="X28" i="84"/>
  <c r="W28" i="84"/>
  <c r="X27" i="84"/>
  <c r="W27" i="84"/>
  <c r="X26" i="84"/>
  <c r="W26" i="84"/>
  <c r="W11" i="84"/>
  <c r="W14" i="84"/>
  <c r="W12" i="84"/>
  <c r="W17" i="84"/>
  <c r="W10" i="84"/>
  <c r="W9" i="84"/>
  <c r="W24" i="84"/>
  <c r="W15" i="84"/>
  <c r="W13" i="84"/>
  <c r="W25" i="84"/>
  <c r="W21" i="84"/>
  <c r="W23" i="84"/>
  <c r="W19" i="84"/>
  <c r="W20" i="84"/>
  <c r="W18" i="84"/>
  <c r="W22" i="84"/>
  <c r="W16" i="84"/>
  <c r="A4" i="84"/>
  <c r="A2" i="84"/>
  <c r="S1" i="84"/>
  <c r="N1" i="84"/>
  <c r="S1" i="82"/>
  <c r="N1" i="82"/>
  <c r="A4" i="82"/>
  <c r="A2" i="82"/>
  <c r="X26" i="82"/>
  <c r="W27" i="82"/>
  <c r="X27" i="82"/>
  <c r="W28" i="82"/>
  <c r="X28" i="82"/>
  <c r="W29" i="82"/>
  <c r="X29" i="82"/>
  <c r="W30" i="82"/>
  <c r="X30" i="82"/>
  <c r="W31" i="82"/>
  <c r="X31" i="82"/>
  <c r="W32" i="82"/>
  <c r="X32" i="82"/>
  <c r="W33" i="82"/>
  <c r="X33" i="82"/>
  <c r="W34" i="82"/>
  <c r="X34" i="82"/>
  <c r="X121" i="84"/>
  <c r="X117" i="84"/>
  <c r="X120" i="84"/>
  <c r="X118" i="84"/>
  <c r="AB103" i="84" l="1"/>
  <c r="AB107" i="84"/>
  <c r="Z74" i="84"/>
  <c r="AA69" i="84"/>
  <c r="AB71" i="84"/>
  <c r="AB73" i="84"/>
  <c r="AB75" i="84"/>
  <c r="AA103" i="84"/>
  <c r="Y76" i="84"/>
  <c r="AA107" i="84"/>
  <c r="AB69" i="84"/>
  <c r="AB105" i="84"/>
  <c r="Z106" i="84"/>
  <c r="AB109" i="84"/>
  <c r="Z110" i="84"/>
  <c r="X113" i="84"/>
  <c r="X115" i="84"/>
  <c r="Z69" i="84"/>
  <c r="Z72" i="84"/>
  <c r="Z76" i="84"/>
  <c r="Z104" i="84"/>
  <c r="AA105" i="84"/>
  <c r="Z108" i="84"/>
  <c r="AA109" i="84"/>
  <c r="Y74" i="84"/>
  <c r="AA71" i="84"/>
  <c r="Y73" i="84"/>
  <c r="Y71" i="84"/>
  <c r="AA73" i="84"/>
  <c r="Y72" i="84"/>
  <c r="Y70" i="84"/>
  <c r="AA75" i="84"/>
  <c r="Y69" i="84"/>
  <c r="Y75" i="84"/>
  <c r="Z71" i="84"/>
  <c r="Z73" i="84"/>
  <c r="Z75" i="84"/>
  <c r="Z103" i="84"/>
  <c r="Z105" i="84"/>
  <c r="Z107" i="84"/>
  <c r="Z109" i="84"/>
  <c r="X112" i="84"/>
  <c r="X114" i="84"/>
  <c r="B312" i="84" l="1"/>
  <c r="B314" i="84"/>
  <c r="B313" i="84"/>
  <c r="B315" i="84"/>
  <c r="X69" i="84"/>
  <c r="B303" i="84" s="1"/>
  <c r="X75" i="84"/>
  <c r="X72" i="84"/>
  <c r="X71" i="84"/>
  <c r="X70" i="84"/>
  <c r="X73" i="84"/>
  <c r="X74" i="84"/>
  <c r="X76" i="84"/>
  <c r="B301" i="84" l="1"/>
  <c r="B311" i="84"/>
  <c r="B307" i="84"/>
  <c r="B310" i="84"/>
  <c r="B306" i="84"/>
  <c r="B300" i="84"/>
  <c r="B302" i="84"/>
  <c r="B309" i="84"/>
  <c r="B305" i="84"/>
  <c r="B308" i="84"/>
  <c r="B304" i="84"/>
  <c r="W121" i="82"/>
  <c r="W120" i="82"/>
  <c r="W119" i="82"/>
  <c r="W118" i="82"/>
  <c r="W117" i="82"/>
  <c r="W116" i="82"/>
  <c r="W115" i="82"/>
  <c r="W114" i="82"/>
  <c r="W113" i="82"/>
  <c r="W112" i="82"/>
  <c r="W111" i="82"/>
  <c r="W110" i="82"/>
  <c r="W109" i="82"/>
  <c r="W108" i="82"/>
  <c r="Z108" i="82" s="1"/>
  <c r="W107" i="82"/>
  <c r="W106" i="82"/>
  <c r="W105" i="82"/>
  <c r="W104" i="82"/>
  <c r="Z104" i="82" s="1"/>
  <c r="W103" i="82"/>
  <c r="W102" i="82"/>
  <c r="W101" i="82"/>
  <c r="W100" i="82"/>
  <c r="W99" i="82"/>
  <c r="W98" i="82"/>
  <c r="W97" i="82"/>
  <c r="W96" i="82"/>
  <c r="W95" i="82"/>
  <c r="W94" i="82"/>
  <c r="W93" i="82"/>
  <c r="W92" i="82"/>
  <c r="W91" i="82"/>
  <c r="W90" i="82"/>
  <c r="W89" i="82"/>
  <c r="W88" i="82"/>
  <c r="W87" i="82"/>
  <c r="W86" i="82"/>
  <c r="W85" i="82"/>
  <c r="W84" i="82"/>
  <c r="W83" i="82"/>
  <c r="W82" i="82"/>
  <c r="W81" i="82"/>
  <c r="W80" i="82"/>
  <c r="W79" i="82"/>
  <c r="W78" i="82"/>
  <c r="W76" i="82"/>
  <c r="W75" i="82"/>
  <c r="W74" i="82"/>
  <c r="W73" i="82"/>
  <c r="W72" i="82"/>
  <c r="W71" i="82"/>
  <c r="W70" i="82"/>
  <c r="W69" i="82"/>
  <c r="W67" i="82"/>
  <c r="W66" i="82"/>
  <c r="W65" i="82"/>
  <c r="W64" i="82"/>
  <c r="W63" i="82"/>
  <c r="W62" i="82"/>
  <c r="W61" i="82"/>
  <c r="W60" i="82"/>
  <c r="W59" i="82"/>
  <c r="W58" i="82"/>
  <c r="W57" i="82"/>
  <c r="W56" i="82"/>
  <c r="W55" i="82"/>
  <c r="W54" i="82"/>
  <c r="W53" i="82"/>
  <c r="W52" i="82"/>
  <c r="W51" i="82"/>
  <c r="W50" i="82"/>
  <c r="W49" i="82"/>
  <c r="W48" i="82"/>
  <c r="W47" i="82"/>
  <c r="W46" i="82"/>
  <c r="W45" i="82"/>
  <c r="W44" i="82"/>
  <c r="W43" i="82"/>
  <c r="W42" i="82"/>
  <c r="W41" i="82"/>
  <c r="W40" i="82"/>
  <c r="W39" i="82"/>
  <c r="W38" i="82"/>
  <c r="W37" i="82"/>
  <c r="W36" i="82"/>
  <c r="W25" i="82"/>
  <c r="W24" i="82"/>
  <c r="W23" i="82"/>
  <c r="W22" i="82"/>
  <c r="W21" i="82"/>
  <c r="W20" i="82"/>
  <c r="W19" i="82"/>
  <c r="W18" i="82"/>
  <c r="W17" i="82"/>
  <c r="W15" i="82"/>
  <c r="W14" i="82"/>
  <c r="W13" i="82"/>
  <c r="W12" i="82"/>
  <c r="W11" i="82"/>
  <c r="W10" i="82"/>
  <c r="W9" i="82"/>
  <c r="X121" i="82"/>
  <c r="X120" i="82"/>
  <c r="X118" i="82"/>
  <c r="X117" i="82"/>
  <c r="AD10" i="1" l="1"/>
  <c r="AD12" i="1"/>
  <c r="AD14" i="1"/>
  <c r="AD16" i="1"/>
  <c r="AD18" i="1"/>
  <c r="AD20" i="1"/>
  <c r="AD22" i="1"/>
  <c r="AD24" i="1"/>
  <c r="AD26" i="1"/>
  <c r="AD28" i="1"/>
  <c r="AD30" i="1"/>
  <c r="AD32" i="1"/>
  <c r="AD34" i="1"/>
  <c r="AD36" i="1"/>
  <c r="AD38" i="1"/>
  <c r="AD40" i="1"/>
  <c r="AD42" i="1"/>
  <c r="AD44" i="1"/>
  <c r="AD46" i="1"/>
  <c r="AD48" i="1"/>
  <c r="AD50" i="1"/>
  <c r="AD52" i="1"/>
  <c r="AD54" i="1"/>
  <c r="AD56" i="1"/>
  <c r="AD58" i="1"/>
  <c r="AD60" i="1"/>
  <c r="AD62" i="1"/>
  <c r="AD64" i="1"/>
  <c r="AD66" i="1"/>
  <c r="AD68" i="1"/>
  <c r="AD70" i="1"/>
  <c r="AD72" i="1"/>
  <c r="AD75" i="1"/>
  <c r="AD77" i="1"/>
  <c r="AD73" i="1"/>
  <c r="AD80" i="1"/>
  <c r="AD82" i="1"/>
  <c r="AD84" i="1"/>
  <c r="AD86" i="1"/>
  <c r="AD88" i="1"/>
  <c r="AD90" i="1"/>
  <c r="AD92" i="1"/>
  <c r="AD94" i="1"/>
  <c r="AD96" i="1"/>
  <c r="AD98" i="1"/>
  <c r="AD100" i="1"/>
  <c r="AD102" i="1"/>
  <c r="AD104" i="1"/>
  <c r="AD106" i="1"/>
  <c r="AD11" i="1"/>
  <c r="AD13" i="1"/>
  <c r="AD15" i="1"/>
  <c r="AD17" i="1"/>
  <c r="AD19" i="1"/>
  <c r="AD21" i="1"/>
  <c r="AD23" i="1"/>
  <c r="AD25" i="1"/>
  <c r="AD27" i="1"/>
  <c r="AD29" i="1"/>
  <c r="AD31" i="1"/>
  <c r="AD33" i="1"/>
  <c r="AD35" i="1"/>
  <c r="AD37" i="1"/>
  <c r="AD39" i="1"/>
  <c r="AD41" i="1"/>
  <c r="AD43" i="1"/>
  <c r="AD45" i="1"/>
  <c r="AD47" i="1"/>
  <c r="AD49" i="1"/>
  <c r="AD51" i="1"/>
  <c r="AD53" i="1"/>
  <c r="AD55" i="1"/>
  <c r="AD57" i="1"/>
  <c r="AD59" i="1"/>
  <c r="AD61" i="1"/>
  <c r="AD63" i="1"/>
  <c r="AD65" i="1"/>
  <c r="AD67" i="1"/>
  <c r="AD69" i="1"/>
  <c r="AD71" i="1"/>
  <c r="AD74" i="1"/>
  <c r="AD76" i="1"/>
  <c r="AD78" i="1"/>
  <c r="AD79" i="1"/>
  <c r="AD81" i="1"/>
  <c r="AD83" i="1"/>
  <c r="AD85" i="1"/>
  <c r="AD87" i="1"/>
  <c r="AD89" i="1"/>
  <c r="AD91" i="1"/>
  <c r="AD93" i="1"/>
  <c r="AD95" i="1"/>
  <c r="AD97" i="1"/>
  <c r="AD99" i="1"/>
  <c r="AD101" i="1"/>
  <c r="AD103" i="1"/>
  <c r="AD105" i="1"/>
  <c r="AD107" i="1"/>
  <c r="AD9" i="1"/>
  <c r="AM9" i="1" s="1" a="1"/>
  <c r="AM9" i="1" s="1"/>
  <c r="X25" i="82"/>
  <c r="Y70" i="82"/>
  <c r="Y72" i="82"/>
  <c r="Y74" i="82"/>
  <c r="X113" i="82"/>
  <c r="X9" i="82"/>
  <c r="X10" i="82"/>
  <c r="X12" i="82"/>
  <c r="X14" i="82"/>
  <c r="X18" i="82"/>
  <c r="X20" i="82"/>
  <c r="X22" i="82"/>
  <c r="X24" i="82"/>
  <c r="X11" i="82"/>
  <c r="X13" i="82"/>
  <c r="X15" i="82"/>
  <c r="X17" i="82"/>
  <c r="X19" i="82"/>
  <c r="X21" i="82"/>
  <c r="X23" i="82"/>
  <c r="X112" i="82"/>
  <c r="X115" i="82"/>
  <c r="X114" i="82"/>
  <c r="AA109" i="82"/>
  <c r="Z76" i="82"/>
  <c r="AA107" i="82"/>
  <c r="Z107" i="82"/>
  <c r="Z103" i="82"/>
  <c r="Z69" i="82"/>
  <c r="AA105" i="82"/>
  <c r="AA69" i="82"/>
  <c r="AB69" i="82"/>
  <c r="AA71" i="82"/>
  <c r="AA73" i="82"/>
  <c r="AB75" i="82"/>
  <c r="Y69" i="82"/>
  <c r="Z71" i="82"/>
  <c r="AB71" i="82"/>
  <c r="Z72" i="82"/>
  <c r="Z73" i="82"/>
  <c r="AB73" i="82"/>
  <c r="Z74" i="82"/>
  <c r="AB105" i="82"/>
  <c r="AB109" i="82"/>
  <c r="Y71" i="82"/>
  <c r="Y73" i="82"/>
  <c r="AA75" i="82"/>
  <c r="Y75" i="82"/>
  <c r="Z75" i="82"/>
  <c r="Y76" i="82"/>
  <c r="AA103" i="82"/>
  <c r="X104" i="82" s="1"/>
  <c r="AB103" i="82"/>
  <c r="Z105" i="82"/>
  <c r="Z106" i="82"/>
  <c r="AB107" i="82"/>
  <c r="Z109" i="82"/>
  <c r="Z110" i="82"/>
  <c r="K107" i="1" l="1" a="1"/>
  <c r="K107" i="1" s="1"/>
  <c r="L107" i="1"/>
  <c r="K103" i="1" a="1"/>
  <c r="K103" i="1" s="1"/>
  <c r="L103" i="1"/>
  <c r="K99" i="1" a="1"/>
  <c r="K99" i="1" s="1"/>
  <c r="L99" i="1"/>
  <c r="K95" i="1" a="1"/>
  <c r="K95" i="1" s="1"/>
  <c r="L95" i="1"/>
  <c r="K91" i="1" a="1"/>
  <c r="K91" i="1" s="1"/>
  <c r="L91" i="1"/>
  <c r="K87" i="1" a="1"/>
  <c r="K87" i="1" s="1"/>
  <c r="L87" i="1"/>
  <c r="K83" i="1" a="1"/>
  <c r="K83" i="1" s="1"/>
  <c r="L83" i="1"/>
  <c r="K79" i="1" a="1"/>
  <c r="K79" i="1" s="1"/>
  <c r="L79" i="1"/>
  <c r="K76" i="1" a="1"/>
  <c r="K76" i="1" s="1"/>
  <c r="L76" i="1"/>
  <c r="K71" i="1" a="1"/>
  <c r="K71" i="1" s="1"/>
  <c r="L71" i="1"/>
  <c r="K67" i="1" a="1"/>
  <c r="K67" i="1" s="1"/>
  <c r="L67" i="1"/>
  <c r="K63" i="1" a="1"/>
  <c r="K63" i="1" s="1"/>
  <c r="L63" i="1"/>
  <c r="K59" i="1" a="1"/>
  <c r="K59" i="1" s="1"/>
  <c r="L59" i="1"/>
  <c r="K55" i="1" a="1"/>
  <c r="K55" i="1" s="1"/>
  <c r="L55" i="1"/>
  <c r="K51" i="1" a="1"/>
  <c r="K51" i="1" s="1"/>
  <c r="L51" i="1"/>
  <c r="K47" i="1" a="1"/>
  <c r="K47" i="1" s="1"/>
  <c r="L47" i="1"/>
  <c r="K43" i="1" a="1"/>
  <c r="K43" i="1" s="1"/>
  <c r="L43" i="1"/>
  <c r="K39" i="1" a="1"/>
  <c r="K39" i="1" s="1"/>
  <c r="L39" i="1"/>
  <c r="K35" i="1" a="1"/>
  <c r="K35" i="1" s="1"/>
  <c r="L35" i="1"/>
  <c r="K31" i="1" a="1"/>
  <c r="K31" i="1" s="1"/>
  <c r="L31" i="1"/>
  <c r="K27" i="1" a="1"/>
  <c r="K27" i="1" s="1"/>
  <c r="L27" i="1"/>
  <c r="K23" i="1" a="1"/>
  <c r="K23" i="1" s="1"/>
  <c r="L23" i="1"/>
  <c r="K19" i="1" a="1"/>
  <c r="K19" i="1" s="1"/>
  <c r="L19" i="1"/>
  <c r="K15" i="1" a="1"/>
  <c r="K15" i="1" s="1"/>
  <c r="L15" i="1"/>
  <c r="K11" i="1" a="1"/>
  <c r="K11" i="1" s="1"/>
  <c r="L11" i="1"/>
  <c r="K104" i="1" a="1"/>
  <c r="K104" i="1" s="1"/>
  <c r="L104" i="1"/>
  <c r="K100" i="1" a="1"/>
  <c r="K100" i="1" s="1"/>
  <c r="L100" i="1"/>
  <c r="K96" i="1" a="1"/>
  <c r="K96" i="1" s="1"/>
  <c r="L96" i="1"/>
  <c r="K92" i="1" a="1"/>
  <c r="K92" i="1" s="1"/>
  <c r="L92" i="1"/>
  <c r="K88" i="1" a="1"/>
  <c r="K88" i="1" s="1"/>
  <c r="L88" i="1"/>
  <c r="K84" i="1" a="1"/>
  <c r="K84" i="1" s="1"/>
  <c r="L84" i="1"/>
  <c r="K80" i="1" a="1"/>
  <c r="K80" i="1" s="1"/>
  <c r="L80" i="1"/>
  <c r="K77" i="1" a="1"/>
  <c r="K77" i="1" s="1"/>
  <c r="L77" i="1"/>
  <c r="K72" i="1" a="1"/>
  <c r="K72" i="1" s="1"/>
  <c r="L72" i="1"/>
  <c r="K68" i="1" a="1"/>
  <c r="K68" i="1" s="1"/>
  <c r="L68" i="1"/>
  <c r="K64" i="1" a="1"/>
  <c r="K64" i="1" s="1"/>
  <c r="L64" i="1"/>
  <c r="K60" i="1" a="1"/>
  <c r="K60" i="1" s="1"/>
  <c r="L60" i="1"/>
  <c r="K56" i="1" a="1"/>
  <c r="K56" i="1" s="1"/>
  <c r="L56" i="1"/>
  <c r="K52" i="1" a="1"/>
  <c r="K52" i="1" s="1"/>
  <c r="L52" i="1"/>
  <c r="K48" i="1" a="1"/>
  <c r="K48" i="1" s="1"/>
  <c r="L48" i="1"/>
  <c r="K44" i="1" a="1"/>
  <c r="K44" i="1" s="1"/>
  <c r="L44" i="1"/>
  <c r="K40" i="1" a="1"/>
  <c r="K40" i="1" s="1"/>
  <c r="L40" i="1"/>
  <c r="K36" i="1" a="1"/>
  <c r="K36" i="1" s="1"/>
  <c r="L36" i="1"/>
  <c r="K32" i="1" a="1"/>
  <c r="K32" i="1" s="1"/>
  <c r="L32" i="1"/>
  <c r="K28" i="1" a="1"/>
  <c r="K28" i="1" s="1"/>
  <c r="L28" i="1"/>
  <c r="K24" i="1" a="1"/>
  <c r="K24" i="1" s="1"/>
  <c r="L24" i="1"/>
  <c r="K20" i="1" a="1"/>
  <c r="K20" i="1" s="1"/>
  <c r="L20" i="1"/>
  <c r="K16" i="1" a="1"/>
  <c r="K16" i="1" s="1"/>
  <c r="L16" i="1"/>
  <c r="K12" i="1" a="1"/>
  <c r="K12" i="1" s="1"/>
  <c r="L12" i="1"/>
  <c r="K105" i="1" a="1"/>
  <c r="K105" i="1" s="1"/>
  <c r="L105" i="1"/>
  <c r="K101" i="1" a="1"/>
  <c r="K101" i="1" s="1"/>
  <c r="L101" i="1"/>
  <c r="K97" i="1" a="1"/>
  <c r="K97" i="1" s="1"/>
  <c r="L97" i="1"/>
  <c r="K93" i="1" a="1"/>
  <c r="K93" i="1" s="1"/>
  <c r="L93" i="1"/>
  <c r="K89" i="1" a="1"/>
  <c r="K89" i="1" s="1"/>
  <c r="L89" i="1"/>
  <c r="K85" i="1" a="1"/>
  <c r="K85" i="1" s="1"/>
  <c r="L85" i="1"/>
  <c r="K81" i="1" a="1"/>
  <c r="K81" i="1" s="1"/>
  <c r="L81" i="1"/>
  <c r="K78" i="1" a="1"/>
  <c r="K78" i="1" s="1"/>
  <c r="L78" i="1"/>
  <c r="K74" i="1" a="1"/>
  <c r="K74" i="1" s="1"/>
  <c r="L74" i="1"/>
  <c r="K69" i="1" a="1"/>
  <c r="K69" i="1" s="1"/>
  <c r="L69" i="1"/>
  <c r="K65" i="1" a="1"/>
  <c r="K65" i="1" s="1"/>
  <c r="L65" i="1"/>
  <c r="K61" i="1" a="1"/>
  <c r="K61" i="1" s="1"/>
  <c r="L61" i="1"/>
  <c r="K57" i="1" a="1"/>
  <c r="K57" i="1" s="1"/>
  <c r="L57" i="1"/>
  <c r="K53" i="1" a="1"/>
  <c r="K53" i="1" s="1"/>
  <c r="L53" i="1"/>
  <c r="K49" i="1" a="1"/>
  <c r="K49" i="1" s="1"/>
  <c r="L49" i="1"/>
  <c r="K45" i="1" a="1"/>
  <c r="K45" i="1" s="1"/>
  <c r="L45" i="1"/>
  <c r="K41" i="1" a="1"/>
  <c r="K41" i="1" s="1"/>
  <c r="L41" i="1"/>
  <c r="K37" i="1" a="1"/>
  <c r="K37" i="1" s="1"/>
  <c r="L37" i="1"/>
  <c r="K33" i="1" a="1"/>
  <c r="K33" i="1" s="1"/>
  <c r="L33" i="1"/>
  <c r="K29" i="1" a="1"/>
  <c r="K29" i="1" s="1"/>
  <c r="L29" i="1"/>
  <c r="K25" i="1" a="1"/>
  <c r="K25" i="1" s="1"/>
  <c r="L25" i="1"/>
  <c r="K21" i="1" a="1"/>
  <c r="K21" i="1" s="1"/>
  <c r="L21" i="1"/>
  <c r="K17" i="1" a="1"/>
  <c r="K17" i="1" s="1"/>
  <c r="L17" i="1"/>
  <c r="K13" i="1" a="1"/>
  <c r="K13" i="1" s="1"/>
  <c r="L13" i="1"/>
  <c r="K106" i="1" a="1"/>
  <c r="K106" i="1" s="1"/>
  <c r="L106" i="1"/>
  <c r="K102" i="1" a="1"/>
  <c r="K102" i="1" s="1"/>
  <c r="L102" i="1"/>
  <c r="K98" i="1" a="1"/>
  <c r="K98" i="1" s="1"/>
  <c r="L98" i="1"/>
  <c r="K94" i="1" a="1"/>
  <c r="K94" i="1" s="1"/>
  <c r="L94" i="1"/>
  <c r="K90" i="1" a="1"/>
  <c r="K90" i="1" s="1"/>
  <c r="L90" i="1"/>
  <c r="K86" i="1" a="1"/>
  <c r="K86" i="1" s="1"/>
  <c r="L86" i="1"/>
  <c r="K82" i="1" a="1"/>
  <c r="K82" i="1" s="1"/>
  <c r="L82" i="1"/>
  <c r="K73" i="1" a="1"/>
  <c r="K73" i="1" s="1"/>
  <c r="L73" i="1"/>
  <c r="K75" i="1" a="1"/>
  <c r="K75" i="1" s="1"/>
  <c r="L75" i="1"/>
  <c r="K70" i="1" a="1"/>
  <c r="K70" i="1" s="1"/>
  <c r="L70" i="1"/>
  <c r="K66" i="1" a="1"/>
  <c r="K66" i="1" s="1"/>
  <c r="L66" i="1"/>
  <c r="K62" i="1" a="1"/>
  <c r="K62" i="1" s="1"/>
  <c r="L62" i="1"/>
  <c r="K58" i="1" a="1"/>
  <c r="K58" i="1" s="1"/>
  <c r="L58" i="1"/>
  <c r="K54" i="1" a="1"/>
  <c r="K54" i="1" s="1"/>
  <c r="L54" i="1"/>
  <c r="K50" i="1" a="1"/>
  <c r="K50" i="1" s="1"/>
  <c r="L50" i="1"/>
  <c r="K46" i="1" a="1"/>
  <c r="K46" i="1" s="1"/>
  <c r="L46" i="1"/>
  <c r="K42" i="1" a="1"/>
  <c r="K42" i="1" s="1"/>
  <c r="L42" i="1"/>
  <c r="K38" i="1" a="1"/>
  <c r="K38" i="1" s="1"/>
  <c r="L38" i="1"/>
  <c r="K34" i="1" a="1"/>
  <c r="K34" i="1" s="1"/>
  <c r="L34" i="1"/>
  <c r="K30" i="1" a="1"/>
  <c r="K30" i="1" s="1"/>
  <c r="L30" i="1"/>
  <c r="K26" i="1" a="1"/>
  <c r="K26" i="1" s="1"/>
  <c r="L26" i="1"/>
  <c r="K22" i="1" a="1"/>
  <c r="K22" i="1" s="1"/>
  <c r="L22" i="1"/>
  <c r="K18" i="1" a="1"/>
  <c r="K18" i="1" s="1"/>
  <c r="L18" i="1"/>
  <c r="K14" i="1" a="1"/>
  <c r="K14" i="1" s="1"/>
  <c r="L14" i="1"/>
  <c r="K10" i="1" a="1"/>
  <c r="K10" i="1" s="1"/>
  <c r="L10" i="1"/>
  <c r="AL107" i="1"/>
  <c r="AM107" i="1" a="1"/>
  <c r="AM107" i="1" s="1"/>
  <c r="AL103" i="1"/>
  <c r="AM103" i="1" a="1"/>
  <c r="AM103" i="1" s="1"/>
  <c r="AL99" i="1"/>
  <c r="AM99" i="1" a="1"/>
  <c r="AM99" i="1" s="1"/>
  <c r="AL95" i="1"/>
  <c r="AM95" i="1" a="1"/>
  <c r="AM95" i="1" s="1"/>
  <c r="AL91" i="1"/>
  <c r="AM91" i="1" a="1"/>
  <c r="AM91" i="1" s="1"/>
  <c r="AL87" i="1"/>
  <c r="AM87" i="1" a="1"/>
  <c r="AM87" i="1" s="1"/>
  <c r="AL83" i="1"/>
  <c r="AM83" i="1" a="1"/>
  <c r="AM83" i="1" s="1"/>
  <c r="AL79" i="1"/>
  <c r="AM79" i="1" a="1"/>
  <c r="AM79" i="1" s="1"/>
  <c r="AL76" i="1"/>
  <c r="AM76" i="1" a="1"/>
  <c r="AM76" i="1" s="1"/>
  <c r="AL71" i="1"/>
  <c r="AM71" i="1" a="1"/>
  <c r="AM71" i="1" s="1"/>
  <c r="AL67" i="1"/>
  <c r="AM67" i="1" a="1"/>
  <c r="AM67" i="1" s="1"/>
  <c r="AL63" i="1"/>
  <c r="AM63" i="1" a="1"/>
  <c r="AM63" i="1" s="1"/>
  <c r="AL59" i="1"/>
  <c r="AM59" i="1" a="1"/>
  <c r="AM59" i="1" s="1"/>
  <c r="AL55" i="1"/>
  <c r="AM55" i="1" a="1"/>
  <c r="AM55" i="1" s="1"/>
  <c r="AL51" i="1"/>
  <c r="AM51" i="1" a="1"/>
  <c r="AM51" i="1" s="1"/>
  <c r="AL47" i="1"/>
  <c r="AM47" i="1" a="1"/>
  <c r="AM47" i="1" s="1"/>
  <c r="AL43" i="1"/>
  <c r="AM43" i="1" a="1"/>
  <c r="AM43" i="1" s="1"/>
  <c r="AL39" i="1"/>
  <c r="AM39" i="1" a="1"/>
  <c r="AM39" i="1" s="1"/>
  <c r="AL35" i="1"/>
  <c r="AM35" i="1" a="1"/>
  <c r="AM35" i="1" s="1"/>
  <c r="AL31" i="1"/>
  <c r="AM31" i="1" a="1"/>
  <c r="AM31" i="1" s="1"/>
  <c r="AL27" i="1"/>
  <c r="AM27" i="1" a="1"/>
  <c r="AM27" i="1" s="1"/>
  <c r="AL23" i="1"/>
  <c r="AM23" i="1" a="1"/>
  <c r="AM23" i="1" s="1"/>
  <c r="AL19" i="1"/>
  <c r="AM19" i="1" a="1"/>
  <c r="AM19" i="1" s="1"/>
  <c r="AL15" i="1"/>
  <c r="AM15" i="1" a="1"/>
  <c r="AM15" i="1" s="1"/>
  <c r="AL11" i="1"/>
  <c r="AM11" i="1" a="1"/>
  <c r="AM11" i="1" s="1"/>
  <c r="AL104" i="1"/>
  <c r="AM104" i="1" a="1"/>
  <c r="AM104" i="1" s="1"/>
  <c r="AL100" i="1"/>
  <c r="AM100" i="1" a="1"/>
  <c r="AM100" i="1" s="1"/>
  <c r="AL96" i="1"/>
  <c r="AM96" i="1" a="1"/>
  <c r="AM96" i="1" s="1"/>
  <c r="AL92" i="1"/>
  <c r="AM92" i="1" a="1"/>
  <c r="AM92" i="1" s="1"/>
  <c r="AL88" i="1"/>
  <c r="AM88" i="1" a="1"/>
  <c r="AM88" i="1" s="1"/>
  <c r="AL84" i="1"/>
  <c r="AM84" i="1" a="1"/>
  <c r="AM84" i="1" s="1"/>
  <c r="AL80" i="1"/>
  <c r="AM80" i="1" a="1"/>
  <c r="AM80" i="1" s="1"/>
  <c r="AL77" i="1"/>
  <c r="AM77" i="1" a="1"/>
  <c r="AM77" i="1" s="1"/>
  <c r="AL72" i="1"/>
  <c r="AM72" i="1" a="1"/>
  <c r="AM72" i="1" s="1"/>
  <c r="AL68" i="1"/>
  <c r="AM68" i="1" a="1"/>
  <c r="AM68" i="1" s="1"/>
  <c r="AL64" i="1"/>
  <c r="AM64" i="1" a="1"/>
  <c r="AM64" i="1" s="1"/>
  <c r="AL60" i="1"/>
  <c r="AM60" i="1" a="1"/>
  <c r="AM60" i="1" s="1"/>
  <c r="AL56" i="1"/>
  <c r="AM56" i="1" a="1"/>
  <c r="AM56" i="1" s="1"/>
  <c r="AL52" i="1"/>
  <c r="AM52" i="1" a="1"/>
  <c r="AM52" i="1" s="1"/>
  <c r="AL48" i="1"/>
  <c r="AM48" i="1" a="1"/>
  <c r="AM48" i="1" s="1"/>
  <c r="AL44" i="1"/>
  <c r="AM44" i="1" a="1"/>
  <c r="AM44" i="1" s="1"/>
  <c r="AL40" i="1"/>
  <c r="AM40" i="1" a="1"/>
  <c r="AM40" i="1" s="1"/>
  <c r="AL36" i="1"/>
  <c r="AM36" i="1" a="1"/>
  <c r="AM36" i="1" s="1"/>
  <c r="AL32" i="1"/>
  <c r="AM32" i="1" a="1"/>
  <c r="AM32" i="1" s="1"/>
  <c r="AL28" i="1"/>
  <c r="AM28" i="1" a="1"/>
  <c r="AM28" i="1" s="1"/>
  <c r="AL24" i="1"/>
  <c r="AM24" i="1" a="1"/>
  <c r="AM24" i="1" s="1"/>
  <c r="AL20" i="1"/>
  <c r="AM20" i="1" a="1"/>
  <c r="AM20" i="1" s="1"/>
  <c r="AL16" i="1"/>
  <c r="AM16" i="1" a="1"/>
  <c r="AM16" i="1" s="1"/>
  <c r="AL12" i="1"/>
  <c r="AM12" i="1" a="1"/>
  <c r="AM12" i="1" s="1"/>
  <c r="AL105" i="1"/>
  <c r="AM105" i="1" a="1"/>
  <c r="AM105" i="1" s="1"/>
  <c r="AL101" i="1"/>
  <c r="AM101" i="1" a="1"/>
  <c r="AM101" i="1" s="1"/>
  <c r="AL97" i="1"/>
  <c r="AM97" i="1" a="1"/>
  <c r="AM97" i="1" s="1"/>
  <c r="AL93" i="1"/>
  <c r="AM93" i="1" a="1"/>
  <c r="AM93" i="1" s="1"/>
  <c r="AL89" i="1"/>
  <c r="AM89" i="1" a="1"/>
  <c r="AM89" i="1" s="1"/>
  <c r="AL85" i="1"/>
  <c r="AM85" i="1" a="1"/>
  <c r="AM85" i="1" s="1"/>
  <c r="AL81" i="1"/>
  <c r="AM81" i="1" a="1"/>
  <c r="AM81" i="1" s="1"/>
  <c r="AL78" i="1"/>
  <c r="AM78" i="1" a="1"/>
  <c r="AM78" i="1" s="1"/>
  <c r="AL74" i="1"/>
  <c r="AM74" i="1" a="1"/>
  <c r="AM74" i="1" s="1"/>
  <c r="AL69" i="1"/>
  <c r="AM69" i="1" a="1"/>
  <c r="AM69" i="1" s="1"/>
  <c r="AL65" i="1"/>
  <c r="AM65" i="1" a="1"/>
  <c r="AM65" i="1" s="1"/>
  <c r="AL61" i="1"/>
  <c r="AM61" i="1" a="1"/>
  <c r="AM61" i="1" s="1"/>
  <c r="AL57" i="1"/>
  <c r="AM57" i="1" a="1"/>
  <c r="AM57" i="1" s="1"/>
  <c r="AL53" i="1"/>
  <c r="AM53" i="1" a="1"/>
  <c r="AM53" i="1" s="1"/>
  <c r="AL49" i="1"/>
  <c r="AM49" i="1" a="1"/>
  <c r="AM49" i="1" s="1"/>
  <c r="AL45" i="1"/>
  <c r="AM45" i="1" a="1"/>
  <c r="AM45" i="1" s="1"/>
  <c r="AL41" i="1"/>
  <c r="AM41" i="1" a="1"/>
  <c r="AM41" i="1" s="1"/>
  <c r="AL37" i="1"/>
  <c r="AM37" i="1" a="1"/>
  <c r="AM37" i="1" s="1"/>
  <c r="AL33" i="1"/>
  <c r="AM33" i="1" a="1"/>
  <c r="AM33" i="1" s="1"/>
  <c r="AL29" i="1"/>
  <c r="AM29" i="1" a="1"/>
  <c r="AM29" i="1" s="1"/>
  <c r="AL25" i="1"/>
  <c r="AM25" i="1" a="1"/>
  <c r="AM25" i="1" s="1"/>
  <c r="AL21" i="1"/>
  <c r="AM21" i="1" a="1"/>
  <c r="AM21" i="1" s="1"/>
  <c r="AL17" i="1"/>
  <c r="AM17" i="1" a="1"/>
  <c r="AM17" i="1" s="1"/>
  <c r="AL13" i="1"/>
  <c r="AM13" i="1" a="1"/>
  <c r="AM13" i="1" s="1"/>
  <c r="AL106" i="1"/>
  <c r="AM106" i="1" a="1"/>
  <c r="AM106" i="1" s="1"/>
  <c r="AL102" i="1"/>
  <c r="AM102" i="1" a="1"/>
  <c r="AM102" i="1" s="1"/>
  <c r="AL98" i="1"/>
  <c r="AM98" i="1" a="1"/>
  <c r="AM98" i="1" s="1"/>
  <c r="AL94" i="1"/>
  <c r="AM94" i="1" a="1"/>
  <c r="AM94" i="1" s="1"/>
  <c r="AL90" i="1"/>
  <c r="AM90" i="1" a="1"/>
  <c r="AM90" i="1" s="1"/>
  <c r="AL86" i="1"/>
  <c r="AM86" i="1" a="1"/>
  <c r="AM86" i="1" s="1"/>
  <c r="AL82" i="1"/>
  <c r="AM82" i="1" a="1"/>
  <c r="AM82" i="1" s="1"/>
  <c r="AL73" i="1"/>
  <c r="AM73" i="1" a="1"/>
  <c r="AM73" i="1" s="1"/>
  <c r="AL75" i="1"/>
  <c r="AM75" i="1" a="1"/>
  <c r="AM75" i="1" s="1"/>
  <c r="AL70" i="1"/>
  <c r="AM70" i="1" a="1"/>
  <c r="AM70" i="1" s="1"/>
  <c r="AL66" i="1"/>
  <c r="AM66" i="1" a="1"/>
  <c r="AM66" i="1" s="1"/>
  <c r="AL62" i="1"/>
  <c r="AM62" i="1" a="1"/>
  <c r="AM62" i="1" s="1"/>
  <c r="AL58" i="1"/>
  <c r="AM58" i="1" a="1"/>
  <c r="AM58" i="1" s="1"/>
  <c r="AL54" i="1"/>
  <c r="AM54" i="1" a="1"/>
  <c r="AM54" i="1" s="1"/>
  <c r="AL50" i="1"/>
  <c r="AM50" i="1" a="1"/>
  <c r="AM50" i="1" s="1"/>
  <c r="AL46" i="1"/>
  <c r="AM46" i="1" a="1"/>
  <c r="AM46" i="1" s="1"/>
  <c r="AL42" i="1"/>
  <c r="AM42" i="1" a="1"/>
  <c r="AM42" i="1" s="1"/>
  <c r="AL38" i="1"/>
  <c r="AM38" i="1" a="1"/>
  <c r="AM38" i="1" s="1"/>
  <c r="AL34" i="1"/>
  <c r="AM34" i="1" a="1"/>
  <c r="AM34" i="1" s="1"/>
  <c r="AL30" i="1"/>
  <c r="AM30" i="1" a="1"/>
  <c r="AM30" i="1" s="1"/>
  <c r="AL26" i="1"/>
  <c r="AM26" i="1" a="1"/>
  <c r="AM26" i="1" s="1"/>
  <c r="AL22" i="1"/>
  <c r="AM22" i="1" a="1"/>
  <c r="AM22" i="1" s="1"/>
  <c r="AL18" i="1"/>
  <c r="AM18" i="1" a="1"/>
  <c r="AM18" i="1" s="1"/>
  <c r="AL14" i="1"/>
  <c r="AM14" i="1" a="1"/>
  <c r="AM14" i="1" s="1"/>
  <c r="AM10" i="1" a="1"/>
  <c r="AM10" i="1" s="1"/>
  <c r="AL10" i="1"/>
  <c r="AH107" i="1"/>
  <c r="AJ107" i="1"/>
  <c r="AG107" i="1"/>
  <c r="AI107" i="1"/>
  <c r="AH103" i="1"/>
  <c r="AJ103" i="1"/>
  <c r="AG103" i="1"/>
  <c r="AI103" i="1"/>
  <c r="AH99" i="1"/>
  <c r="AJ99" i="1"/>
  <c r="AG99" i="1"/>
  <c r="AI99" i="1"/>
  <c r="AH95" i="1"/>
  <c r="AJ95" i="1"/>
  <c r="AG95" i="1"/>
  <c r="AI95" i="1"/>
  <c r="AH91" i="1"/>
  <c r="AJ91" i="1"/>
  <c r="AG91" i="1"/>
  <c r="AI91" i="1"/>
  <c r="AH87" i="1"/>
  <c r="AJ87" i="1"/>
  <c r="AG87" i="1"/>
  <c r="AI87" i="1"/>
  <c r="AH83" i="1"/>
  <c r="AJ83" i="1"/>
  <c r="AG83" i="1"/>
  <c r="AI83" i="1"/>
  <c r="AH79" i="1"/>
  <c r="AJ79" i="1"/>
  <c r="AG79" i="1"/>
  <c r="AI79" i="1"/>
  <c r="AH76" i="1"/>
  <c r="AJ76" i="1"/>
  <c r="AG76" i="1"/>
  <c r="AI76" i="1"/>
  <c r="AH71" i="1"/>
  <c r="AJ71" i="1"/>
  <c r="AG71" i="1"/>
  <c r="AI71" i="1"/>
  <c r="AH67" i="1"/>
  <c r="AJ67" i="1"/>
  <c r="AG67" i="1"/>
  <c r="AI67" i="1"/>
  <c r="AH63" i="1"/>
  <c r="AJ63" i="1"/>
  <c r="AG63" i="1"/>
  <c r="AI63" i="1"/>
  <c r="AH59" i="1"/>
  <c r="AJ59" i="1"/>
  <c r="AG59" i="1"/>
  <c r="AI59" i="1"/>
  <c r="AH55" i="1"/>
  <c r="AJ55" i="1"/>
  <c r="AG55" i="1"/>
  <c r="AI55" i="1"/>
  <c r="AH51" i="1"/>
  <c r="AJ51" i="1"/>
  <c r="AG51" i="1"/>
  <c r="AI51" i="1"/>
  <c r="AG47" i="1"/>
  <c r="AI47" i="1"/>
  <c r="AH47" i="1"/>
  <c r="AJ47" i="1"/>
  <c r="AG43" i="1"/>
  <c r="AI43" i="1"/>
  <c r="AH43" i="1"/>
  <c r="AJ43" i="1"/>
  <c r="AG39" i="1"/>
  <c r="AI39" i="1"/>
  <c r="AH39" i="1"/>
  <c r="AJ39" i="1"/>
  <c r="AG35" i="1"/>
  <c r="AI35" i="1"/>
  <c r="AH35" i="1"/>
  <c r="AJ35" i="1"/>
  <c r="AG31" i="1"/>
  <c r="AI31" i="1"/>
  <c r="AH31" i="1"/>
  <c r="AJ31" i="1"/>
  <c r="AG27" i="1"/>
  <c r="AI27" i="1"/>
  <c r="AH27" i="1"/>
  <c r="AJ27" i="1"/>
  <c r="AG23" i="1"/>
  <c r="AI23" i="1"/>
  <c r="AH23" i="1"/>
  <c r="AJ23" i="1"/>
  <c r="AG19" i="1"/>
  <c r="AI19" i="1"/>
  <c r="AH19" i="1"/>
  <c r="AJ19" i="1"/>
  <c r="AG15" i="1"/>
  <c r="AI15" i="1"/>
  <c r="AH15" i="1"/>
  <c r="AJ15" i="1"/>
  <c r="AG11" i="1"/>
  <c r="AI11" i="1"/>
  <c r="AH11" i="1"/>
  <c r="AJ11" i="1"/>
  <c r="AH104" i="1"/>
  <c r="AJ104" i="1"/>
  <c r="AG104" i="1"/>
  <c r="AI104" i="1"/>
  <c r="AH100" i="1"/>
  <c r="AJ100" i="1"/>
  <c r="AG100" i="1"/>
  <c r="AI100" i="1"/>
  <c r="AH96" i="1"/>
  <c r="AJ96" i="1"/>
  <c r="AG96" i="1"/>
  <c r="AI96" i="1"/>
  <c r="AH92" i="1"/>
  <c r="AJ92" i="1"/>
  <c r="AG92" i="1"/>
  <c r="AI92" i="1"/>
  <c r="AH88" i="1"/>
  <c r="AJ88" i="1"/>
  <c r="AG88" i="1"/>
  <c r="AI88" i="1"/>
  <c r="AH84" i="1"/>
  <c r="AJ84" i="1"/>
  <c r="AG84" i="1"/>
  <c r="AI84" i="1"/>
  <c r="AH80" i="1"/>
  <c r="AJ80" i="1"/>
  <c r="AG80" i="1"/>
  <c r="AI80" i="1"/>
  <c r="AH77" i="1"/>
  <c r="AJ77" i="1"/>
  <c r="AG77" i="1"/>
  <c r="AI77" i="1"/>
  <c r="AH72" i="1"/>
  <c r="AJ72" i="1"/>
  <c r="AG72" i="1"/>
  <c r="AI72" i="1"/>
  <c r="AH68" i="1"/>
  <c r="AJ68" i="1"/>
  <c r="AG68" i="1"/>
  <c r="AI68" i="1"/>
  <c r="AH64" i="1"/>
  <c r="AJ64" i="1"/>
  <c r="AG64" i="1"/>
  <c r="AI64" i="1"/>
  <c r="AH60" i="1"/>
  <c r="AJ60" i="1"/>
  <c r="AG60" i="1"/>
  <c r="AI60" i="1"/>
  <c r="AH56" i="1"/>
  <c r="AJ56" i="1"/>
  <c r="AG56" i="1"/>
  <c r="AI56" i="1"/>
  <c r="AH52" i="1"/>
  <c r="AJ52" i="1"/>
  <c r="AG52" i="1"/>
  <c r="AI52" i="1"/>
  <c r="AG48" i="1"/>
  <c r="AI48" i="1"/>
  <c r="AH48" i="1"/>
  <c r="AJ48" i="1"/>
  <c r="AG44" i="1"/>
  <c r="AI44" i="1"/>
  <c r="AH44" i="1"/>
  <c r="AJ44" i="1"/>
  <c r="AG40" i="1"/>
  <c r="AI40" i="1"/>
  <c r="AH40" i="1"/>
  <c r="AJ40" i="1"/>
  <c r="AG36" i="1"/>
  <c r="AI36" i="1"/>
  <c r="AH36" i="1"/>
  <c r="AJ36" i="1"/>
  <c r="AG32" i="1"/>
  <c r="AI32" i="1"/>
  <c r="AH32" i="1"/>
  <c r="AJ32" i="1"/>
  <c r="AG28" i="1"/>
  <c r="AI28" i="1"/>
  <c r="AH28" i="1"/>
  <c r="AJ28" i="1"/>
  <c r="AG24" i="1"/>
  <c r="AI24" i="1"/>
  <c r="AH24" i="1"/>
  <c r="AJ24" i="1"/>
  <c r="AG20" i="1"/>
  <c r="AI20" i="1"/>
  <c r="AH20" i="1"/>
  <c r="AJ20" i="1"/>
  <c r="AG16" i="1"/>
  <c r="AI16" i="1"/>
  <c r="AH16" i="1"/>
  <c r="AJ16" i="1"/>
  <c r="AG12" i="1"/>
  <c r="AI12" i="1"/>
  <c r="AH12" i="1"/>
  <c r="AJ12" i="1"/>
  <c r="AH105" i="1"/>
  <c r="AJ105" i="1"/>
  <c r="AG105" i="1"/>
  <c r="AI105" i="1"/>
  <c r="AH101" i="1"/>
  <c r="AJ101" i="1"/>
  <c r="AG101" i="1"/>
  <c r="AI101" i="1"/>
  <c r="AH97" i="1"/>
  <c r="AJ97" i="1"/>
  <c r="AG97" i="1"/>
  <c r="AI97" i="1"/>
  <c r="AH93" i="1"/>
  <c r="AJ93" i="1"/>
  <c r="AG93" i="1"/>
  <c r="AI93" i="1"/>
  <c r="AH89" i="1"/>
  <c r="AJ89" i="1"/>
  <c r="AG89" i="1"/>
  <c r="AI89" i="1"/>
  <c r="AH85" i="1"/>
  <c r="AJ85" i="1"/>
  <c r="AG85" i="1"/>
  <c r="AI85" i="1"/>
  <c r="AH81" i="1"/>
  <c r="AJ81" i="1"/>
  <c r="AG81" i="1"/>
  <c r="AI81" i="1"/>
  <c r="AH78" i="1"/>
  <c r="AJ78" i="1"/>
  <c r="AG78" i="1"/>
  <c r="AI78" i="1"/>
  <c r="AH74" i="1"/>
  <c r="AJ74" i="1"/>
  <c r="AG74" i="1"/>
  <c r="AI74" i="1"/>
  <c r="AH69" i="1"/>
  <c r="AJ69" i="1"/>
  <c r="AG69" i="1"/>
  <c r="AI69" i="1"/>
  <c r="AH65" i="1"/>
  <c r="AJ65" i="1"/>
  <c r="AG65" i="1"/>
  <c r="AI65" i="1"/>
  <c r="AH61" i="1"/>
  <c r="AJ61" i="1"/>
  <c r="AG61" i="1"/>
  <c r="AI61" i="1"/>
  <c r="AH57" i="1"/>
  <c r="AJ57" i="1"/>
  <c r="AG57" i="1"/>
  <c r="AI57" i="1"/>
  <c r="AH53" i="1"/>
  <c r="AG53" i="1"/>
  <c r="AJ53" i="1"/>
  <c r="AI53" i="1"/>
  <c r="AG49" i="1"/>
  <c r="AI49" i="1"/>
  <c r="AH49" i="1"/>
  <c r="AJ49" i="1"/>
  <c r="AG45" i="1"/>
  <c r="AI45" i="1"/>
  <c r="AH45" i="1"/>
  <c r="AJ45" i="1"/>
  <c r="AG41" i="1"/>
  <c r="AI41" i="1"/>
  <c r="AH41" i="1"/>
  <c r="AJ41" i="1"/>
  <c r="AG37" i="1"/>
  <c r="AI37" i="1"/>
  <c r="AH37" i="1"/>
  <c r="AJ37" i="1"/>
  <c r="AG33" i="1"/>
  <c r="AI33" i="1"/>
  <c r="AH33" i="1"/>
  <c r="AJ33" i="1"/>
  <c r="AG29" i="1"/>
  <c r="AI29" i="1"/>
  <c r="AH29" i="1"/>
  <c r="AJ29" i="1"/>
  <c r="AG25" i="1"/>
  <c r="AI25" i="1"/>
  <c r="AH25" i="1"/>
  <c r="AJ25" i="1"/>
  <c r="AG21" i="1"/>
  <c r="AI21" i="1"/>
  <c r="AH21" i="1"/>
  <c r="AJ21" i="1"/>
  <c r="AG17" i="1"/>
  <c r="AI17" i="1"/>
  <c r="AH17" i="1"/>
  <c r="AJ17" i="1"/>
  <c r="AG13" i="1"/>
  <c r="AI13" i="1"/>
  <c r="AH13" i="1"/>
  <c r="AJ13" i="1"/>
  <c r="AH106" i="1"/>
  <c r="AJ106" i="1"/>
  <c r="AG106" i="1"/>
  <c r="AI106" i="1"/>
  <c r="AH102" i="1"/>
  <c r="AJ102" i="1"/>
  <c r="AG102" i="1"/>
  <c r="AI102" i="1"/>
  <c r="AH98" i="1"/>
  <c r="AJ98" i="1"/>
  <c r="AG98" i="1"/>
  <c r="AI98" i="1"/>
  <c r="AH94" i="1"/>
  <c r="AG94" i="1"/>
  <c r="AJ94" i="1"/>
  <c r="AI94" i="1"/>
  <c r="AH90" i="1"/>
  <c r="AJ90" i="1"/>
  <c r="AG90" i="1"/>
  <c r="AI90" i="1"/>
  <c r="AH86" i="1"/>
  <c r="AJ86" i="1"/>
  <c r="AG86" i="1"/>
  <c r="AI86" i="1"/>
  <c r="AH82" i="1"/>
  <c r="AJ82" i="1"/>
  <c r="AG82" i="1"/>
  <c r="AI82" i="1"/>
  <c r="AH73" i="1"/>
  <c r="AJ73" i="1"/>
  <c r="AG73" i="1"/>
  <c r="AI73" i="1"/>
  <c r="AH75" i="1"/>
  <c r="AJ75" i="1"/>
  <c r="AG75" i="1"/>
  <c r="AI75" i="1"/>
  <c r="AH70" i="1"/>
  <c r="AJ70" i="1"/>
  <c r="AG70" i="1"/>
  <c r="AI70" i="1"/>
  <c r="AH66" i="1"/>
  <c r="AJ66" i="1"/>
  <c r="AG66" i="1"/>
  <c r="AI66" i="1"/>
  <c r="AH62" i="1"/>
  <c r="AJ62" i="1"/>
  <c r="AG62" i="1"/>
  <c r="AI62" i="1"/>
  <c r="AH58" i="1"/>
  <c r="AJ58" i="1"/>
  <c r="AG58" i="1"/>
  <c r="AI58" i="1"/>
  <c r="AH54" i="1"/>
  <c r="AJ54" i="1"/>
  <c r="AG54" i="1"/>
  <c r="AI54" i="1"/>
  <c r="AG50" i="1"/>
  <c r="AI50" i="1"/>
  <c r="AH50" i="1"/>
  <c r="AJ50" i="1"/>
  <c r="AG46" i="1"/>
  <c r="AI46" i="1"/>
  <c r="AH46" i="1"/>
  <c r="AJ46" i="1"/>
  <c r="AG42" i="1"/>
  <c r="AI42" i="1"/>
  <c r="AH42" i="1"/>
  <c r="AJ42" i="1"/>
  <c r="AG38" i="1"/>
  <c r="AI38" i="1"/>
  <c r="AH38" i="1"/>
  <c r="AJ38" i="1"/>
  <c r="AG34" i="1"/>
  <c r="AI34" i="1"/>
  <c r="AH34" i="1"/>
  <c r="AJ34" i="1"/>
  <c r="AG30" i="1"/>
  <c r="AI30" i="1"/>
  <c r="AH30" i="1"/>
  <c r="AJ30" i="1"/>
  <c r="AG26" i="1"/>
  <c r="AI26" i="1"/>
  <c r="AH26" i="1"/>
  <c r="AJ26" i="1"/>
  <c r="AG22" i="1"/>
  <c r="AI22" i="1"/>
  <c r="AH22" i="1"/>
  <c r="AJ22" i="1"/>
  <c r="AG18" i="1"/>
  <c r="AI18" i="1"/>
  <c r="AH18" i="1"/>
  <c r="AJ18" i="1"/>
  <c r="AG14" i="1"/>
  <c r="AI14" i="1"/>
  <c r="AH14" i="1"/>
  <c r="AJ14" i="1"/>
  <c r="Q38" i="85"/>
  <c r="X110" i="82"/>
  <c r="X103" i="82"/>
  <c r="X105" i="82"/>
  <c r="X108" i="82"/>
  <c r="X76" i="82"/>
  <c r="X109" i="82"/>
  <c r="X106" i="82"/>
  <c r="X71" i="82"/>
  <c r="X107" i="82"/>
  <c r="X69" i="82"/>
  <c r="X72" i="82"/>
  <c r="X75" i="82"/>
  <c r="X73" i="82"/>
  <c r="X74" i="82"/>
  <c r="X70" i="82"/>
  <c r="P10" i="1" l="1"/>
  <c r="M10" i="1"/>
  <c r="P14" i="1"/>
  <c r="M14" i="1"/>
  <c r="P18" i="1"/>
  <c r="M18" i="1"/>
  <c r="P22" i="1"/>
  <c r="M22" i="1"/>
  <c r="C22" i="1" s="1"/>
  <c r="P26" i="1"/>
  <c r="M26" i="1"/>
  <c r="P30" i="1"/>
  <c r="M30" i="1"/>
  <c r="P34" i="1"/>
  <c r="M34" i="1"/>
  <c r="P38" i="1"/>
  <c r="M38" i="1"/>
  <c r="P42" i="1"/>
  <c r="M42" i="1"/>
  <c r="P46" i="1"/>
  <c r="M46" i="1"/>
  <c r="P50" i="1"/>
  <c r="M50" i="1"/>
  <c r="C50" i="1" s="1"/>
  <c r="P54" i="1"/>
  <c r="M54" i="1"/>
  <c r="P58" i="1"/>
  <c r="M58" i="1"/>
  <c r="C58" i="1" s="1"/>
  <c r="P62" i="1"/>
  <c r="M62" i="1"/>
  <c r="P66" i="1"/>
  <c r="M66" i="1"/>
  <c r="C66" i="1" s="1"/>
  <c r="P70" i="1"/>
  <c r="M70" i="1"/>
  <c r="P75" i="1"/>
  <c r="M75" i="1"/>
  <c r="C75" i="1" s="1"/>
  <c r="P73" i="1"/>
  <c r="M73" i="1"/>
  <c r="P82" i="1"/>
  <c r="M82" i="1"/>
  <c r="C82" i="1" s="1"/>
  <c r="P86" i="1"/>
  <c r="M86" i="1"/>
  <c r="C86" i="1" s="1"/>
  <c r="P90" i="1"/>
  <c r="M90" i="1"/>
  <c r="P94" i="1"/>
  <c r="M94" i="1"/>
  <c r="P98" i="1"/>
  <c r="M98" i="1"/>
  <c r="P102" i="1"/>
  <c r="M102" i="1"/>
  <c r="C102" i="1" s="1"/>
  <c r="P106" i="1"/>
  <c r="M106" i="1"/>
  <c r="C106" i="1" s="1"/>
  <c r="P13" i="1"/>
  <c r="M13" i="1"/>
  <c r="P17" i="1"/>
  <c r="M17" i="1"/>
  <c r="P21" i="1"/>
  <c r="M21" i="1"/>
  <c r="C21" i="1" s="1"/>
  <c r="P25" i="1"/>
  <c r="M25" i="1"/>
  <c r="P29" i="1"/>
  <c r="M29" i="1"/>
  <c r="P33" i="1"/>
  <c r="M33" i="1"/>
  <c r="F33" i="1" s="1"/>
  <c r="P37" i="1"/>
  <c r="M37" i="1"/>
  <c r="P41" i="1"/>
  <c r="M41" i="1"/>
  <c r="C41" i="1" s="1"/>
  <c r="P45" i="1"/>
  <c r="M45" i="1"/>
  <c r="P49" i="1"/>
  <c r="M49" i="1"/>
  <c r="P53" i="1"/>
  <c r="M53" i="1"/>
  <c r="P57" i="1"/>
  <c r="M57" i="1"/>
  <c r="P61" i="1"/>
  <c r="M61" i="1"/>
  <c r="P65" i="1"/>
  <c r="M65" i="1"/>
  <c r="C65" i="1" s="1"/>
  <c r="P69" i="1"/>
  <c r="M69" i="1"/>
  <c r="C69" i="1" s="1"/>
  <c r="P74" i="1"/>
  <c r="M74" i="1"/>
  <c r="C74" i="1" s="1"/>
  <c r="P78" i="1"/>
  <c r="M78" i="1"/>
  <c r="C78" i="1" s="1"/>
  <c r="P81" i="1"/>
  <c r="M81" i="1"/>
  <c r="C81" i="1" s="1"/>
  <c r="P85" i="1"/>
  <c r="M85" i="1"/>
  <c r="F85" i="1" s="1"/>
  <c r="P89" i="1"/>
  <c r="M89" i="1"/>
  <c r="P93" i="1"/>
  <c r="M93" i="1"/>
  <c r="C93" i="1" s="1"/>
  <c r="P97" i="1"/>
  <c r="M97" i="1"/>
  <c r="P101" i="1"/>
  <c r="M101" i="1"/>
  <c r="P105" i="1"/>
  <c r="M105" i="1"/>
  <c r="P12" i="1"/>
  <c r="M12" i="1"/>
  <c r="P16" i="1"/>
  <c r="M16" i="1"/>
  <c r="P20" i="1"/>
  <c r="M20" i="1"/>
  <c r="C20" i="1" s="1"/>
  <c r="P24" i="1"/>
  <c r="M24" i="1"/>
  <c r="C24" i="1" s="1"/>
  <c r="P28" i="1"/>
  <c r="M28" i="1"/>
  <c r="P32" i="1"/>
  <c r="M32" i="1"/>
  <c r="P36" i="1"/>
  <c r="M36" i="1"/>
  <c r="C36" i="1" s="1"/>
  <c r="P40" i="1"/>
  <c r="M40" i="1"/>
  <c r="P44" i="1"/>
  <c r="M44" i="1"/>
  <c r="P48" i="1"/>
  <c r="M48" i="1"/>
  <c r="F48" i="1" s="1"/>
  <c r="P52" i="1"/>
  <c r="M52" i="1"/>
  <c r="P56" i="1"/>
  <c r="M56" i="1"/>
  <c r="P60" i="1"/>
  <c r="M60" i="1"/>
  <c r="P64" i="1"/>
  <c r="M64" i="1"/>
  <c r="C64" i="1" s="1"/>
  <c r="P68" i="1"/>
  <c r="M68" i="1"/>
  <c r="P72" i="1"/>
  <c r="M72" i="1"/>
  <c r="P77" i="1"/>
  <c r="M77" i="1"/>
  <c r="P80" i="1"/>
  <c r="M80" i="1"/>
  <c r="C80" i="1" s="1"/>
  <c r="P84" i="1"/>
  <c r="M84" i="1"/>
  <c r="P88" i="1"/>
  <c r="M88" i="1"/>
  <c r="P92" i="1"/>
  <c r="M92" i="1"/>
  <c r="P96" i="1"/>
  <c r="M96" i="1"/>
  <c r="F96" i="1" s="1"/>
  <c r="P100" i="1"/>
  <c r="M100" i="1"/>
  <c r="P104" i="1"/>
  <c r="M104" i="1"/>
  <c r="P11" i="1"/>
  <c r="M11" i="1"/>
  <c r="P15" i="1"/>
  <c r="M15" i="1"/>
  <c r="P19" i="1"/>
  <c r="M19" i="1"/>
  <c r="P23" i="1"/>
  <c r="M23" i="1"/>
  <c r="P27" i="1"/>
  <c r="M27" i="1"/>
  <c r="P31" i="1"/>
  <c r="M31" i="1"/>
  <c r="C31" i="1" s="1"/>
  <c r="P35" i="1"/>
  <c r="M35" i="1"/>
  <c r="P39" i="1"/>
  <c r="M39" i="1"/>
  <c r="C39" i="1" s="1"/>
  <c r="P43" i="1"/>
  <c r="M43" i="1"/>
  <c r="P47" i="1"/>
  <c r="M47" i="1"/>
  <c r="C47" i="1" s="1"/>
  <c r="P51" i="1"/>
  <c r="M51" i="1"/>
  <c r="P55" i="1"/>
  <c r="M55" i="1"/>
  <c r="P59" i="1"/>
  <c r="M59" i="1"/>
  <c r="C59" i="1" s="1"/>
  <c r="P63" i="1"/>
  <c r="M63" i="1"/>
  <c r="P67" i="1"/>
  <c r="M67" i="1"/>
  <c r="P71" i="1"/>
  <c r="M71" i="1"/>
  <c r="P76" i="1"/>
  <c r="M76" i="1"/>
  <c r="C76" i="1" s="1"/>
  <c r="P79" i="1"/>
  <c r="M79" i="1"/>
  <c r="C79" i="1" s="1"/>
  <c r="P83" i="1"/>
  <c r="M83" i="1"/>
  <c r="P87" i="1"/>
  <c r="M87" i="1"/>
  <c r="P91" i="1"/>
  <c r="M91" i="1"/>
  <c r="C91" i="1" s="1"/>
  <c r="P95" i="1"/>
  <c r="M95" i="1"/>
  <c r="P99" i="1"/>
  <c r="M99" i="1"/>
  <c r="P103" i="1"/>
  <c r="M103" i="1"/>
  <c r="P107" i="1"/>
  <c r="M107" i="1"/>
  <c r="B313" i="82"/>
  <c r="B315" i="82"/>
  <c r="B312" i="82"/>
  <c r="B314" i="82"/>
  <c r="B301" i="82"/>
  <c r="B311" i="82"/>
  <c r="B303" i="82"/>
  <c r="B306" i="82"/>
  <c r="B308" i="82"/>
  <c r="B300" i="82"/>
  <c r="B305" i="82"/>
  <c r="B310" i="82"/>
  <c r="B302" i="82"/>
  <c r="B304" i="82"/>
  <c r="B307" i="82"/>
  <c r="B309" i="82"/>
  <c r="H144" i="81" l="1"/>
  <c r="C138" i="81"/>
  <c r="C136" i="81"/>
  <c r="E33" i="1" l="1"/>
  <c r="E85" i="1"/>
  <c r="E96" i="1"/>
  <c r="E48" i="1"/>
  <c r="C34" i="81"/>
  <c r="G34" i="81"/>
  <c r="C27" i="81"/>
  <c r="G27" i="81"/>
  <c r="C19" i="81"/>
  <c r="G19" i="81"/>
  <c r="C11" i="81"/>
  <c r="G11" i="81"/>
  <c r="A4" i="81"/>
  <c r="A2" i="81"/>
  <c r="B125" i="81"/>
  <c r="B123" i="81"/>
  <c r="B121" i="81"/>
  <c r="B119" i="81"/>
  <c r="B108" i="81"/>
  <c r="B106" i="81"/>
  <c r="B104" i="81"/>
  <c r="B102" i="81"/>
  <c r="G36" i="81"/>
  <c r="C36" i="81"/>
  <c r="G35" i="81"/>
  <c r="C35" i="81"/>
  <c r="G33" i="81"/>
  <c r="C33" i="81"/>
  <c r="G32" i="81"/>
  <c r="C32" i="81"/>
  <c r="G31" i="81"/>
  <c r="C31" i="81"/>
  <c r="G28" i="81"/>
  <c r="C28" i="81"/>
  <c r="G26" i="81"/>
  <c r="C26" i="81"/>
  <c r="G25" i="81"/>
  <c r="C25" i="81"/>
  <c r="G24" i="81"/>
  <c r="C24" i="81"/>
  <c r="G23" i="81"/>
  <c r="C23" i="81"/>
  <c r="G20" i="81"/>
  <c r="C20" i="81"/>
  <c r="G18" i="81"/>
  <c r="C18" i="81"/>
  <c r="G17" i="81"/>
  <c r="C17" i="81"/>
  <c r="G16" i="81"/>
  <c r="C16" i="81"/>
  <c r="G15" i="81"/>
  <c r="C15" i="81"/>
  <c r="G12" i="81"/>
  <c r="C12" i="81"/>
  <c r="G10" i="81"/>
  <c r="C10" i="81"/>
  <c r="G9" i="81"/>
  <c r="C9" i="81"/>
  <c r="G8" i="81"/>
  <c r="C8" i="81"/>
  <c r="G7" i="81"/>
  <c r="C7" i="81"/>
  <c r="G1" i="81"/>
  <c r="D1" i="81"/>
  <c r="H137" i="81" l="1"/>
  <c r="H140" i="81"/>
  <c r="C120" i="81"/>
  <c r="C124" i="81"/>
  <c r="B301" i="79"/>
  <c r="B302" i="79"/>
  <c r="B303" i="79"/>
  <c r="B304" i="79"/>
  <c r="B305" i="79"/>
  <c r="B306" i="79"/>
  <c r="B307" i="79"/>
  <c r="B308" i="79"/>
  <c r="B309" i="79"/>
  <c r="B300" i="79"/>
  <c r="C75" i="79"/>
  <c r="C107" i="81" l="1"/>
  <c r="C112" i="81"/>
  <c r="C103" i="81"/>
  <c r="C110" i="81"/>
  <c r="C127" i="81"/>
  <c r="C129" i="81"/>
  <c r="F1" i="75"/>
  <c r="G1" i="76"/>
  <c r="F1" i="69"/>
  <c r="G1" i="43"/>
  <c r="E1" i="53"/>
  <c r="E1" i="50"/>
  <c r="G1" i="79"/>
  <c r="C85" i="79"/>
  <c r="C87" i="79"/>
  <c r="B76" i="79"/>
  <c r="B74" i="79"/>
  <c r="B72" i="79"/>
  <c r="B70" i="79"/>
  <c r="B53" i="79"/>
  <c r="B59" i="79"/>
  <c r="B57" i="79"/>
  <c r="B55" i="79"/>
  <c r="H108" i="81" l="1"/>
  <c r="H128" i="81"/>
  <c r="H111" i="81"/>
  <c r="H125" i="81"/>
  <c r="H122" i="81"/>
  <c r="A4" i="79"/>
  <c r="A2" i="79"/>
  <c r="H114" i="81" l="1"/>
  <c r="H131" i="81"/>
  <c r="H105" i="81"/>
  <c r="H89" i="79"/>
  <c r="G32" i="79"/>
  <c r="C32" i="79"/>
  <c r="G31" i="79"/>
  <c r="C31" i="79"/>
  <c r="G30" i="79"/>
  <c r="C30" i="79"/>
  <c r="G29" i="79"/>
  <c r="C29" i="79"/>
  <c r="G28" i="79"/>
  <c r="C28" i="79"/>
  <c r="G25" i="79"/>
  <c r="C25" i="79"/>
  <c r="G24" i="79"/>
  <c r="C24" i="79"/>
  <c r="G23" i="79"/>
  <c r="C23" i="79"/>
  <c r="G22" i="79"/>
  <c r="C22" i="79"/>
  <c r="G21" i="79"/>
  <c r="C21" i="79"/>
  <c r="G18" i="79"/>
  <c r="C18" i="79"/>
  <c r="G17" i="79"/>
  <c r="C17" i="79"/>
  <c r="G16" i="79"/>
  <c r="C16" i="79"/>
  <c r="G15" i="79"/>
  <c r="C15" i="79"/>
  <c r="G14" i="79"/>
  <c r="C14" i="79"/>
  <c r="G11" i="79"/>
  <c r="C11" i="79"/>
  <c r="G10" i="79"/>
  <c r="C10" i="79"/>
  <c r="G9" i="79"/>
  <c r="C9" i="79"/>
  <c r="G8" i="79"/>
  <c r="C8" i="79"/>
  <c r="G7" i="79"/>
  <c r="C7" i="79"/>
  <c r="C1" i="79"/>
  <c r="B303" i="81" l="1"/>
  <c r="B307" i="81"/>
  <c r="B304" i="81"/>
  <c r="B300" i="81"/>
  <c r="B301" i="81"/>
  <c r="B305" i="81"/>
  <c r="B302" i="81"/>
  <c r="B306" i="81"/>
  <c r="B309" i="81"/>
  <c r="B308" i="81"/>
  <c r="B310" i="81"/>
  <c r="H86" i="79"/>
  <c r="AC9" i="1" l="1"/>
  <c r="C63" i="79"/>
  <c r="C58" i="79"/>
  <c r="C80" i="79"/>
  <c r="C78" i="79"/>
  <c r="C71" i="79"/>
  <c r="C61" i="79"/>
  <c r="C54" i="79"/>
  <c r="AH9" i="1" l="1"/>
  <c r="AI9" i="1"/>
  <c r="H76" i="79"/>
  <c r="H59" i="79"/>
  <c r="H79" i="79"/>
  <c r="H65" i="79"/>
  <c r="H82" i="79" l="1"/>
  <c r="H73" i="79"/>
  <c r="H56" i="79"/>
  <c r="H62" i="79"/>
  <c r="E26" i="22" l="1"/>
  <c r="C19" i="22" l="1"/>
  <c r="A4" i="77" l="1"/>
  <c r="A2" i="77"/>
  <c r="F1" i="77"/>
  <c r="C1" i="77"/>
  <c r="J5" i="77" l="1"/>
  <c r="F25" i="22" l="1"/>
  <c r="F19" i="22"/>
  <c r="F18" i="22"/>
  <c r="A3" i="77" s="1"/>
  <c r="C18" i="22"/>
  <c r="A1" i="77" s="1"/>
  <c r="N29" i="76" l="1"/>
  <c r="P29" i="76"/>
  <c r="R29" i="76"/>
  <c r="T29" i="76"/>
  <c r="T40" i="76"/>
  <c r="U40" i="76" s="1"/>
  <c r="R40" i="76"/>
  <c r="S40" i="76" s="1"/>
  <c r="P40" i="76"/>
  <c r="Q40" i="76" s="1"/>
  <c r="N40" i="76"/>
  <c r="O40" i="76" s="1"/>
  <c r="T39" i="76"/>
  <c r="U39" i="76" s="1"/>
  <c r="R39" i="76"/>
  <c r="S39" i="76" s="1"/>
  <c r="P39" i="76"/>
  <c r="N39" i="76"/>
  <c r="T38" i="76"/>
  <c r="U38" i="76" s="1"/>
  <c r="R38" i="76"/>
  <c r="S38" i="76" s="1"/>
  <c r="P38" i="76"/>
  <c r="N38" i="76"/>
  <c r="T37" i="76"/>
  <c r="U37" i="76" s="1"/>
  <c r="R37" i="76"/>
  <c r="S37" i="76" s="1"/>
  <c r="P37" i="76"/>
  <c r="N37" i="76"/>
  <c r="T34" i="76"/>
  <c r="U34" i="76" s="1"/>
  <c r="R34" i="76"/>
  <c r="S34" i="76" s="1"/>
  <c r="P34" i="76"/>
  <c r="Q34" i="76" s="1"/>
  <c r="N34" i="76"/>
  <c r="O34" i="76" s="1"/>
  <c r="T33" i="76"/>
  <c r="U33" i="76" s="1"/>
  <c r="R33" i="76"/>
  <c r="S33" i="76" s="1"/>
  <c r="P33" i="76"/>
  <c r="N33" i="76"/>
  <c r="T32" i="76"/>
  <c r="U32" i="76" s="1"/>
  <c r="R32" i="76"/>
  <c r="S32" i="76" s="1"/>
  <c r="P32" i="76"/>
  <c r="N32" i="76"/>
  <c r="T31" i="76"/>
  <c r="U31" i="76" s="1"/>
  <c r="R31" i="76"/>
  <c r="S31" i="76" s="1"/>
  <c r="P31" i="76"/>
  <c r="N31" i="76"/>
  <c r="T28" i="76"/>
  <c r="U28" i="76" s="1"/>
  <c r="R28" i="76"/>
  <c r="S28" i="76" s="1"/>
  <c r="P28" i="76"/>
  <c r="N28" i="76"/>
  <c r="T27" i="76"/>
  <c r="U27" i="76" s="1"/>
  <c r="R27" i="76"/>
  <c r="S27" i="76" s="1"/>
  <c r="P27" i="76"/>
  <c r="N27" i="76"/>
  <c r="T26" i="76"/>
  <c r="U26" i="76" s="1"/>
  <c r="R26" i="76"/>
  <c r="S26" i="76" s="1"/>
  <c r="P26" i="76"/>
  <c r="N26" i="76"/>
  <c r="T25" i="76"/>
  <c r="U25" i="76" s="1"/>
  <c r="R25" i="76"/>
  <c r="S25" i="76" s="1"/>
  <c r="P25" i="76"/>
  <c r="N25" i="76"/>
  <c r="T22" i="76"/>
  <c r="U22" i="76" s="1"/>
  <c r="R22" i="76"/>
  <c r="S22" i="76" s="1"/>
  <c r="P22" i="76"/>
  <c r="N22" i="76"/>
  <c r="T21" i="76"/>
  <c r="U21" i="76" s="1"/>
  <c r="R21" i="76"/>
  <c r="S21" i="76" s="1"/>
  <c r="P21" i="76"/>
  <c r="N21" i="76"/>
  <c r="T20" i="76"/>
  <c r="U20" i="76" s="1"/>
  <c r="R20" i="76"/>
  <c r="S20" i="76" s="1"/>
  <c r="P20" i="76"/>
  <c r="N20" i="76"/>
  <c r="T19" i="76"/>
  <c r="U19" i="76" s="1"/>
  <c r="R19" i="76"/>
  <c r="S19" i="76" s="1"/>
  <c r="P19" i="76"/>
  <c r="N19" i="76"/>
  <c r="T16" i="76"/>
  <c r="U16" i="76" s="1"/>
  <c r="R16" i="76"/>
  <c r="S16" i="76" s="1"/>
  <c r="P16" i="76"/>
  <c r="N16" i="76"/>
  <c r="T15" i="76"/>
  <c r="U15" i="76" s="1"/>
  <c r="R15" i="76"/>
  <c r="S15" i="76" s="1"/>
  <c r="P15" i="76"/>
  <c r="N15" i="76"/>
  <c r="T14" i="76"/>
  <c r="U14" i="76" s="1"/>
  <c r="R14" i="76"/>
  <c r="S14" i="76" s="1"/>
  <c r="P14" i="76"/>
  <c r="N14" i="76"/>
  <c r="T13" i="76"/>
  <c r="U13" i="76" s="1"/>
  <c r="R13" i="76"/>
  <c r="S13" i="76" s="1"/>
  <c r="P13" i="76"/>
  <c r="N13" i="76"/>
  <c r="T10" i="76"/>
  <c r="U10" i="76" s="1"/>
  <c r="R10" i="76"/>
  <c r="S10" i="76" s="1"/>
  <c r="P10" i="76"/>
  <c r="N10" i="76"/>
  <c r="T9" i="76"/>
  <c r="U9" i="76" s="1"/>
  <c r="R9" i="76"/>
  <c r="S9" i="76" s="1"/>
  <c r="P9" i="76"/>
  <c r="N9" i="76"/>
  <c r="T8" i="76"/>
  <c r="U8" i="76" s="1"/>
  <c r="R8" i="76"/>
  <c r="S8" i="76" s="1"/>
  <c r="P8" i="76"/>
  <c r="N8" i="76"/>
  <c r="T7" i="76"/>
  <c r="U7" i="76" s="1"/>
  <c r="R7" i="76"/>
  <c r="S7" i="76" s="1"/>
  <c r="P7" i="76"/>
  <c r="N7" i="76"/>
  <c r="A4" i="76"/>
  <c r="A3" i="76"/>
  <c r="A2" i="76"/>
  <c r="E40" i="76"/>
  <c r="C40" i="76"/>
  <c r="E39" i="76"/>
  <c r="G39" i="76" s="1"/>
  <c r="E38" i="76"/>
  <c r="G38" i="76" s="1"/>
  <c r="C37" i="76"/>
  <c r="G37" i="76" s="1"/>
  <c r="E34" i="76"/>
  <c r="C34" i="76"/>
  <c r="E33" i="76"/>
  <c r="E32" i="76"/>
  <c r="C31" i="76"/>
  <c r="E26" i="76"/>
  <c r="E22" i="76"/>
  <c r="C22" i="76"/>
  <c r="E21" i="76"/>
  <c r="E20" i="76"/>
  <c r="C19" i="76"/>
  <c r="E16" i="76"/>
  <c r="C16" i="76"/>
  <c r="E15" i="76"/>
  <c r="E14" i="76"/>
  <c r="C13" i="76"/>
  <c r="E10" i="76"/>
  <c r="C10" i="76"/>
  <c r="E9" i="76"/>
  <c r="E8" i="76"/>
  <c r="C7" i="76"/>
  <c r="E1" i="76"/>
  <c r="A4" i="75"/>
  <c r="A3" i="75"/>
  <c r="A2" i="75"/>
  <c r="E28" i="75"/>
  <c r="C28" i="75"/>
  <c r="E27" i="75"/>
  <c r="G27" i="75" s="1"/>
  <c r="E26" i="75"/>
  <c r="G26" i="75" s="1"/>
  <c r="C25" i="75"/>
  <c r="G25" i="75" s="1"/>
  <c r="E22" i="75"/>
  <c r="C22" i="75"/>
  <c r="E21" i="75"/>
  <c r="E20" i="75"/>
  <c r="G20" i="75" s="1"/>
  <c r="C19" i="75"/>
  <c r="E16" i="75"/>
  <c r="C16" i="75"/>
  <c r="E15" i="75"/>
  <c r="E14" i="75"/>
  <c r="C13" i="75"/>
  <c r="G13" i="75" s="1"/>
  <c r="E8" i="75"/>
  <c r="D1" i="75"/>
  <c r="G7" i="75" l="1"/>
  <c r="G14" i="75"/>
  <c r="G8" i="76"/>
  <c r="G13" i="76"/>
  <c r="G15" i="76"/>
  <c r="G20" i="76"/>
  <c r="G25" i="76"/>
  <c r="G27" i="76"/>
  <c r="G32" i="76"/>
  <c r="G19" i="75"/>
  <c r="G15" i="75"/>
  <c r="G9" i="75"/>
  <c r="M34" i="76"/>
  <c r="M40" i="76"/>
  <c r="G22" i="75"/>
  <c r="G28" i="75"/>
  <c r="G8" i="75"/>
  <c r="G10" i="75"/>
  <c r="G16" i="75"/>
  <c r="G21" i="75"/>
  <c r="G7" i="76"/>
  <c r="G14" i="76"/>
  <c r="G19" i="76"/>
  <c r="G26" i="76"/>
  <c r="G31" i="76"/>
  <c r="G10" i="76"/>
  <c r="G16" i="76"/>
  <c r="G21" i="76"/>
  <c r="G34" i="76"/>
  <c r="G40" i="76"/>
  <c r="G9" i="76"/>
  <c r="G22" i="76"/>
  <c r="G28" i="76"/>
  <c r="G33" i="76"/>
  <c r="C13" i="44"/>
  <c r="E14" i="44"/>
  <c r="E15" i="44"/>
  <c r="C16" i="44"/>
  <c r="E16" i="44"/>
  <c r="E8" i="69"/>
  <c r="E9" i="69"/>
  <c r="E10" i="69"/>
  <c r="C7" i="69"/>
  <c r="G7" i="69" s="1"/>
  <c r="G9" i="69"/>
  <c r="C10" i="69"/>
  <c r="G10" i="69"/>
  <c r="E22" i="69"/>
  <c r="B66" i="76" l="1"/>
  <c r="B56" i="76"/>
  <c r="B44" i="76"/>
  <c r="C44" i="76" s="1"/>
  <c r="B52" i="76"/>
  <c r="B58" i="76"/>
  <c r="B48" i="76"/>
  <c r="B62" i="76"/>
  <c r="B72" i="76"/>
  <c r="B46" i="76"/>
  <c r="B50" i="76"/>
  <c r="B54" i="76"/>
  <c r="B74" i="76"/>
  <c r="B64" i="76"/>
  <c r="B68" i="76"/>
  <c r="C68" i="76" s="1"/>
  <c r="B40" i="75"/>
  <c r="B42" i="75"/>
  <c r="B32" i="75"/>
  <c r="B36" i="75"/>
  <c r="B46" i="75"/>
  <c r="B34" i="75"/>
  <c r="B38" i="75"/>
  <c r="B44" i="75"/>
  <c r="B70" i="76"/>
  <c r="B60" i="76"/>
  <c r="G8" i="69"/>
  <c r="C73" i="76" l="1"/>
  <c r="C70" i="76"/>
  <c r="C69" i="76" s="1"/>
  <c r="C65" i="76"/>
  <c r="C62" i="76"/>
  <c r="C60" i="76"/>
  <c r="C61" i="76" s="1"/>
  <c r="C57" i="76"/>
  <c r="C54" i="76"/>
  <c r="C52" i="76"/>
  <c r="C53" i="76" s="1"/>
  <c r="C49" i="76"/>
  <c r="C46" i="76"/>
  <c r="C45" i="76" s="1"/>
  <c r="C60" i="75"/>
  <c r="C62" i="75"/>
  <c r="C45" i="75"/>
  <c r="C58" i="75"/>
  <c r="C37" i="75"/>
  <c r="C56" i="75"/>
  <c r="C33" i="75"/>
  <c r="C19" i="69"/>
  <c r="C22" i="69"/>
  <c r="G22" i="69" s="1"/>
  <c r="E86" i="76" l="1"/>
  <c r="C41" i="75"/>
  <c r="E55" i="76"/>
  <c r="E61" i="75"/>
  <c r="E84" i="76"/>
  <c r="E47" i="76"/>
  <c r="E88" i="76"/>
  <c r="E71" i="76"/>
  <c r="E63" i="76"/>
  <c r="E64" i="75"/>
  <c r="E66" i="75"/>
  <c r="E82" i="76" l="1"/>
  <c r="E49" i="75"/>
  <c r="E43" i="75"/>
  <c r="E57" i="75"/>
  <c r="E47" i="75"/>
  <c r="E35" i="75"/>
  <c r="AA8" i="1"/>
  <c r="V8" i="1"/>
  <c r="AK52" i="1" l="1"/>
  <c r="AK48" i="1"/>
  <c r="AK44" i="1"/>
  <c r="AK40" i="1"/>
  <c r="AK36" i="1"/>
  <c r="AK32" i="1"/>
  <c r="AK28" i="1"/>
  <c r="AK24" i="1"/>
  <c r="AK20" i="1"/>
  <c r="AK16" i="1"/>
  <c r="AK12" i="1"/>
  <c r="AK107" i="1"/>
  <c r="AK105" i="1"/>
  <c r="AK103" i="1"/>
  <c r="AK101" i="1"/>
  <c r="AK99" i="1"/>
  <c r="AK97" i="1"/>
  <c r="AK95" i="1"/>
  <c r="AK93" i="1"/>
  <c r="AK91" i="1"/>
  <c r="AK89" i="1"/>
  <c r="AK87" i="1"/>
  <c r="AK85" i="1"/>
  <c r="AK83" i="1"/>
  <c r="AK81" i="1"/>
  <c r="AK79" i="1"/>
  <c r="AK78" i="1"/>
  <c r="AK76" i="1"/>
  <c r="AK74" i="1"/>
  <c r="AK71" i="1"/>
  <c r="AK69" i="1"/>
  <c r="AK67" i="1"/>
  <c r="AK65" i="1"/>
  <c r="AK63" i="1"/>
  <c r="AK61" i="1"/>
  <c r="AK59" i="1"/>
  <c r="AK56" i="1"/>
  <c r="AK57" i="1"/>
  <c r="AK53" i="1"/>
  <c r="AK49" i="1"/>
  <c r="AK45" i="1"/>
  <c r="AK41" i="1"/>
  <c r="AK37" i="1"/>
  <c r="AK33" i="1"/>
  <c r="AK29" i="1"/>
  <c r="AK25" i="1"/>
  <c r="AK21" i="1"/>
  <c r="AK17" i="1"/>
  <c r="AK13" i="1"/>
  <c r="AK50" i="1"/>
  <c r="AK46" i="1"/>
  <c r="AK42" i="1"/>
  <c r="AK38" i="1"/>
  <c r="AK34" i="1"/>
  <c r="AK30" i="1"/>
  <c r="AK26" i="1"/>
  <c r="AK22" i="1"/>
  <c r="AK18" i="1"/>
  <c r="AK14" i="1"/>
  <c r="AK10" i="1"/>
  <c r="AK106" i="1"/>
  <c r="AK104" i="1"/>
  <c r="AK102" i="1"/>
  <c r="AK100" i="1"/>
  <c r="AK98" i="1"/>
  <c r="AK96" i="1"/>
  <c r="AK94" i="1"/>
  <c r="AK92" i="1"/>
  <c r="AK90" i="1"/>
  <c r="AK88" i="1"/>
  <c r="AK86" i="1"/>
  <c r="AK84" i="1"/>
  <c r="AK82" i="1"/>
  <c r="AK80" i="1"/>
  <c r="AK73" i="1"/>
  <c r="AK77" i="1"/>
  <c r="AK75" i="1"/>
  <c r="AK72" i="1"/>
  <c r="AK70" i="1"/>
  <c r="AK68" i="1"/>
  <c r="AK66" i="1"/>
  <c r="AK64" i="1"/>
  <c r="AK62" i="1"/>
  <c r="AK60" i="1"/>
  <c r="AK58" i="1"/>
  <c r="AK54" i="1"/>
  <c r="AK55" i="1"/>
  <c r="AK51" i="1"/>
  <c r="AK47" i="1"/>
  <c r="AK43" i="1"/>
  <c r="AK39" i="1"/>
  <c r="AK35" i="1"/>
  <c r="AK31" i="1"/>
  <c r="AK27" i="1"/>
  <c r="AK23" i="1"/>
  <c r="AK19" i="1"/>
  <c r="AK15" i="1"/>
  <c r="AK11" i="1"/>
  <c r="AL9" i="1"/>
  <c r="G51" i="76"/>
  <c r="G67" i="76"/>
  <c r="H59" i="75"/>
  <c r="H68" i="75"/>
  <c r="G73" i="76"/>
  <c r="J74" i="76" s="1"/>
  <c r="G75" i="76"/>
  <c r="J77" i="76" s="1"/>
  <c r="G92" i="76"/>
  <c r="G87" i="76"/>
  <c r="H62" i="75"/>
  <c r="H51" i="75"/>
  <c r="H65" i="75"/>
  <c r="H44" i="75"/>
  <c r="N8" i="53"/>
  <c r="N9" i="53"/>
  <c r="N10" i="53"/>
  <c r="N13" i="53"/>
  <c r="N14" i="53"/>
  <c r="N15" i="53"/>
  <c r="N16" i="53"/>
  <c r="N19" i="53"/>
  <c r="N20" i="53"/>
  <c r="N21" i="53"/>
  <c r="N22" i="53"/>
  <c r="N25" i="53"/>
  <c r="N26" i="53"/>
  <c r="N27" i="53"/>
  <c r="N28" i="53"/>
  <c r="N31" i="53"/>
  <c r="N32" i="53"/>
  <c r="N33" i="53"/>
  <c r="N34" i="53"/>
  <c r="N7" i="53"/>
  <c r="G90" i="76" l="1"/>
  <c r="G83" i="76"/>
  <c r="B301" i="75"/>
  <c r="H48" i="75"/>
  <c r="B307" i="75" s="1"/>
  <c r="H39" i="75"/>
  <c r="B300" i="75" s="1"/>
  <c r="V8" i="53"/>
  <c r="V9" i="53"/>
  <c r="V10" i="53"/>
  <c r="V13" i="53"/>
  <c r="V14" i="53"/>
  <c r="V15" i="53"/>
  <c r="V16" i="53"/>
  <c r="V19" i="53"/>
  <c r="V20" i="53"/>
  <c r="V21" i="53"/>
  <c r="V22" i="53"/>
  <c r="V25" i="53"/>
  <c r="V26" i="53"/>
  <c r="V27" i="53"/>
  <c r="V28" i="53"/>
  <c r="V31" i="53"/>
  <c r="V32" i="53"/>
  <c r="V33" i="53"/>
  <c r="V34" i="53"/>
  <c r="V7" i="53"/>
  <c r="W7" i="53" s="1"/>
  <c r="R7" i="53"/>
  <c r="W34" i="53"/>
  <c r="W33" i="53"/>
  <c r="W32" i="53"/>
  <c r="W31" i="53"/>
  <c r="W28" i="53"/>
  <c r="W27" i="53"/>
  <c r="W25" i="53"/>
  <c r="W22" i="53"/>
  <c r="W21" i="53"/>
  <c r="W20" i="53"/>
  <c r="W19" i="53"/>
  <c r="W16" i="53"/>
  <c r="W15" i="53"/>
  <c r="W14" i="53"/>
  <c r="W13" i="53"/>
  <c r="W10" i="53"/>
  <c r="W8" i="53"/>
  <c r="T7" i="53"/>
  <c r="U7" i="53" s="1"/>
  <c r="T8" i="53"/>
  <c r="U8" i="53" s="1"/>
  <c r="T9" i="53"/>
  <c r="T10" i="53"/>
  <c r="U10" i="53" s="1"/>
  <c r="T13" i="53"/>
  <c r="U13" i="53" s="1"/>
  <c r="T14" i="53"/>
  <c r="U14" i="53" s="1"/>
  <c r="T15" i="53"/>
  <c r="U15" i="53" s="1"/>
  <c r="T16" i="53"/>
  <c r="U16" i="53" s="1"/>
  <c r="T19" i="53"/>
  <c r="U19" i="53" s="1"/>
  <c r="T20" i="53"/>
  <c r="U20" i="53" s="1"/>
  <c r="T21" i="53"/>
  <c r="U21" i="53" s="1"/>
  <c r="T22" i="53"/>
  <c r="U22" i="53" s="1"/>
  <c r="T25" i="53"/>
  <c r="U25" i="53" s="1"/>
  <c r="T27" i="53"/>
  <c r="U27" i="53" s="1"/>
  <c r="T28" i="53"/>
  <c r="U28" i="53" s="1"/>
  <c r="T31" i="53"/>
  <c r="U31" i="53" s="1"/>
  <c r="T32" i="53"/>
  <c r="U32" i="53" s="1"/>
  <c r="T33" i="53"/>
  <c r="U33" i="53" s="1"/>
  <c r="T34" i="53"/>
  <c r="U34" i="53" s="1"/>
  <c r="T26" i="53"/>
  <c r="J68" i="76" l="1"/>
  <c r="J59" i="76"/>
  <c r="B300" i="76" s="1"/>
  <c r="J88" i="76"/>
  <c r="J85" i="76"/>
  <c r="B305" i="76" s="1"/>
  <c r="J94" i="76"/>
  <c r="J91" i="76"/>
  <c r="B306" i="76" s="1"/>
  <c r="B303" i="76"/>
  <c r="B301" i="76"/>
  <c r="B302" i="76"/>
  <c r="B304" i="75"/>
  <c r="B305" i="75"/>
  <c r="B302" i="75"/>
  <c r="B306" i="75"/>
  <c r="B303" i="75"/>
  <c r="B304" i="76" l="1"/>
  <c r="B307" i="76"/>
  <c r="R22" i="53" l="1"/>
  <c r="S22" i="53" s="1"/>
  <c r="P22" i="53"/>
  <c r="Q22" i="53" s="1"/>
  <c r="O22" i="53"/>
  <c r="R16" i="53"/>
  <c r="S16" i="53" s="1"/>
  <c r="P16" i="53"/>
  <c r="Q16" i="53" s="1"/>
  <c r="O16" i="53"/>
  <c r="M16" i="53" l="1"/>
  <c r="M22" i="53"/>
  <c r="P8" i="53"/>
  <c r="R8" i="53"/>
  <c r="P9" i="53"/>
  <c r="R9" i="53"/>
  <c r="O10" i="53"/>
  <c r="P10" i="53"/>
  <c r="Q10" i="53" s="1"/>
  <c r="R10" i="53"/>
  <c r="S10" i="53" s="1"/>
  <c r="P13" i="53"/>
  <c r="R13" i="53"/>
  <c r="P14" i="53"/>
  <c r="R14" i="53"/>
  <c r="P15" i="53"/>
  <c r="R15" i="53"/>
  <c r="P19" i="53"/>
  <c r="R19" i="53"/>
  <c r="P20" i="53"/>
  <c r="R20" i="53"/>
  <c r="P21" i="53"/>
  <c r="R21" i="53"/>
  <c r="P25" i="53"/>
  <c r="R25" i="53"/>
  <c r="P26" i="53"/>
  <c r="R26" i="53"/>
  <c r="S26" i="53" s="1"/>
  <c r="P27" i="53"/>
  <c r="R27" i="53"/>
  <c r="P28" i="53"/>
  <c r="R28" i="53"/>
  <c r="P31" i="53"/>
  <c r="R31" i="53"/>
  <c r="P32" i="53"/>
  <c r="R32" i="53"/>
  <c r="P33" i="53"/>
  <c r="R33" i="53"/>
  <c r="P34" i="53"/>
  <c r="R34" i="53"/>
  <c r="P7" i="53"/>
  <c r="M10" i="53" l="1"/>
  <c r="S9" i="53"/>
  <c r="G16" i="44" l="1"/>
  <c r="G15" i="44"/>
  <c r="G14" i="44"/>
  <c r="G13" i="44"/>
  <c r="G16" i="50" l="1"/>
  <c r="A4" i="69" l="1"/>
  <c r="A2" i="69"/>
  <c r="E40" i="69"/>
  <c r="C40" i="69"/>
  <c r="E39" i="69"/>
  <c r="G39" i="69" s="1"/>
  <c r="E38" i="69"/>
  <c r="C37" i="69"/>
  <c r="E34" i="69"/>
  <c r="C34" i="69"/>
  <c r="E33" i="69"/>
  <c r="E32" i="69"/>
  <c r="C31" i="69"/>
  <c r="E28" i="69"/>
  <c r="C28" i="69"/>
  <c r="E27" i="69"/>
  <c r="G27" i="69" s="1"/>
  <c r="E26" i="69"/>
  <c r="C25" i="69"/>
  <c r="E16" i="69"/>
  <c r="C16" i="69"/>
  <c r="E15" i="69"/>
  <c r="G15" i="69" s="1"/>
  <c r="E14" i="69"/>
  <c r="C13" i="69"/>
  <c r="D1" i="69"/>
  <c r="G40" i="69" l="1"/>
  <c r="G21" i="69"/>
  <c r="G33" i="69"/>
  <c r="G34" i="69"/>
  <c r="G32" i="69"/>
  <c r="G31" i="69"/>
  <c r="G28" i="69"/>
  <c r="G26" i="69"/>
  <c r="G25" i="69"/>
  <c r="G20" i="69"/>
  <c r="G19" i="69"/>
  <c r="G16" i="69"/>
  <c r="G14" i="69"/>
  <c r="G13" i="69"/>
  <c r="B46" i="69"/>
  <c r="G37" i="69"/>
  <c r="G38" i="69"/>
  <c r="B70" i="69" l="1"/>
  <c r="B72" i="69"/>
  <c r="B48" i="69"/>
  <c r="B56" i="69"/>
  <c r="B44" i="69"/>
  <c r="C46" i="69" s="1"/>
  <c r="B52" i="69"/>
  <c r="B68" i="69"/>
  <c r="B60" i="69"/>
  <c r="B64" i="69"/>
  <c r="B50" i="69"/>
  <c r="B54" i="69"/>
  <c r="B58" i="69"/>
  <c r="B62" i="69"/>
  <c r="B317" i="69"/>
  <c r="B315" i="69"/>
  <c r="B312" i="69"/>
  <c r="B313" i="69"/>
  <c r="B316" i="69"/>
  <c r="B314" i="69"/>
  <c r="B66" i="69"/>
  <c r="B74" i="69"/>
  <c r="C70" i="69" l="1"/>
  <c r="C62" i="69"/>
  <c r="C73" i="69"/>
  <c r="C60" i="69"/>
  <c r="C61" i="69" s="1"/>
  <c r="C54" i="69"/>
  <c r="C52" i="69"/>
  <c r="C44" i="69"/>
  <c r="C45" i="69" s="1"/>
  <c r="C65" i="69"/>
  <c r="C68" i="69"/>
  <c r="C57" i="69"/>
  <c r="C49" i="69"/>
  <c r="C69" i="69" l="1"/>
  <c r="C53" i="69"/>
  <c r="E47" i="69" l="1"/>
  <c r="E55" i="69"/>
  <c r="E82" i="69"/>
  <c r="E86" i="69"/>
  <c r="E84" i="69"/>
  <c r="E63" i="69"/>
  <c r="E88" i="69"/>
  <c r="E71" i="69"/>
  <c r="F1" i="44"/>
  <c r="D1" i="44"/>
  <c r="F1" i="47"/>
  <c r="D1" i="47"/>
  <c r="F1" i="51"/>
  <c r="D1" i="51"/>
  <c r="F1" i="68"/>
  <c r="D1" i="68"/>
  <c r="F1" i="54"/>
  <c r="D1" i="54"/>
  <c r="E1" i="43"/>
  <c r="C1" i="53"/>
  <c r="C1" i="50"/>
  <c r="G87" i="69" l="1"/>
  <c r="G90" i="69"/>
  <c r="G92" i="69"/>
  <c r="G73" i="69" l="1"/>
  <c r="J77" i="69" s="1"/>
  <c r="G51" i="69"/>
  <c r="G83" i="69"/>
  <c r="G67" i="69"/>
  <c r="G75" i="69"/>
  <c r="J74" i="69" s="1"/>
  <c r="J59" i="69" l="1"/>
  <c r="B300" i="69" s="1"/>
  <c r="J68" i="69"/>
  <c r="B301" i="69" s="1"/>
  <c r="J88" i="69"/>
  <c r="J85" i="69"/>
  <c r="J94" i="69"/>
  <c r="J91" i="69"/>
  <c r="J89" i="44"/>
  <c r="J86" i="44"/>
  <c r="B302" i="69" l="1"/>
  <c r="B303" i="69"/>
  <c r="B307" i="69"/>
  <c r="B306" i="69"/>
  <c r="B305" i="69"/>
  <c r="B304" i="69"/>
  <c r="E22" i="68"/>
  <c r="C22" i="68"/>
  <c r="E21" i="68"/>
  <c r="G21" i="68" s="1"/>
  <c r="E20" i="68"/>
  <c r="C19" i="68"/>
  <c r="E16" i="68"/>
  <c r="C16" i="68"/>
  <c r="E15" i="68"/>
  <c r="E14" i="68"/>
  <c r="C13" i="68"/>
  <c r="E10" i="68"/>
  <c r="C10" i="68"/>
  <c r="E9" i="68"/>
  <c r="G9" i="68" s="1"/>
  <c r="E8" i="68"/>
  <c r="C7" i="68"/>
  <c r="A4" i="68"/>
  <c r="A2" i="68"/>
  <c r="G16" i="68" l="1"/>
  <c r="G14" i="68"/>
  <c r="G13" i="68"/>
  <c r="G15" i="68"/>
  <c r="G22" i="68"/>
  <c r="G20" i="68"/>
  <c r="G19" i="68"/>
  <c r="G10" i="68"/>
  <c r="G8" i="68"/>
  <c r="G7" i="68"/>
  <c r="B34" i="68"/>
  <c r="B36" i="68"/>
  <c r="B38" i="68"/>
  <c r="B26" i="68"/>
  <c r="B28" i="68"/>
  <c r="B30" i="68"/>
  <c r="B32" i="68"/>
  <c r="B40" i="68"/>
  <c r="C40" i="68" s="1"/>
  <c r="C36" i="68" l="1"/>
  <c r="C68" i="68"/>
  <c r="C64" i="68"/>
  <c r="C70" i="68"/>
  <c r="E70" i="68" s="1"/>
  <c r="C66" i="68"/>
  <c r="E66" i="68" s="1"/>
  <c r="C32" i="68"/>
  <c r="C28" i="68"/>
  <c r="C30" i="68"/>
  <c r="C51" i="68" s="1"/>
  <c r="C26" i="68"/>
  <c r="C49" i="68" s="1"/>
  <c r="C38" i="68"/>
  <c r="C55" i="68" s="1"/>
  <c r="C34" i="68"/>
  <c r="C53" i="68" s="1"/>
  <c r="E64" i="68" l="1"/>
  <c r="E68" i="68"/>
  <c r="C35" i="68"/>
  <c r="E35" i="68" s="1"/>
  <c r="C39" i="68"/>
  <c r="E55" i="68"/>
  <c r="C27" i="68"/>
  <c r="E51" i="68"/>
  <c r="C31" i="68"/>
  <c r="E69" i="68" l="1"/>
  <c r="E74" i="68"/>
  <c r="E65" i="68"/>
  <c r="G65" i="68" s="1"/>
  <c r="E72" i="68"/>
  <c r="G72" i="68" s="1"/>
  <c r="E27" i="68"/>
  <c r="E49" i="68"/>
  <c r="E53" i="68"/>
  <c r="E31" i="68"/>
  <c r="E39" i="68"/>
  <c r="E37" i="68" s="1"/>
  <c r="E41" i="68" l="1"/>
  <c r="G74" i="68"/>
  <c r="G69" i="68"/>
  <c r="G67" i="68" s="1"/>
  <c r="E54" i="68"/>
  <c r="E59" i="68"/>
  <c r="E50" i="68"/>
  <c r="E57" i="68"/>
  <c r="G57" i="68" s="1"/>
  <c r="E43" i="68"/>
  <c r="E29" i="68"/>
  <c r="G29" i="68" s="1"/>
  <c r="G43" i="68" l="1"/>
  <c r="H70" i="68"/>
  <c r="H67" i="68"/>
  <c r="G50" i="68"/>
  <c r="G59" i="68"/>
  <c r="H58" i="68" s="1"/>
  <c r="G54" i="68"/>
  <c r="H52" i="68" s="1"/>
  <c r="H76" i="68"/>
  <c r="H73" i="68"/>
  <c r="G37" i="68"/>
  <c r="H33" i="68" s="1"/>
  <c r="B300" i="68" s="1"/>
  <c r="G41" i="68"/>
  <c r="H55" i="68" l="1"/>
  <c r="H61" i="68"/>
  <c r="H38" i="68"/>
  <c r="H42" i="68"/>
  <c r="H45" i="68"/>
  <c r="B304" i="68" s="1"/>
  <c r="B302" i="68"/>
  <c r="B305" i="68"/>
  <c r="B303" i="68"/>
  <c r="B301" i="68"/>
  <c r="B308" i="68"/>
  <c r="B307" i="68" l="1"/>
  <c r="B306" i="68"/>
  <c r="B309" i="68"/>
  <c r="C52" i="44" l="1"/>
  <c r="C49" i="44"/>
  <c r="C46" i="44"/>
  <c r="C43" i="44"/>
  <c r="C40" i="44"/>
  <c r="C37" i="44"/>
  <c r="C34" i="44"/>
  <c r="C31" i="44"/>
  <c r="C28" i="44"/>
  <c r="C25" i="44"/>
  <c r="C22" i="44"/>
  <c r="C19" i="44"/>
  <c r="C28" i="47"/>
  <c r="C25" i="47"/>
  <c r="C22" i="47"/>
  <c r="C19" i="47"/>
  <c r="C16" i="47"/>
  <c r="C13" i="47"/>
  <c r="C32" i="22" l="1"/>
  <c r="A1" i="90" s="1"/>
  <c r="C28" i="22"/>
  <c r="A1" i="81" s="1"/>
  <c r="C33" i="22"/>
  <c r="A1" i="85" s="1"/>
  <c r="C13" i="22"/>
  <c r="A1" i="69" s="1"/>
  <c r="A108" i="1" l="1"/>
  <c r="E14" i="50"/>
  <c r="E16" i="50"/>
  <c r="G14" i="50" l="1"/>
  <c r="G15" i="50"/>
  <c r="G13" i="50"/>
  <c r="E16" i="54"/>
  <c r="C16" i="54"/>
  <c r="E15" i="54"/>
  <c r="G15" i="54" s="1"/>
  <c r="E14" i="54"/>
  <c r="C13" i="54"/>
  <c r="E10" i="54"/>
  <c r="C10" i="54"/>
  <c r="E9" i="54"/>
  <c r="G9" i="54" s="1"/>
  <c r="E8" i="54"/>
  <c r="C7" i="54"/>
  <c r="A4" i="54"/>
  <c r="A2" i="54"/>
  <c r="G16" i="54" l="1"/>
  <c r="G14" i="54"/>
  <c r="G13" i="54"/>
  <c r="G10" i="54"/>
  <c r="G8" i="54"/>
  <c r="G7" i="54"/>
  <c r="B43" i="54" s="1"/>
  <c r="B37" i="54"/>
  <c r="B41" i="54"/>
  <c r="C13" i="51"/>
  <c r="C16" i="51"/>
  <c r="C19" i="51"/>
  <c r="C22" i="51"/>
  <c r="C7" i="51"/>
  <c r="C10" i="51"/>
  <c r="B24" i="54" l="1"/>
  <c r="B26" i="54"/>
  <c r="B39" i="54"/>
  <c r="C37" i="54" s="1"/>
  <c r="C41" i="54"/>
  <c r="B20" i="54"/>
  <c r="B22" i="54"/>
  <c r="C26" i="54"/>
  <c r="C39" i="54"/>
  <c r="C43" i="54"/>
  <c r="C42" i="54" s="1"/>
  <c r="AD108" i="1"/>
  <c r="I29" i="22" s="1"/>
  <c r="C22" i="54" l="1"/>
  <c r="C24" i="54"/>
  <c r="C30" i="54" s="1"/>
  <c r="C38" i="54"/>
  <c r="E38" i="54" s="1"/>
  <c r="C20" i="54"/>
  <c r="C21" i="54" s="1"/>
  <c r="E42" i="54"/>
  <c r="C28" i="54"/>
  <c r="C47" i="54"/>
  <c r="C45" i="54"/>
  <c r="C25" i="54"/>
  <c r="Y108" i="1"/>
  <c r="Y109" i="1" s="1"/>
  <c r="AC108" i="1"/>
  <c r="A4" i="53"/>
  <c r="A2" i="53"/>
  <c r="E32" i="53"/>
  <c r="E26" i="53"/>
  <c r="E22" i="53"/>
  <c r="C22" i="53"/>
  <c r="E21" i="53"/>
  <c r="E20" i="53"/>
  <c r="C19" i="53"/>
  <c r="E16" i="53"/>
  <c r="C16" i="53"/>
  <c r="E15" i="53"/>
  <c r="E14" i="53"/>
  <c r="C13" i="53"/>
  <c r="E10" i="53"/>
  <c r="C10" i="53"/>
  <c r="E9" i="53"/>
  <c r="E8" i="53"/>
  <c r="C7" i="53"/>
  <c r="E22" i="51"/>
  <c r="E21" i="51"/>
  <c r="G21" i="51" s="1"/>
  <c r="E20" i="51"/>
  <c r="E16" i="51"/>
  <c r="E15" i="51"/>
  <c r="G15" i="51" s="1"/>
  <c r="E14" i="51"/>
  <c r="E10" i="51"/>
  <c r="E9" i="51"/>
  <c r="G9" i="51" s="1"/>
  <c r="E8" i="51"/>
  <c r="A4" i="51"/>
  <c r="A2" i="51"/>
  <c r="A4" i="50"/>
  <c r="A2" i="50"/>
  <c r="E22" i="50"/>
  <c r="E20" i="50"/>
  <c r="E10" i="50"/>
  <c r="C10" i="50"/>
  <c r="E9" i="50"/>
  <c r="G9" i="50" s="1"/>
  <c r="E8" i="50"/>
  <c r="C7" i="50"/>
  <c r="E28" i="47"/>
  <c r="E27" i="47"/>
  <c r="G27" i="47" s="1"/>
  <c r="E26" i="47"/>
  <c r="E22" i="47"/>
  <c r="E21" i="47"/>
  <c r="E20" i="47"/>
  <c r="E16" i="47"/>
  <c r="E15" i="47"/>
  <c r="G15" i="47" s="1"/>
  <c r="E14" i="47"/>
  <c r="E10" i="47"/>
  <c r="C10" i="47"/>
  <c r="E9" i="47"/>
  <c r="G9" i="47" s="1"/>
  <c r="E8" i="47"/>
  <c r="C7" i="47"/>
  <c r="A4" i="47"/>
  <c r="A2" i="47"/>
  <c r="E22" i="44"/>
  <c r="E21" i="44"/>
  <c r="G21" i="44" s="1"/>
  <c r="E20" i="44"/>
  <c r="E28" i="44"/>
  <c r="E27" i="44"/>
  <c r="G27" i="44" s="1"/>
  <c r="E26" i="44"/>
  <c r="E34" i="44"/>
  <c r="E33" i="44"/>
  <c r="G33" i="44" s="1"/>
  <c r="E32" i="44"/>
  <c r="E40" i="44"/>
  <c r="E39" i="44"/>
  <c r="G39" i="44" s="1"/>
  <c r="E38" i="44"/>
  <c r="E46" i="44"/>
  <c r="E45" i="44"/>
  <c r="G45" i="44" s="1"/>
  <c r="E44" i="44"/>
  <c r="E52" i="44"/>
  <c r="E51" i="44"/>
  <c r="G51" i="44" s="1"/>
  <c r="E50" i="44"/>
  <c r="AC109" i="1" l="1"/>
  <c r="I28" i="22"/>
  <c r="E28" i="54"/>
  <c r="G52" i="44"/>
  <c r="G50" i="44"/>
  <c r="G49" i="44"/>
  <c r="G46" i="44"/>
  <c r="G44" i="44"/>
  <c r="G43" i="44"/>
  <c r="G40" i="44"/>
  <c r="G38" i="44"/>
  <c r="G37" i="44"/>
  <c r="G34" i="44"/>
  <c r="G32" i="44"/>
  <c r="G31" i="44"/>
  <c r="G28" i="44"/>
  <c r="G26" i="44"/>
  <c r="G25" i="44"/>
  <c r="G22" i="44"/>
  <c r="G20" i="44"/>
  <c r="G19" i="44"/>
  <c r="G22" i="47"/>
  <c r="G20" i="47"/>
  <c r="G19" i="47"/>
  <c r="G16" i="47"/>
  <c r="G14" i="47"/>
  <c r="G13" i="47"/>
  <c r="G21" i="47"/>
  <c r="G28" i="47"/>
  <c r="G26" i="47"/>
  <c r="G25" i="47"/>
  <c r="G10" i="47"/>
  <c r="G8" i="47"/>
  <c r="G7" i="47"/>
  <c r="G22" i="51"/>
  <c r="G20" i="51"/>
  <c r="G19" i="51"/>
  <c r="G16" i="51"/>
  <c r="G14" i="51"/>
  <c r="G13" i="51"/>
  <c r="G10" i="51"/>
  <c r="G8" i="51"/>
  <c r="G7" i="51"/>
  <c r="E25" i="54"/>
  <c r="G22" i="50"/>
  <c r="G20" i="50"/>
  <c r="G21" i="50"/>
  <c r="G19" i="50"/>
  <c r="G10" i="50"/>
  <c r="G8" i="50"/>
  <c r="G7" i="50"/>
  <c r="G9" i="53"/>
  <c r="H9" i="53" s="1"/>
  <c r="G21" i="53"/>
  <c r="G16" i="53"/>
  <c r="G14" i="53"/>
  <c r="G8" i="53"/>
  <c r="G10" i="53"/>
  <c r="G13" i="53"/>
  <c r="G15" i="53"/>
  <c r="G20" i="53"/>
  <c r="G22" i="53"/>
  <c r="G28" i="53"/>
  <c r="H28" i="53" s="1"/>
  <c r="G26" i="53"/>
  <c r="G27" i="53"/>
  <c r="H27" i="53" s="1"/>
  <c r="G25" i="53"/>
  <c r="G7" i="53"/>
  <c r="B68" i="53" s="1"/>
  <c r="C67" i="53" s="1"/>
  <c r="E82" i="53" s="1"/>
  <c r="G81" i="53" s="1"/>
  <c r="J82" i="53" s="1"/>
  <c r="G19" i="53"/>
  <c r="G34" i="53"/>
  <c r="H34" i="53" s="1"/>
  <c r="G32" i="53"/>
  <c r="G33" i="53"/>
  <c r="H33" i="53" s="1"/>
  <c r="G31" i="53"/>
  <c r="F40" i="54"/>
  <c r="E45" i="54"/>
  <c r="E47" i="54"/>
  <c r="E30" i="54"/>
  <c r="F29" i="54" s="1"/>
  <c r="F32" i="54"/>
  <c r="E21" i="54"/>
  <c r="F43" i="54"/>
  <c r="H10" i="53"/>
  <c r="H22" i="53"/>
  <c r="H26" i="53"/>
  <c r="H25" i="53"/>
  <c r="H16" i="53"/>
  <c r="H21" i="53"/>
  <c r="H32" i="53"/>
  <c r="H31" i="53"/>
  <c r="E40" i="43"/>
  <c r="C40" i="43"/>
  <c r="E39" i="43"/>
  <c r="E38" i="43"/>
  <c r="G38" i="43" s="1"/>
  <c r="C37" i="43"/>
  <c r="G37" i="43" s="1"/>
  <c r="E33" i="43"/>
  <c r="E28" i="43"/>
  <c r="C28" i="43"/>
  <c r="E27" i="43"/>
  <c r="G27" i="43" s="1"/>
  <c r="E26" i="43"/>
  <c r="G26" i="43" s="1"/>
  <c r="C25" i="43"/>
  <c r="G25" i="43" s="1"/>
  <c r="E10" i="44"/>
  <c r="C10" i="44"/>
  <c r="E9" i="44"/>
  <c r="G9" i="44" s="1"/>
  <c r="E8" i="44"/>
  <c r="C7" i="44"/>
  <c r="A4" i="44"/>
  <c r="A2" i="44"/>
  <c r="E22" i="43"/>
  <c r="G22" i="43" s="1"/>
  <c r="E20" i="43"/>
  <c r="E16" i="43"/>
  <c r="C16" i="43"/>
  <c r="E15" i="43"/>
  <c r="G15" i="43" s="1"/>
  <c r="E14" i="43"/>
  <c r="G14" i="43" s="1"/>
  <c r="C13" i="43"/>
  <c r="G13" i="43" s="1"/>
  <c r="E10" i="43"/>
  <c r="C10" i="43"/>
  <c r="E9" i="43"/>
  <c r="G9" i="43" s="1"/>
  <c r="E8" i="43"/>
  <c r="G8" i="43" s="1"/>
  <c r="C7" i="43"/>
  <c r="G10" i="44" l="1"/>
  <c r="G8" i="44"/>
  <c r="G7" i="44"/>
  <c r="B58" i="44" s="1"/>
  <c r="B75" i="50"/>
  <c r="C75" i="50" s="1"/>
  <c r="B71" i="50"/>
  <c r="C71" i="50" s="1"/>
  <c r="B38" i="50"/>
  <c r="C38" i="50" s="1"/>
  <c r="B67" i="50"/>
  <c r="C67" i="50" s="1"/>
  <c r="B28" i="50"/>
  <c r="C28" i="50" s="1"/>
  <c r="B38" i="53"/>
  <c r="B66" i="53"/>
  <c r="G39" i="43"/>
  <c r="G10" i="43"/>
  <c r="G7" i="43"/>
  <c r="G16" i="43"/>
  <c r="G20" i="43"/>
  <c r="G21" i="43"/>
  <c r="G19" i="43"/>
  <c r="G28" i="43"/>
  <c r="G34" i="43"/>
  <c r="G32" i="43"/>
  <c r="G33" i="43"/>
  <c r="G31" i="43"/>
  <c r="G40" i="43"/>
  <c r="H19" i="53"/>
  <c r="H15" i="53"/>
  <c r="H14" i="53"/>
  <c r="H7" i="53"/>
  <c r="H20" i="53"/>
  <c r="H13" i="53"/>
  <c r="H8" i="53"/>
  <c r="B40" i="53"/>
  <c r="C40" i="53" s="1"/>
  <c r="B48" i="53"/>
  <c r="C48" i="53" s="1"/>
  <c r="B44" i="53"/>
  <c r="C44" i="53" s="1"/>
  <c r="B56" i="53"/>
  <c r="C56" i="53" s="1"/>
  <c r="B64" i="53"/>
  <c r="C64" i="53" s="1"/>
  <c r="B60" i="53"/>
  <c r="C60" i="53" s="1"/>
  <c r="F46" i="54"/>
  <c r="F49" i="54"/>
  <c r="F23" i="54"/>
  <c r="B300" i="54" s="1"/>
  <c r="F26" i="54"/>
  <c r="B28" i="51"/>
  <c r="B32" i="51"/>
  <c r="B36" i="51"/>
  <c r="B40" i="51"/>
  <c r="B75" i="51"/>
  <c r="B71" i="51"/>
  <c r="B67" i="51"/>
  <c r="B63" i="51"/>
  <c r="B26" i="51"/>
  <c r="C26" i="51" s="1"/>
  <c r="B30" i="51"/>
  <c r="C30" i="51" s="1"/>
  <c r="B34" i="51"/>
  <c r="C34" i="51" s="1"/>
  <c r="B38" i="51"/>
  <c r="C38" i="51" s="1"/>
  <c r="B77" i="51"/>
  <c r="C77" i="51" s="1"/>
  <c r="B73" i="51"/>
  <c r="C73" i="51" s="1"/>
  <c r="B69" i="51"/>
  <c r="C69" i="51" s="1"/>
  <c r="B65" i="51"/>
  <c r="C65" i="51" s="1"/>
  <c r="B63" i="50"/>
  <c r="B77" i="50"/>
  <c r="C77" i="50" s="1"/>
  <c r="C76" i="50" s="1"/>
  <c r="E80" i="50" s="1"/>
  <c r="H79" i="50" s="1"/>
  <c r="B73" i="50"/>
  <c r="C73" i="50" s="1"/>
  <c r="C72" i="50" s="1"/>
  <c r="E74" i="50" s="1"/>
  <c r="H70" i="50" s="1"/>
  <c r="B69" i="50"/>
  <c r="C69" i="50" s="1"/>
  <c r="C68" i="50" s="1"/>
  <c r="E78" i="50" s="1"/>
  <c r="H82" i="50" s="1"/>
  <c r="B65" i="50"/>
  <c r="B40" i="50"/>
  <c r="C40" i="50" s="1"/>
  <c r="B36" i="50"/>
  <c r="C35" i="50" s="1"/>
  <c r="E43" i="50" s="1"/>
  <c r="H42" i="50" s="1"/>
  <c r="B32" i="50"/>
  <c r="C31" i="50" s="1"/>
  <c r="E41" i="50" s="1"/>
  <c r="H45" i="50" s="1"/>
  <c r="B26" i="50"/>
  <c r="C26" i="50" s="1"/>
  <c r="C47" i="50" s="1"/>
  <c r="B34" i="50"/>
  <c r="C51" i="50" s="1"/>
  <c r="B30" i="50"/>
  <c r="C49" i="50" s="1"/>
  <c r="B44" i="47"/>
  <c r="B63" i="43"/>
  <c r="B59" i="43"/>
  <c r="B43" i="43"/>
  <c r="B49" i="43"/>
  <c r="C48" i="43" s="1"/>
  <c r="E46" i="43" s="1"/>
  <c r="G72" i="43" s="1"/>
  <c r="J76" i="43" s="1"/>
  <c r="B46" i="53"/>
  <c r="C46" i="53" s="1"/>
  <c r="C47" i="53" s="1"/>
  <c r="E78" i="53" s="1"/>
  <c r="G77" i="53" s="1"/>
  <c r="J79" i="53" s="1"/>
  <c r="B54" i="53"/>
  <c r="C54" i="53" s="1"/>
  <c r="C55" i="53" s="1"/>
  <c r="E80" i="53" s="1"/>
  <c r="G86" i="53" s="1"/>
  <c r="J88" i="53" s="1"/>
  <c r="B62" i="53"/>
  <c r="C62" i="53" s="1"/>
  <c r="C63" i="53" s="1"/>
  <c r="E65" i="53" s="1"/>
  <c r="G69" i="53" s="1"/>
  <c r="J68" i="53" s="1"/>
  <c r="B52" i="53"/>
  <c r="C51" i="53" s="1"/>
  <c r="E49" i="53" s="1"/>
  <c r="G45" i="53" s="1"/>
  <c r="J62" i="53" s="1"/>
  <c r="B42" i="53"/>
  <c r="C42" i="53" s="1"/>
  <c r="C43" i="53" s="1"/>
  <c r="E41" i="53" s="1"/>
  <c r="G67" i="53" s="1"/>
  <c r="J71" i="53" s="1"/>
  <c r="B50" i="53"/>
  <c r="B58" i="53"/>
  <c r="B84" i="44"/>
  <c r="B66" i="44"/>
  <c r="B82" i="44"/>
  <c r="B72" i="44"/>
  <c r="B62" i="44"/>
  <c r="B78" i="44"/>
  <c r="B86" i="44"/>
  <c r="C86" i="44" s="1"/>
  <c r="B60" i="44"/>
  <c r="B68" i="44"/>
  <c r="B76" i="44"/>
  <c r="C76" i="44" s="1"/>
  <c r="B34" i="47"/>
  <c r="B42" i="47"/>
  <c r="B32" i="47"/>
  <c r="C32" i="47" s="1"/>
  <c r="B40" i="47"/>
  <c r="C40" i="47" s="1"/>
  <c r="B38" i="47"/>
  <c r="B46" i="47"/>
  <c r="C46" i="47" s="1"/>
  <c r="B36" i="47"/>
  <c r="C36" i="47" s="1"/>
  <c r="A4" i="43"/>
  <c r="A2" i="43"/>
  <c r="B73" i="43" l="1"/>
  <c r="C73" i="43" s="1"/>
  <c r="B65" i="43"/>
  <c r="C65" i="43" s="1"/>
  <c r="B69" i="43"/>
  <c r="C69" i="43" s="1"/>
  <c r="B57" i="43"/>
  <c r="C57" i="43" s="1"/>
  <c r="B303" i="53"/>
  <c r="C38" i="53"/>
  <c r="C39" i="53" s="1"/>
  <c r="E76" i="53" s="1"/>
  <c r="G84" i="53" s="1"/>
  <c r="J85" i="53" s="1"/>
  <c r="C60" i="44"/>
  <c r="C78" i="44"/>
  <c r="C77" i="44" s="1"/>
  <c r="C62" i="44"/>
  <c r="C61" i="44" s="1"/>
  <c r="C84" i="44"/>
  <c r="C85" i="44" s="1"/>
  <c r="C38" i="47"/>
  <c r="C37" i="47" s="1"/>
  <c r="B301" i="54"/>
  <c r="B304" i="54"/>
  <c r="B306" i="54"/>
  <c r="B302" i="54"/>
  <c r="B305" i="54"/>
  <c r="B307" i="54"/>
  <c r="B303" i="54"/>
  <c r="C63" i="51"/>
  <c r="C64" i="51" s="1"/>
  <c r="C71" i="51"/>
  <c r="C72" i="51" s="1"/>
  <c r="C40" i="51"/>
  <c r="C53" i="51" s="1"/>
  <c r="C32" i="51"/>
  <c r="C49" i="51" s="1"/>
  <c r="C67" i="51"/>
  <c r="C68" i="51" s="1"/>
  <c r="E68" i="51" s="1"/>
  <c r="C75" i="51"/>
  <c r="C76" i="51" s="1"/>
  <c r="E76" i="51" s="1"/>
  <c r="C36" i="51"/>
  <c r="C51" i="51" s="1"/>
  <c r="E51" i="51" s="1"/>
  <c r="C28" i="51"/>
  <c r="C47" i="51" s="1"/>
  <c r="E47" i="51" s="1"/>
  <c r="C58" i="47"/>
  <c r="C42" i="47"/>
  <c r="C60" i="47" s="1"/>
  <c r="C34" i="47"/>
  <c r="C56" i="47" s="1"/>
  <c r="E56" i="47" s="1"/>
  <c r="C44" i="47"/>
  <c r="C58" i="53"/>
  <c r="C59" i="53" s="1"/>
  <c r="E57" i="53" s="1"/>
  <c r="G61" i="53" s="1"/>
  <c r="J53" i="53" s="1"/>
  <c r="B300" i="53" s="1"/>
  <c r="C39" i="50"/>
  <c r="E37" i="50" s="1"/>
  <c r="H38" i="50" s="1"/>
  <c r="C53" i="50"/>
  <c r="E53" i="50" s="1"/>
  <c r="E47" i="50"/>
  <c r="C27" i="50"/>
  <c r="E29" i="50" s="1"/>
  <c r="H33" i="50" s="1"/>
  <c r="B300" i="50" s="1"/>
  <c r="C64" i="50"/>
  <c r="E66" i="50" s="1"/>
  <c r="H75" i="50" s="1"/>
  <c r="B70" i="44"/>
  <c r="C70" i="44" s="1"/>
  <c r="B80" i="44"/>
  <c r="C80" i="44" s="1"/>
  <c r="B64" i="44"/>
  <c r="C64" i="44" s="1"/>
  <c r="B74" i="44"/>
  <c r="C74" i="44" s="1"/>
  <c r="B56" i="44"/>
  <c r="B47" i="43"/>
  <c r="B55" i="43"/>
  <c r="C55" i="43" s="1"/>
  <c r="C56" i="43" s="1"/>
  <c r="E54" i="43" s="1"/>
  <c r="G50" i="43" s="1"/>
  <c r="J67" i="43" s="1"/>
  <c r="B71" i="43"/>
  <c r="C71" i="43" s="1"/>
  <c r="C72" i="43" s="1"/>
  <c r="E87" i="43" s="1"/>
  <c r="G86" i="43" s="1"/>
  <c r="J87" i="43" s="1"/>
  <c r="B45" i="43"/>
  <c r="C44" i="43" s="1"/>
  <c r="E81" i="43" s="1"/>
  <c r="G89" i="43" s="1"/>
  <c r="J90" i="43" s="1"/>
  <c r="B53" i="43"/>
  <c r="C52" i="43" s="1"/>
  <c r="E83" i="43" s="1"/>
  <c r="G82" i="43" s="1"/>
  <c r="J84" i="43" s="1"/>
  <c r="B61" i="43"/>
  <c r="C60" i="43" s="1"/>
  <c r="E85" i="43" s="1"/>
  <c r="G91" i="43" s="1"/>
  <c r="J93" i="43" s="1"/>
  <c r="B51" i="43"/>
  <c r="B67" i="43"/>
  <c r="C67" i="43" s="1"/>
  <c r="C68" i="43" s="1"/>
  <c r="E70" i="43" s="1"/>
  <c r="G74" i="43" s="1"/>
  <c r="J73" i="43" s="1"/>
  <c r="B301" i="53"/>
  <c r="B304" i="53"/>
  <c r="B307" i="53"/>
  <c r="B306" i="53"/>
  <c r="B302" i="53"/>
  <c r="B305" i="53"/>
  <c r="B302" i="50"/>
  <c r="B303" i="50"/>
  <c r="B301" i="50"/>
  <c r="C63" i="43" l="1"/>
  <c r="C64" i="43" s="1"/>
  <c r="E62" i="43" s="1"/>
  <c r="G66" i="43" s="1"/>
  <c r="J58" i="43" s="1"/>
  <c r="C82" i="44"/>
  <c r="C81" i="44" s="1"/>
  <c r="C68" i="44"/>
  <c r="C69" i="44" s="1"/>
  <c r="C72" i="44"/>
  <c r="C73" i="44" s="1"/>
  <c r="E73" i="44" s="1"/>
  <c r="C56" i="44"/>
  <c r="C58" i="44"/>
  <c r="C66" i="44"/>
  <c r="C65" i="44" s="1"/>
  <c r="E65" i="44" s="1"/>
  <c r="C33" i="47"/>
  <c r="E33" i="47" s="1"/>
  <c r="C27" i="51"/>
  <c r="E49" i="51"/>
  <c r="E48" i="51" s="1"/>
  <c r="E72" i="51"/>
  <c r="C31" i="51"/>
  <c r="C35" i="51"/>
  <c r="E53" i="51"/>
  <c r="E52" i="51" s="1"/>
  <c r="G52" i="51" s="1"/>
  <c r="E64" i="51"/>
  <c r="E78" i="51" s="1"/>
  <c r="C39" i="51"/>
  <c r="E39" i="51" s="1"/>
  <c r="C62" i="47"/>
  <c r="E62" i="47" s="1"/>
  <c r="C45" i="47"/>
  <c r="C41" i="47"/>
  <c r="E37" i="47"/>
  <c r="E35" i="47" s="1"/>
  <c r="E58" i="47"/>
  <c r="E64" i="47" s="1"/>
  <c r="E49" i="50"/>
  <c r="E55" i="50" s="1"/>
  <c r="G55" i="50" s="1"/>
  <c r="E51" i="50"/>
  <c r="AF6" i="1"/>
  <c r="AE6" i="1"/>
  <c r="AD6" i="1"/>
  <c r="AC6" i="1"/>
  <c r="AB6" i="1"/>
  <c r="Z6" i="1"/>
  <c r="Y6" i="1"/>
  <c r="V6" i="1"/>
  <c r="C17" i="22"/>
  <c r="A1" i="75" s="1"/>
  <c r="C35" i="22"/>
  <c r="A1" i="93" s="1"/>
  <c r="C29" i="22"/>
  <c r="C26" i="22"/>
  <c r="A1" i="79" s="1"/>
  <c r="C16" i="22"/>
  <c r="A1" i="76" s="1"/>
  <c r="F33" i="22"/>
  <c r="A3" i="85" s="1"/>
  <c r="F32" i="22"/>
  <c r="A3" i="90" s="1"/>
  <c r="AD4" i="1"/>
  <c r="AC4" i="1"/>
  <c r="AA6" i="1"/>
  <c r="F28" i="22"/>
  <c r="A3" i="81" s="1"/>
  <c r="F26" i="22"/>
  <c r="A3" i="79" s="1"/>
  <c r="F29" i="22"/>
  <c r="AF4" i="1"/>
  <c r="AF108" i="1"/>
  <c r="AF109" i="1" s="1"/>
  <c r="X6" i="1"/>
  <c r="C10" i="22"/>
  <c r="E9" i="22"/>
  <c r="A1" i="53" s="1"/>
  <c r="C9" i="22"/>
  <c r="C6" i="22"/>
  <c r="F6" i="22"/>
  <c r="E6" i="22"/>
  <c r="A3" i="84" l="1"/>
  <c r="A3" i="82"/>
  <c r="A1" i="84"/>
  <c r="A1" i="82"/>
  <c r="AH10" i="1"/>
  <c r="AI10" i="1"/>
  <c r="E31" i="51"/>
  <c r="A1" i="68"/>
  <c r="A1" i="54"/>
  <c r="A1" i="51"/>
  <c r="A1" i="50"/>
  <c r="A3" i="68"/>
  <c r="A3" i="54"/>
  <c r="A3" i="51"/>
  <c r="A3" i="50"/>
  <c r="A1" i="47"/>
  <c r="A1" i="44"/>
  <c r="A1" i="43"/>
  <c r="E47" i="47"/>
  <c r="E41" i="47"/>
  <c r="E81" i="44"/>
  <c r="E85" i="44"/>
  <c r="C57" i="44"/>
  <c r="E69" i="44"/>
  <c r="E67" i="44" s="1"/>
  <c r="E77" i="44"/>
  <c r="E75" i="44" s="1"/>
  <c r="E45" i="47"/>
  <c r="E43" i="47" s="1"/>
  <c r="G43" i="47" s="1"/>
  <c r="G48" i="51"/>
  <c r="E66" i="51"/>
  <c r="E57" i="51"/>
  <c r="E35" i="51"/>
  <c r="E74" i="51"/>
  <c r="G74" i="51" s="1"/>
  <c r="E80" i="51"/>
  <c r="G80" i="51" s="1"/>
  <c r="E27" i="51"/>
  <c r="E55" i="51"/>
  <c r="E57" i="47"/>
  <c r="E60" i="47"/>
  <c r="E48" i="50"/>
  <c r="H50" i="50" s="1"/>
  <c r="E57" i="50"/>
  <c r="G57" i="50" s="1"/>
  <c r="H56" i="50" s="1"/>
  <c r="E52" i="50"/>
  <c r="H53" i="50" s="1"/>
  <c r="B304" i="50"/>
  <c r="B305" i="50"/>
  <c r="I33" i="22"/>
  <c r="E98" i="44" l="1"/>
  <c r="E83" i="44"/>
  <c r="G75" i="44" s="1"/>
  <c r="G55" i="51"/>
  <c r="E57" i="44"/>
  <c r="E61" i="44"/>
  <c r="E100" i="44"/>
  <c r="E96" i="44"/>
  <c r="E49" i="47"/>
  <c r="E41" i="51"/>
  <c r="E29" i="51"/>
  <c r="G78" i="51"/>
  <c r="G66" i="51"/>
  <c r="E43" i="51"/>
  <c r="G43" i="51" s="1"/>
  <c r="E37" i="51"/>
  <c r="G37" i="51" s="1"/>
  <c r="G57" i="51"/>
  <c r="H53" i="51"/>
  <c r="H50" i="51"/>
  <c r="E66" i="47"/>
  <c r="E61" i="47"/>
  <c r="G61" i="47" s="1"/>
  <c r="G35" i="47"/>
  <c r="H59" i="50"/>
  <c r="B306" i="50" s="1"/>
  <c r="G57" i="47" l="1"/>
  <c r="H62" i="47" s="1"/>
  <c r="G83" i="44"/>
  <c r="G79" i="44" s="1"/>
  <c r="H59" i="51"/>
  <c r="B307" i="50"/>
  <c r="B309" i="50"/>
  <c r="E94" i="44"/>
  <c r="E59" i="44"/>
  <c r="G49" i="47"/>
  <c r="G47" i="47"/>
  <c r="B310" i="50"/>
  <c r="B308" i="50"/>
  <c r="H56" i="51"/>
  <c r="H75" i="51"/>
  <c r="H70" i="51"/>
  <c r="G29" i="51"/>
  <c r="H82" i="51"/>
  <c r="H79" i="51"/>
  <c r="G41" i="51"/>
  <c r="H44" i="47"/>
  <c r="H39" i="47"/>
  <c r="B300" i="47" s="1"/>
  <c r="G66" i="47"/>
  <c r="G64" i="47"/>
  <c r="H59" i="47" l="1"/>
  <c r="G87" i="44"/>
  <c r="G59" i="44"/>
  <c r="G67" i="44"/>
  <c r="H48" i="47"/>
  <c r="H51" i="47"/>
  <c r="H33" i="51"/>
  <c r="B300" i="51" s="1"/>
  <c r="H38" i="51"/>
  <c r="H42" i="51"/>
  <c r="H45" i="51"/>
  <c r="H65" i="47"/>
  <c r="H68" i="47"/>
  <c r="B302" i="47"/>
  <c r="B305" i="47"/>
  <c r="B301" i="47"/>
  <c r="B304" i="47"/>
  <c r="B307" i="47"/>
  <c r="B303" i="47"/>
  <c r="B306" i="47"/>
  <c r="F35" i="22"/>
  <c r="A3" i="93" s="1"/>
  <c r="G63" i="44" l="1"/>
  <c r="G85" i="44"/>
  <c r="B301" i="51"/>
  <c r="B302" i="51"/>
  <c r="B308" i="51"/>
  <c r="B306" i="51"/>
  <c r="B309" i="51"/>
  <c r="B310" i="51"/>
  <c r="B303" i="51"/>
  <c r="B305" i="51"/>
  <c r="B307" i="51"/>
  <c r="B304" i="51"/>
  <c r="I79" i="44" l="1"/>
  <c r="I63" i="44"/>
  <c r="F23" i="22"/>
  <c r="J80" i="44" l="1"/>
  <c r="J71" i="44"/>
  <c r="D108" i="1" l="1"/>
  <c r="W6" i="1" l="1"/>
  <c r="AE4" i="1" l="1"/>
  <c r="AB4" i="1"/>
  <c r="Y4" i="1"/>
  <c r="X4" i="1"/>
  <c r="W4" i="1"/>
  <c r="V4" i="1"/>
  <c r="F36" i="22" l="1"/>
  <c r="A3" i="94" s="1"/>
  <c r="F20" i="22" l="1"/>
  <c r="F13" i="22"/>
  <c r="A3" i="69" s="1"/>
  <c r="F8" i="22"/>
  <c r="F9" i="22"/>
  <c r="A3" i="53" s="1"/>
  <c r="F10" i="22"/>
  <c r="W108" i="1"/>
  <c r="I9" i="22" s="1"/>
  <c r="I13" i="22"/>
  <c r="AE108" i="1"/>
  <c r="I32" i="22" s="1"/>
  <c r="V108" i="1"/>
  <c r="I6" i="22" s="1"/>
  <c r="H108" i="1"/>
  <c r="A3" i="47" l="1"/>
  <c r="A3" i="44"/>
  <c r="A3" i="43"/>
  <c r="V109" i="1"/>
  <c r="AE109" i="1"/>
  <c r="W109" i="1"/>
  <c r="B300" i="43" l="1"/>
  <c r="B302" i="43" l="1"/>
  <c r="B304" i="43"/>
  <c r="B306" i="43"/>
  <c r="B301" i="43"/>
  <c r="B303" i="43"/>
  <c r="B305" i="43"/>
  <c r="S31" i="53" l="1"/>
  <c r="O33" i="76"/>
  <c r="W26" i="53"/>
  <c r="S28" i="53"/>
  <c r="O28" i="53"/>
  <c r="S7" i="53"/>
  <c r="O30" i="85"/>
  <c r="Q28" i="85"/>
  <c r="W9" i="53"/>
  <c r="O33" i="53"/>
  <c r="Q37" i="76"/>
  <c r="Q26" i="85"/>
  <c r="Q36" i="90"/>
  <c r="L9" i="1"/>
  <c r="K9" i="1" a="1"/>
  <c r="K9" i="1" s="1"/>
  <c r="O26" i="85" s="1"/>
  <c r="AK9" i="1"/>
  <c r="O34" i="85"/>
  <c r="O27" i="85"/>
  <c r="S30" i="85"/>
  <c r="Q28" i="53"/>
  <c r="S37" i="85"/>
  <c r="Q20" i="85"/>
  <c r="S27" i="53"/>
  <c r="S31" i="85"/>
  <c r="S26" i="85"/>
  <c r="S25" i="53"/>
  <c r="S29" i="85"/>
  <c r="S34" i="85"/>
  <c r="O10" i="76"/>
  <c r="AG9" i="1"/>
  <c r="AJ9" i="1"/>
  <c r="S34" i="53"/>
  <c r="S20" i="53"/>
  <c r="Q34" i="53"/>
  <c r="S15" i="53"/>
  <c r="Q15" i="53"/>
  <c r="O9" i="53"/>
  <c r="AG10" i="1"/>
  <c r="AJ10" i="1"/>
  <c r="B301" i="44"/>
  <c r="B302" i="44"/>
  <c r="B300" i="44"/>
  <c r="X108" i="1"/>
  <c r="I10" i="22" s="1"/>
  <c r="Q30" i="85" l="1"/>
  <c r="M30" i="85" s="1"/>
  <c r="O31" i="85"/>
  <c r="Q31" i="85"/>
  <c r="Q29" i="85"/>
  <c r="O29" i="85"/>
  <c r="O28" i="85"/>
  <c r="S28" i="85"/>
  <c r="S27" i="85"/>
  <c r="Q27" i="85"/>
  <c r="Q25" i="85"/>
  <c r="Q22" i="85"/>
  <c r="S25" i="85"/>
  <c r="S22" i="85"/>
  <c r="O25" i="85"/>
  <c r="M25" i="85" s="1"/>
  <c r="O22" i="85"/>
  <c r="M22" i="85" s="1"/>
  <c r="Q34" i="85"/>
  <c r="O36" i="90"/>
  <c r="M36" i="90" s="1"/>
  <c r="Q35" i="90"/>
  <c r="O34" i="90"/>
  <c r="O37" i="85"/>
  <c r="O36" i="85"/>
  <c r="M26" i="85"/>
  <c r="O20" i="85"/>
  <c r="O38" i="85"/>
  <c r="S36" i="85"/>
  <c r="Q17" i="85"/>
  <c r="Q35" i="85"/>
  <c r="Q36" i="85"/>
  <c r="M34" i="85"/>
  <c r="Q39" i="85"/>
  <c r="Q37" i="85"/>
  <c r="O17" i="85"/>
  <c r="O35" i="85"/>
  <c r="S21" i="85"/>
  <c r="S39" i="85"/>
  <c r="O39" i="85"/>
  <c r="S20" i="85"/>
  <c r="S38" i="85"/>
  <c r="S17" i="85"/>
  <c r="S35" i="85"/>
  <c r="S13" i="85"/>
  <c r="O13" i="85"/>
  <c r="Q13" i="85"/>
  <c r="O35" i="90"/>
  <c r="M35" i="90" s="1"/>
  <c r="S19" i="85"/>
  <c r="Q34" i="90"/>
  <c r="M34" i="90" s="1"/>
  <c r="O19" i="85"/>
  <c r="S14" i="53"/>
  <c r="Q19" i="85"/>
  <c r="M19" i="85" s="1"/>
  <c r="Q21" i="85"/>
  <c r="O18" i="85"/>
  <c r="O21" i="85"/>
  <c r="Q18" i="85"/>
  <c r="S18" i="85"/>
  <c r="Q16" i="85"/>
  <c r="O16" i="85"/>
  <c r="O37" i="76"/>
  <c r="M37" i="76" s="1"/>
  <c r="S16" i="85"/>
  <c r="S11" i="85"/>
  <c r="S8" i="85"/>
  <c r="Q7" i="85"/>
  <c r="S9" i="85"/>
  <c r="Q8" i="85"/>
  <c r="O8" i="85"/>
  <c r="Q12" i="85"/>
  <c r="S12" i="85"/>
  <c r="O9" i="85"/>
  <c r="Q10" i="85"/>
  <c r="O12" i="85"/>
  <c r="O11" i="85"/>
  <c r="S7" i="85"/>
  <c r="O7" i="85"/>
  <c r="Q9" i="85"/>
  <c r="S10" i="85"/>
  <c r="Q13" i="53"/>
  <c r="Q11" i="85"/>
  <c r="O15" i="53"/>
  <c r="M15" i="53" s="1"/>
  <c r="O10" i="85"/>
  <c r="O20" i="53"/>
  <c r="Q14" i="53"/>
  <c r="S19" i="53"/>
  <c r="O25" i="53"/>
  <c r="Q9" i="53"/>
  <c r="Q7" i="53"/>
  <c r="O27" i="53"/>
  <c r="M9" i="1"/>
  <c r="P9" i="1"/>
  <c r="Q10" i="76"/>
  <c r="M10" i="76" s="1"/>
  <c r="Q13" i="76"/>
  <c r="Q31" i="76"/>
  <c r="Q39" i="76"/>
  <c r="O25" i="76"/>
  <c r="Q21" i="76"/>
  <c r="Q25" i="76"/>
  <c r="Q28" i="76"/>
  <c r="O27" i="76"/>
  <c r="O21" i="76"/>
  <c r="M21" i="76" s="1"/>
  <c r="O14" i="76"/>
  <c r="Q32" i="76"/>
  <c r="O31" i="76"/>
  <c r="O39" i="76"/>
  <c r="M39" i="76" s="1"/>
  <c r="O26" i="76"/>
  <c r="Q22" i="76"/>
  <c r="Q26" i="76"/>
  <c r="O20" i="76"/>
  <c r="O38" i="76"/>
  <c r="O28" i="76"/>
  <c r="M28" i="76" s="1"/>
  <c r="O15" i="76"/>
  <c r="Q8" i="76"/>
  <c r="Q9" i="76"/>
  <c r="Q27" i="76"/>
  <c r="Q16" i="76"/>
  <c r="O16" i="76"/>
  <c r="O32" i="76"/>
  <c r="Q15" i="76"/>
  <c r="Q20" i="76"/>
  <c r="Q38" i="76"/>
  <c r="Q33" i="76"/>
  <c r="M33" i="76" s="1"/>
  <c r="Q19" i="76"/>
  <c r="O22" i="76"/>
  <c r="O19" i="76"/>
  <c r="Q14" i="76"/>
  <c r="O9" i="76"/>
  <c r="O8" i="76"/>
  <c r="O13" i="76"/>
  <c r="O7" i="76"/>
  <c r="Q7" i="76"/>
  <c r="M31" i="76"/>
  <c r="S13" i="53"/>
  <c r="Q27" i="53"/>
  <c r="O14" i="53"/>
  <c r="U26" i="53"/>
  <c r="S33" i="53"/>
  <c r="Q19" i="53"/>
  <c r="S32" i="53"/>
  <c r="Q26" i="53"/>
  <c r="Q21" i="53"/>
  <c r="S8" i="53"/>
  <c r="Q8" i="53"/>
  <c r="O19" i="53"/>
  <c r="O13" i="53"/>
  <c r="O34" i="53"/>
  <c r="M34" i="53" s="1"/>
  <c r="O21" i="53"/>
  <c r="Q25" i="53"/>
  <c r="O7" i="53"/>
  <c r="Q33" i="53"/>
  <c r="Q32" i="53"/>
  <c r="S21" i="53"/>
  <c r="O26" i="53"/>
  <c r="O8" i="53"/>
  <c r="Q20" i="53"/>
  <c r="M28" i="53"/>
  <c r="G100" i="44"/>
  <c r="G98" i="44"/>
  <c r="G96" i="44"/>
  <c r="G94" i="44"/>
  <c r="B303" i="44"/>
  <c r="X109" i="1"/>
  <c r="Q95" i="1" l="1"/>
  <c r="Q79" i="1"/>
  <c r="Q63" i="1"/>
  <c r="Q47" i="1"/>
  <c r="Q31" i="1"/>
  <c r="Q107" i="1"/>
  <c r="Q91" i="1"/>
  <c r="Q76" i="1"/>
  <c r="Q59" i="1"/>
  <c r="Q43" i="1"/>
  <c r="Q27" i="1"/>
  <c r="Q15" i="1"/>
  <c r="Q104" i="1"/>
  <c r="Q96" i="1"/>
  <c r="Q88" i="1"/>
  <c r="Q80" i="1"/>
  <c r="Q72" i="1"/>
  <c r="Q64" i="1"/>
  <c r="Q56" i="1"/>
  <c r="Q48" i="1"/>
  <c r="Q40" i="1"/>
  <c r="Q32" i="1"/>
  <c r="Q24" i="1"/>
  <c r="Q16" i="1"/>
  <c r="Q101" i="1"/>
  <c r="Q93" i="1"/>
  <c r="Q85" i="1"/>
  <c r="Q78" i="1"/>
  <c r="Q69" i="1"/>
  <c r="Q61" i="1"/>
  <c r="Q53" i="1"/>
  <c r="Q45" i="1"/>
  <c r="Q37" i="1"/>
  <c r="Q29" i="1"/>
  <c r="Q21" i="1"/>
  <c r="Q13" i="1"/>
  <c r="Q102" i="1"/>
  <c r="Q94" i="1"/>
  <c r="Q86" i="1"/>
  <c r="Q73" i="1"/>
  <c r="Q70" i="1"/>
  <c r="Q62" i="1"/>
  <c r="Q54" i="1"/>
  <c r="Q46" i="1"/>
  <c r="Q38" i="1"/>
  <c r="Q30" i="1"/>
  <c r="Q22" i="1"/>
  <c r="Q14" i="1"/>
  <c r="Q103" i="1"/>
  <c r="Q87" i="1"/>
  <c r="Q71" i="1"/>
  <c r="Q55" i="1"/>
  <c r="Q39" i="1"/>
  <c r="Q23" i="1"/>
  <c r="Q99" i="1"/>
  <c r="Q83" i="1"/>
  <c r="Q67" i="1"/>
  <c r="Q51" i="1"/>
  <c r="Q35" i="1"/>
  <c r="Q19" i="1"/>
  <c r="Q11" i="1"/>
  <c r="Q100" i="1"/>
  <c r="Q92" i="1"/>
  <c r="Q84" i="1"/>
  <c r="Q77" i="1"/>
  <c r="Q68" i="1"/>
  <c r="Q60" i="1"/>
  <c r="Q52" i="1"/>
  <c r="Q44" i="1"/>
  <c r="Q36" i="1"/>
  <c r="Q28" i="1"/>
  <c r="Q20" i="1"/>
  <c r="Q12" i="1"/>
  <c r="Q105" i="1"/>
  <c r="Q97" i="1"/>
  <c r="Q89" i="1"/>
  <c r="Q81" i="1"/>
  <c r="Q74" i="1"/>
  <c r="Q65" i="1"/>
  <c r="Q57" i="1"/>
  <c r="Q49" i="1"/>
  <c r="Q41" i="1"/>
  <c r="Q33" i="1"/>
  <c r="Q25" i="1"/>
  <c r="Q17" i="1"/>
  <c r="Q106" i="1"/>
  <c r="Q98" i="1"/>
  <c r="Q90" i="1"/>
  <c r="Q82" i="1"/>
  <c r="Q75" i="1"/>
  <c r="Q66" i="1"/>
  <c r="Q58" i="1"/>
  <c r="Q50" i="1"/>
  <c r="Q42" i="1"/>
  <c r="Q34" i="1"/>
  <c r="Q26" i="1"/>
  <c r="Q18" i="1"/>
  <c r="Q10" i="1"/>
  <c r="C9" i="1"/>
  <c r="N103" i="1"/>
  <c r="N95" i="1"/>
  <c r="N87" i="1"/>
  <c r="N79" i="1"/>
  <c r="N71" i="1"/>
  <c r="N63" i="1"/>
  <c r="N55" i="1"/>
  <c r="N47" i="1"/>
  <c r="N39" i="1"/>
  <c r="N31" i="1"/>
  <c r="N23" i="1"/>
  <c r="N15" i="1"/>
  <c r="N104" i="1"/>
  <c r="N96" i="1"/>
  <c r="N88" i="1"/>
  <c r="N80" i="1"/>
  <c r="N72" i="1"/>
  <c r="N64" i="1"/>
  <c r="N56" i="1"/>
  <c r="N48" i="1"/>
  <c r="N40" i="1"/>
  <c r="N32" i="1"/>
  <c r="N24" i="1"/>
  <c r="N16" i="1"/>
  <c r="N101" i="1"/>
  <c r="N93" i="1"/>
  <c r="N85" i="1"/>
  <c r="N78" i="1"/>
  <c r="N69" i="1"/>
  <c r="N61" i="1"/>
  <c r="N53" i="1"/>
  <c r="N45" i="1"/>
  <c r="N37" i="1"/>
  <c r="N29" i="1"/>
  <c r="N21" i="1"/>
  <c r="N13" i="1"/>
  <c r="N102" i="1"/>
  <c r="N94" i="1"/>
  <c r="N86" i="1"/>
  <c r="N73" i="1"/>
  <c r="N70" i="1"/>
  <c r="N62" i="1"/>
  <c r="N54" i="1"/>
  <c r="N46" i="1"/>
  <c r="N38" i="1"/>
  <c r="N30" i="1"/>
  <c r="N22" i="1"/>
  <c r="N14" i="1"/>
  <c r="N107" i="1"/>
  <c r="N99" i="1"/>
  <c r="N91" i="1"/>
  <c r="N83" i="1"/>
  <c r="N76" i="1"/>
  <c r="N67" i="1"/>
  <c r="N59" i="1"/>
  <c r="N51" i="1"/>
  <c r="N43" i="1"/>
  <c r="N35" i="1"/>
  <c r="N27" i="1"/>
  <c r="N19" i="1"/>
  <c r="N11" i="1"/>
  <c r="N100" i="1"/>
  <c r="N92" i="1"/>
  <c r="N84" i="1"/>
  <c r="N77" i="1"/>
  <c r="N68" i="1"/>
  <c r="N60" i="1"/>
  <c r="N52" i="1"/>
  <c r="N44" i="1"/>
  <c r="N36" i="1"/>
  <c r="N28" i="1"/>
  <c r="N20" i="1"/>
  <c r="N12" i="1"/>
  <c r="N105" i="1"/>
  <c r="N97" i="1"/>
  <c r="N89" i="1"/>
  <c r="N81" i="1"/>
  <c r="N74" i="1"/>
  <c r="N65" i="1"/>
  <c r="N57" i="1"/>
  <c r="N49" i="1"/>
  <c r="N41" i="1"/>
  <c r="N33" i="1"/>
  <c r="N25" i="1"/>
  <c r="N17" i="1"/>
  <c r="N106" i="1"/>
  <c r="N98" i="1"/>
  <c r="N90" i="1"/>
  <c r="N82" i="1"/>
  <c r="N75" i="1"/>
  <c r="N66" i="1"/>
  <c r="N58" i="1"/>
  <c r="N50" i="1"/>
  <c r="N42" i="1"/>
  <c r="N34" i="1"/>
  <c r="N26" i="1"/>
  <c r="N18" i="1"/>
  <c r="N10" i="1"/>
  <c r="M31" i="85"/>
  <c r="M19" i="76"/>
  <c r="M28" i="85"/>
  <c r="M29" i="85"/>
  <c r="M21" i="85"/>
  <c r="M27" i="85"/>
  <c r="M7" i="53"/>
  <c r="M17" i="85"/>
  <c r="M27" i="53"/>
  <c r="M20" i="53"/>
  <c r="M14" i="53"/>
  <c r="M13" i="85"/>
  <c r="M8" i="85"/>
  <c r="M39" i="85"/>
  <c r="M20" i="85"/>
  <c r="M36" i="85"/>
  <c r="M37" i="85"/>
  <c r="M35" i="85"/>
  <c r="M38" i="85"/>
  <c r="M18" i="85"/>
  <c r="M16" i="85"/>
  <c r="M7" i="85"/>
  <c r="M12" i="85"/>
  <c r="M11" i="85"/>
  <c r="M10" i="85"/>
  <c r="M9" i="85"/>
  <c r="M25" i="53"/>
  <c r="M16" i="76"/>
  <c r="M13" i="76"/>
  <c r="M33" i="53"/>
  <c r="M9" i="76"/>
  <c r="M15" i="76"/>
  <c r="M27" i="76"/>
  <c r="M20" i="76"/>
  <c r="M32" i="76"/>
  <c r="M8" i="76"/>
  <c r="M22" i="76"/>
  <c r="M26" i="76"/>
  <c r="M25" i="76"/>
  <c r="M7" i="76"/>
  <c r="M38" i="76"/>
  <c r="M14" i="76"/>
  <c r="M13" i="53"/>
  <c r="M19" i="53"/>
  <c r="Q31" i="53"/>
  <c r="M26" i="53"/>
  <c r="M21" i="53"/>
  <c r="M8" i="53"/>
  <c r="U9" i="53"/>
  <c r="M9" i="53" s="1"/>
  <c r="O31" i="53"/>
  <c r="G104" i="44"/>
  <c r="G99" i="44"/>
  <c r="G102" i="44"/>
  <c r="G95" i="44"/>
  <c r="B79" i="1" l="1"/>
  <c r="B59" i="1"/>
  <c r="B39" i="1"/>
  <c r="B80" i="1"/>
  <c r="B36" i="1"/>
  <c r="B20" i="1"/>
  <c r="B81" i="1"/>
  <c r="B74" i="1"/>
  <c r="B65" i="1"/>
  <c r="B21" i="1"/>
  <c r="B106" i="1"/>
  <c r="B86" i="1"/>
  <c r="B75" i="1"/>
  <c r="B58" i="1"/>
  <c r="B22" i="1"/>
  <c r="B91" i="1"/>
  <c r="B76" i="1"/>
  <c r="B47" i="1"/>
  <c r="B31" i="1"/>
  <c r="B64" i="1"/>
  <c r="B24" i="1"/>
  <c r="B93" i="1"/>
  <c r="B78" i="1"/>
  <c r="B69" i="1"/>
  <c r="B41" i="1"/>
  <c r="B102" i="1"/>
  <c r="B82" i="1"/>
  <c r="B66" i="1"/>
  <c r="B50" i="1"/>
  <c r="B9" i="1"/>
  <c r="N9" i="1"/>
  <c r="G18" i="1" s="1"/>
  <c r="Q9" i="1"/>
  <c r="M31" i="53"/>
  <c r="I95" i="44"/>
  <c r="I99" i="44"/>
  <c r="I102" i="44"/>
  <c r="I104" i="44"/>
  <c r="AJ108" i="1"/>
  <c r="AH108" i="1"/>
  <c r="AI108" i="1"/>
  <c r="AB108" i="1"/>
  <c r="AA108" i="1"/>
  <c r="AA109" i="1" s="1"/>
  <c r="Z108" i="1"/>
  <c r="Z109" i="1" s="1"/>
  <c r="G103" i="1" l="1"/>
  <c r="G71" i="1"/>
  <c r="G39" i="1"/>
  <c r="G104" i="1"/>
  <c r="G72" i="1"/>
  <c r="G40" i="1"/>
  <c r="G101" i="1"/>
  <c r="G69" i="1"/>
  <c r="G37" i="1"/>
  <c r="G102" i="1"/>
  <c r="G70" i="1"/>
  <c r="G38" i="1"/>
  <c r="G107" i="1"/>
  <c r="G76" i="1"/>
  <c r="G43" i="1"/>
  <c r="G11" i="1"/>
  <c r="G77" i="1"/>
  <c r="G44" i="1"/>
  <c r="G12" i="1"/>
  <c r="G105" i="1"/>
  <c r="G74" i="1"/>
  <c r="G41" i="1"/>
  <c r="G106" i="1"/>
  <c r="G75" i="1"/>
  <c r="G42" i="1"/>
  <c r="G10" i="1"/>
  <c r="G95" i="1"/>
  <c r="G63" i="1"/>
  <c r="G31" i="1"/>
  <c r="G96" i="1"/>
  <c r="G64" i="1"/>
  <c r="G32" i="1"/>
  <c r="G93" i="1"/>
  <c r="G61" i="1"/>
  <c r="G29" i="1"/>
  <c r="G94" i="1"/>
  <c r="G62" i="1"/>
  <c r="G30" i="1"/>
  <c r="G99" i="1"/>
  <c r="G67" i="1"/>
  <c r="G35" i="1"/>
  <c r="G100" i="1"/>
  <c r="G68" i="1"/>
  <c r="G36" i="1"/>
  <c r="G97" i="1"/>
  <c r="G65" i="1"/>
  <c r="G33" i="1"/>
  <c r="G98" i="1"/>
  <c r="G66" i="1"/>
  <c r="G34" i="1"/>
  <c r="G87" i="1"/>
  <c r="G55" i="1"/>
  <c r="G23" i="1"/>
  <c r="G88" i="1"/>
  <c r="G56" i="1"/>
  <c r="G24" i="1"/>
  <c r="G85" i="1"/>
  <c r="G53" i="1"/>
  <c r="G21" i="1"/>
  <c r="G86" i="1"/>
  <c r="G54" i="1"/>
  <c r="G22" i="1"/>
  <c r="G91" i="1"/>
  <c r="G59" i="1"/>
  <c r="G27" i="1"/>
  <c r="G92" i="1"/>
  <c r="G60" i="1"/>
  <c r="G28" i="1"/>
  <c r="G89" i="1"/>
  <c r="G57" i="1"/>
  <c r="G25" i="1"/>
  <c r="G90" i="1"/>
  <c r="G58" i="1"/>
  <c r="G26" i="1"/>
  <c r="G79" i="1"/>
  <c r="G47" i="1"/>
  <c r="G15" i="1"/>
  <c r="G80" i="1"/>
  <c r="G48" i="1"/>
  <c r="G16" i="1"/>
  <c r="G78" i="1"/>
  <c r="G45" i="1"/>
  <c r="G13" i="1"/>
  <c r="G73" i="1"/>
  <c r="G46" i="1"/>
  <c r="G14" i="1"/>
  <c r="G83" i="1"/>
  <c r="G51" i="1"/>
  <c r="G19" i="1"/>
  <c r="G84" i="1"/>
  <c r="G52" i="1"/>
  <c r="G20" i="1"/>
  <c r="G81" i="1"/>
  <c r="G49" i="1"/>
  <c r="G17" i="1"/>
  <c r="G82" i="1"/>
  <c r="G50" i="1"/>
  <c r="AB109" i="1"/>
  <c r="I26" i="22"/>
  <c r="J106" i="44"/>
  <c r="J103" i="44"/>
  <c r="J100" i="44"/>
  <c r="J97" i="44"/>
  <c r="I16" i="22"/>
  <c r="I17" i="22"/>
  <c r="O32" i="53" l="1"/>
  <c r="M32" i="53" s="1"/>
  <c r="B305" i="44"/>
  <c r="B307" i="44"/>
  <c r="B306" i="44"/>
  <c r="B304" i="44"/>
  <c r="G9" i="1" l="1"/>
</calcChain>
</file>

<file path=xl/comments1.xml><?xml version="1.0" encoding="utf-8"?>
<comments xmlns="http://schemas.openxmlformats.org/spreadsheetml/2006/main">
  <authors>
    <author>Author</author>
  </authors>
  <commentList>
    <comment ref="I4" authorId="0">
      <text>
        <r>
          <rPr>
            <b/>
            <sz val="8"/>
            <color indexed="81"/>
            <rFont val="Tahoma"/>
            <family val="2"/>
            <charset val="186"/>
          </rPr>
          <t>Osalejate arv</t>
        </r>
      </text>
    </comment>
    <comment ref="F6" authorId="0">
      <text>
        <r>
          <rPr>
            <b/>
            <sz val="8"/>
            <color indexed="81"/>
            <rFont val="Tahoma"/>
            <family val="2"/>
            <charset val="186"/>
          </rPr>
          <t>Tallinn, Algi 38</t>
        </r>
      </text>
    </comment>
    <comment ref="H6" authorId="0">
      <text>
        <r>
          <rPr>
            <b/>
            <sz val="8"/>
            <color indexed="81"/>
            <rFont val="Tahoma"/>
            <family val="2"/>
            <charset val="186"/>
          </rPr>
          <t>Juunioridel 2 €</t>
        </r>
      </text>
    </comment>
    <comment ref="F8" authorId="0">
      <text>
        <r>
          <rPr>
            <b/>
            <sz val="8"/>
            <color indexed="81"/>
            <rFont val="Tahoma"/>
            <family val="2"/>
            <charset val="186"/>
          </rPr>
          <t>Tallinn, Algi 38</t>
        </r>
      </text>
    </comment>
    <comment ref="F9" authorId="0">
      <text>
        <r>
          <rPr>
            <b/>
            <sz val="8"/>
            <color indexed="81"/>
            <rFont val="Tahoma"/>
            <family val="2"/>
            <charset val="186"/>
          </rPr>
          <t>Tallinn, Algi 38</t>
        </r>
      </text>
    </comment>
    <comment ref="H9" authorId="0">
      <text>
        <r>
          <rPr>
            <b/>
            <sz val="8"/>
            <color indexed="81"/>
            <rFont val="Tahoma"/>
            <family val="2"/>
            <charset val="186"/>
          </rPr>
          <t>Juunioridel 2 €</t>
        </r>
      </text>
    </comment>
    <comment ref="F10" authorId="0">
      <text>
        <r>
          <rPr>
            <b/>
            <sz val="8"/>
            <color indexed="81"/>
            <rFont val="Tahoma"/>
            <family val="2"/>
            <charset val="186"/>
          </rPr>
          <t>Tallinn, Algi 38</t>
        </r>
      </text>
    </comment>
    <comment ref="H10" authorId="0">
      <text>
        <r>
          <rPr>
            <b/>
            <sz val="8"/>
            <color indexed="81"/>
            <rFont val="Tahoma"/>
            <family val="2"/>
            <charset val="186"/>
          </rPr>
          <t>Juunioridel 2 €</t>
        </r>
      </text>
    </comment>
    <comment ref="F12" authorId="0">
      <text>
        <r>
          <rPr>
            <b/>
            <sz val="8"/>
            <color indexed="81"/>
            <rFont val="Tahoma"/>
            <family val="2"/>
            <charset val="186"/>
          </rPr>
          <t>Kohtla-Järve, Spordi 2, 
Vanalinna petangihall</t>
        </r>
      </text>
    </comment>
    <comment ref="F13" authorId="0">
      <text>
        <r>
          <rPr>
            <b/>
            <sz val="8"/>
            <color indexed="81"/>
            <rFont val="Tahoma"/>
            <family val="2"/>
            <charset val="186"/>
          </rPr>
          <t>Tallinn, Algi 38</t>
        </r>
      </text>
    </comment>
    <comment ref="H13" authorId="0">
      <text>
        <r>
          <rPr>
            <b/>
            <sz val="8"/>
            <color indexed="81"/>
            <rFont val="Tahoma"/>
            <family val="2"/>
            <charset val="186"/>
          </rPr>
          <t>Juunioridel 2 €</t>
        </r>
      </text>
    </comment>
    <comment ref="F16" authorId="0">
      <text>
        <r>
          <rPr>
            <b/>
            <sz val="8"/>
            <color indexed="81"/>
            <rFont val="Tahoma"/>
            <family val="2"/>
            <charset val="186"/>
          </rPr>
          <t>Kohtla-Järve, Spordi 2, 
Vanalinna petangihall</t>
        </r>
      </text>
    </comment>
    <comment ref="H16" authorId="0">
      <text>
        <r>
          <rPr>
            <b/>
            <sz val="8"/>
            <color indexed="81"/>
            <rFont val="Tahoma"/>
            <family val="2"/>
            <charset val="186"/>
          </rPr>
          <t>Juunioridel 2 €</t>
        </r>
      </text>
    </comment>
    <comment ref="F17" authorId="0">
      <text>
        <r>
          <rPr>
            <b/>
            <sz val="8"/>
            <color indexed="81"/>
            <rFont val="Tahoma"/>
            <family val="2"/>
            <charset val="186"/>
          </rPr>
          <t>Kohtla-Järve, Spordi 2, 
Vanalinna petangihall</t>
        </r>
      </text>
    </comment>
    <comment ref="H17" authorId="0">
      <text>
        <r>
          <rPr>
            <b/>
            <sz val="8"/>
            <color indexed="81"/>
            <rFont val="Tahoma"/>
            <family val="2"/>
            <charset val="186"/>
          </rPr>
          <t>Juunioridel 2 €</t>
        </r>
      </text>
    </comment>
    <comment ref="F18" authorId="0">
      <text>
        <r>
          <rPr>
            <b/>
            <sz val="8"/>
            <color indexed="81"/>
            <rFont val="Tahoma"/>
            <family val="2"/>
            <charset val="186"/>
          </rPr>
          <t>Tallinn, Algi 38</t>
        </r>
      </text>
    </comment>
    <comment ref="F19" authorId="0">
      <text>
        <r>
          <rPr>
            <b/>
            <sz val="8"/>
            <color indexed="81"/>
            <rFont val="Tahoma"/>
            <family val="2"/>
            <charset val="186"/>
          </rPr>
          <t>Tallinn, Algi 38</t>
        </r>
      </text>
    </comment>
    <comment ref="F20" authorId="0">
      <text>
        <r>
          <rPr>
            <b/>
            <sz val="8"/>
            <color indexed="81"/>
            <rFont val="Tahoma"/>
            <family val="2"/>
            <charset val="186"/>
          </rPr>
          <t>Tallinn, Algi 38</t>
        </r>
      </text>
    </comment>
    <comment ref="F23" authorId="0">
      <text>
        <r>
          <rPr>
            <b/>
            <sz val="8"/>
            <color indexed="81"/>
            <rFont val="Tahoma"/>
            <family val="2"/>
            <charset val="186"/>
          </rPr>
          <t>Haapsalu, Niine 17</t>
        </r>
      </text>
    </comment>
    <comment ref="F25" authorId="0">
      <text>
        <r>
          <rPr>
            <b/>
            <sz val="8"/>
            <color indexed="81"/>
            <rFont val="Tahoma"/>
            <family val="2"/>
            <charset val="186"/>
          </rPr>
          <t>Tallinn, Algi 38</t>
        </r>
      </text>
    </comment>
    <comment ref="F26" authorId="0">
      <text>
        <r>
          <rPr>
            <b/>
            <sz val="8"/>
            <color indexed="81"/>
            <rFont val="Tahoma"/>
            <family val="2"/>
            <charset val="186"/>
          </rPr>
          <t>Tallinn, Algi 38</t>
        </r>
      </text>
    </comment>
    <comment ref="H26" authorId="0">
      <text>
        <r>
          <rPr>
            <b/>
            <sz val="8"/>
            <color indexed="81"/>
            <rFont val="Tahoma"/>
            <family val="2"/>
            <charset val="186"/>
          </rPr>
          <t>Juunioridel 2 €</t>
        </r>
      </text>
    </comment>
    <comment ref="F28" authorId="0">
      <text>
        <r>
          <rPr>
            <b/>
            <sz val="8"/>
            <color indexed="81"/>
            <rFont val="Tahoma"/>
            <family val="2"/>
            <charset val="186"/>
          </rPr>
          <t>Tallinn, Algi 38</t>
        </r>
      </text>
    </comment>
    <comment ref="H28" authorId="0">
      <text>
        <r>
          <rPr>
            <b/>
            <sz val="8"/>
            <color indexed="81"/>
            <rFont val="Tahoma"/>
            <family val="2"/>
            <charset val="186"/>
          </rPr>
          <t>Juunioridel 2 €</t>
        </r>
      </text>
    </comment>
    <comment ref="F29" authorId="0">
      <text>
        <r>
          <rPr>
            <b/>
            <sz val="8"/>
            <color indexed="81"/>
            <rFont val="Tahoma"/>
            <family val="2"/>
            <charset val="186"/>
          </rPr>
          <t>Tallinn, Algi 38</t>
        </r>
      </text>
    </comment>
    <comment ref="H29" authorId="0">
      <text>
        <r>
          <rPr>
            <b/>
            <sz val="8"/>
            <color indexed="81"/>
            <rFont val="Tahoma"/>
            <family val="2"/>
            <charset val="186"/>
          </rPr>
          <t>Juunioridel 2 €</t>
        </r>
      </text>
    </comment>
    <comment ref="F30" authorId="0">
      <text>
        <r>
          <rPr>
            <b/>
            <sz val="8"/>
            <color indexed="81"/>
            <rFont val="Tahoma"/>
            <family val="2"/>
            <charset val="186"/>
          </rPr>
          <t>Kohtla-Järve, Spordi 2, 
Vanalinna petangihall</t>
        </r>
      </text>
    </comment>
    <comment ref="F32" authorId="0">
      <text>
        <r>
          <rPr>
            <b/>
            <sz val="8"/>
            <color indexed="81"/>
            <rFont val="Tahoma"/>
            <family val="2"/>
            <charset val="186"/>
          </rPr>
          <t>Tallinn, Algi 38</t>
        </r>
      </text>
    </comment>
    <comment ref="H32" authorId="0">
      <text>
        <r>
          <rPr>
            <b/>
            <sz val="8"/>
            <color indexed="81"/>
            <rFont val="Tahoma"/>
            <family val="2"/>
            <charset val="186"/>
          </rPr>
          <t>Juunioridel 2 €</t>
        </r>
      </text>
    </comment>
    <comment ref="F33" authorId="0">
      <text>
        <r>
          <rPr>
            <b/>
            <sz val="8"/>
            <color indexed="81"/>
            <rFont val="Tahoma"/>
            <family val="2"/>
            <charset val="186"/>
          </rPr>
          <t>Tallinn, Algi 38</t>
        </r>
      </text>
    </comment>
    <comment ref="H33" authorId="0">
      <text>
        <r>
          <rPr>
            <b/>
            <sz val="8"/>
            <color indexed="81"/>
            <rFont val="Tahoma"/>
            <family val="2"/>
            <charset val="186"/>
          </rPr>
          <t>Juunioridel 2 €</t>
        </r>
      </text>
    </comment>
    <comment ref="F35" authorId="0">
      <text>
        <r>
          <rPr>
            <b/>
            <sz val="8"/>
            <color indexed="81"/>
            <rFont val="Tahoma"/>
            <family val="2"/>
            <charset val="186"/>
          </rPr>
          <t>Tallinn, Algi 38</t>
        </r>
      </text>
    </comment>
    <comment ref="F36" authorId="0">
      <text>
        <r>
          <rPr>
            <b/>
            <sz val="8"/>
            <color indexed="81"/>
            <rFont val="Tahoma"/>
            <family val="2"/>
            <charset val="186"/>
          </rPr>
          <t>Tallinn, Algi 38</t>
        </r>
      </text>
    </comment>
    <comment ref="H36" authorId="0">
      <text>
        <r>
          <rPr>
            <b/>
            <sz val="8"/>
            <color indexed="81"/>
            <rFont val="Tahoma"/>
            <family val="2"/>
            <charset val="186"/>
          </rPr>
          <t>30 € võistkond</t>
        </r>
      </text>
    </comment>
  </commentList>
</comments>
</file>

<file path=xl/comments2.xml><?xml version="1.0" encoding="utf-8"?>
<comments xmlns="http://schemas.openxmlformats.org/spreadsheetml/2006/main">
  <authors>
    <author>Author</author>
  </authors>
  <commentList>
    <comment ref="AD1" authorId="0">
      <text>
        <r>
          <rPr>
            <b/>
            <sz val="8"/>
            <color indexed="81"/>
            <rFont val="Tahoma"/>
            <family val="2"/>
            <charset val="186"/>
          </rPr>
          <t>Koht - Punkte
1. - 25 p
2. - 20 p
3. - 16 p
4. - 12 p
5. -   9 p
6. -   7 p
7. -   5 p
8. -   4 p
9... - 2 p
DSQ - 0 p (Disqualified)
DNF -        (Did not finish)
DNS -        (Did not start)</t>
        </r>
      </text>
    </comment>
    <comment ref="AF1" authorId="0">
      <text>
        <r>
          <rPr>
            <b/>
            <sz val="8"/>
            <color indexed="81"/>
            <rFont val="Tahoma"/>
            <family val="2"/>
            <charset val="186"/>
          </rPr>
          <t>Koht - Punkte 
1. - 20 p
2. - 16 p
3. - 12 p
4. -   9 p
5. -   7 p
6. -   5 p
7. -   4 p
8. -   3 p
9... - 1 p
DSQ - 0 p (Disqualified)
DNF -        (Did not finish)
DNS -        (Did not start)</t>
        </r>
      </text>
    </comment>
    <comment ref="C7" authorId="0">
      <text>
        <r>
          <rPr>
            <b/>
            <sz val="8"/>
            <color indexed="81"/>
            <rFont val="Tahoma"/>
            <family val="2"/>
            <charset val="186"/>
          </rPr>
          <t>siin tuleb K9 asemele panna veerg, kus on naiste punktid</t>
        </r>
      </text>
    </comment>
    <comment ref="K7" authorId="0">
      <text>
        <r>
          <rPr>
            <b/>
            <sz val="8"/>
            <color indexed="81"/>
            <rFont val="Tahoma"/>
            <family val="2"/>
            <charset val="186"/>
          </rPr>
          <t xml:space="preserve">Valem arvutab punktisumma ja võtab kehvemad tulemused maha. 
</t>
        </r>
        <r>
          <rPr>
            <b/>
            <sz val="8"/>
            <color indexed="10"/>
            <rFont val="Tahoma"/>
            <family val="2"/>
            <charset val="186"/>
          </rPr>
          <t>Valemi (array) sisestamiseks vajuta Ctrl+Shift+Enter</t>
        </r>
        <r>
          <rPr>
            <b/>
            <sz val="8"/>
            <color indexed="81"/>
            <rFont val="Tahoma"/>
            <family val="2"/>
            <charset val="186"/>
          </rPr>
          <t xml:space="preserve">
Valem töötab Microsoft ja WPS Office-ga. 
Ei tööta alati Libre ja Open Office-ga.</t>
        </r>
      </text>
    </comment>
    <comment ref="T7" authorId="0">
      <text>
        <r>
          <rPr>
            <b/>
            <sz val="8"/>
            <color indexed="81"/>
            <rFont val="Tahoma"/>
            <family val="2"/>
            <charset val="186"/>
          </rPr>
          <t>Kohalikud ehk Ida-Virumaa mängijad</t>
        </r>
      </text>
    </comment>
    <comment ref="U7" authorId="0">
      <text>
        <r>
          <rPr>
            <b/>
            <sz val="8"/>
            <color indexed="81"/>
            <rFont val="Tahoma"/>
            <family val="2"/>
            <charset val="186"/>
          </rPr>
          <t>Välismaalased</t>
        </r>
      </text>
    </comment>
    <comment ref="X7" authorId="0">
      <text>
        <r>
          <rPr>
            <b/>
            <sz val="8"/>
            <color indexed="81"/>
            <rFont val="Tahoma"/>
            <family val="2"/>
            <charset val="186"/>
          </rPr>
          <t>Kuna üks võistkond lahkus võistluselt, hakkasid 8 võistkonda, kes pääsesid vahevooru, kuid ei saanud sealt edasi, jagama 8-11 kohta</t>
        </r>
      </text>
    </comment>
    <comment ref="F8" authorId="0">
      <text>
        <r>
          <rPr>
            <b/>
            <sz val="8"/>
            <color indexed="81"/>
            <rFont val="Tahoma"/>
            <family val="2"/>
            <charset val="186"/>
          </rPr>
          <t>siin tuleb K9 asemele panna veerg, kus on juunioride punktid</t>
        </r>
      </text>
    </comment>
    <comment ref="G8" authorId="0">
      <text>
        <r>
          <rPr>
            <b/>
            <sz val="8"/>
            <color indexed="81"/>
            <rFont val="Tahoma"/>
            <family val="2"/>
            <charset val="186"/>
          </rPr>
          <t xml:space="preserve">Valem arvutab punktisumma järgi võistleja koha. 
Võrdse punktisumma korral annab kõrgema koha võistlejale, kellel on rohkem 25-t, siis rohkem 20-t, 16-t jne. 
Kui ka see on võrdne, järjestab võistlejad tähestiku järgi. 
Valem töötab Microsoft ja WPS Office-iga. 
Alati ei tööta Libre ja Open Office-iga. </t>
        </r>
      </text>
    </comment>
    <comment ref="AK8"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L8"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N8"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X13" authorId="0">
      <text>
        <r>
          <rPr>
            <b/>
            <sz val="8"/>
            <color indexed="81"/>
            <rFont val="Tahoma"/>
            <family val="2"/>
            <charset val="186"/>
          </rPr>
          <t xml:space="preserve">Kuigi need 4 duot (8 mängijat) jagasid 8-11 kohta ja pidid saama 1,5 punkti, 
pani EPKL neile reitingussse 3 punkti. 
  8. koht - 3 punkti
  9. koht - 1 punkt
10. koht - 1 punkt
11. koht - 1 punkt
Seega õige on: (3 + 1 + 1 + 1) / 4 = 1,5 punkti
Selline tava (kirjutamata reegel) on kehtinud juba alates hooajast 2003/2004 ja selle muutmine hooaja keskel pole õige. </t>
        </r>
      </text>
    </comment>
    <comment ref="I107" authorId="0">
      <text>
        <r>
          <rPr>
            <b/>
            <sz val="8"/>
            <color indexed="81"/>
            <rFont val="Tahoma"/>
            <family val="2"/>
            <charset val="186"/>
          </rPr>
          <t>27.03.1958 - 11.12.2017</t>
        </r>
      </text>
    </comment>
  </commentList>
</comments>
</file>

<file path=xl/comments3.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6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69" authorId="0">
      <text>
        <r>
          <rPr>
            <b/>
            <sz val="8"/>
            <color indexed="81"/>
            <rFont val="Tahoma"/>
            <family val="2"/>
            <charset val="186"/>
          </rPr>
          <t>kahe veerandfinalisti võitja punktidele lisab 100.
paariliste esimesed saavad kohe 100, et mittte edasisaanute RANK algaks 5-st kohast, mitte 2-st</t>
        </r>
      </text>
    </comment>
    <comment ref="Z103"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4.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68"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69" authorId="0">
      <text>
        <r>
          <rPr>
            <b/>
            <sz val="8"/>
            <color indexed="81"/>
            <rFont val="Tahoma"/>
            <family val="2"/>
            <charset val="186"/>
          </rPr>
          <t>kahe veerandfinalisti võitja punktidele lisab 100.
paariliste esimesed saavad kohe 100, et mittte edasisaanute RANK algaks 5-st kohast, mitte 2-st</t>
        </r>
      </text>
    </comment>
    <comment ref="Z103"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sharedStrings.xml><?xml version="1.0" encoding="utf-8"?>
<sst xmlns="http://schemas.openxmlformats.org/spreadsheetml/2006/main" count="3031" uniqueCount="938">
  <si>
    <t>Punktid:</t>
  </si>
  <si>
    <t>ESMV</t>
  </si>
  <si>
    <t>Kuld</t>
  </si>
  <si>
    <t>Hõbe</t>
  </si>
  <si>
    <t>Pronks</t>
  </si>
  <si>
    <t xml:space="preserve"> </t>
  </si>
  <si>
    <t>Osalusi</t>
  </si>
  <si>
    <t>Reiting</t>
  </si>
  <si>
    <t>Meda</t>
  </si>
  <si>
    <t>Eesti</t>
  </si>
  <si>
    <t>leid</t>
  </si>
  <si>
    <t>Või</t>
  </si>
  <si>
    <t>meis</t>
  </si>
  <si>
    <t>***</t>
  </si>
  <si>
    <t>**</t>
  </si>
  <si>
    <t>S**</t>
  </si>
  <si>
    <t>S***</t>
  </si>
  <si>
    <t>te</t>
  </si>
  <si>
    <t>ter</t>
  </si>
  <si>
    <t>Koht</t>
  </si>
  <si>
    <t>Võistleja nimi</t>
  </si>
  <si>
    <t>Aigar Lusbo</t>
  </si>
  <si>
    <t>Ivar Viljaste</t>
  </si>
  <si>
    <t>Kalju Olmre</t>
  </si>
  <si>
    <t>Sirje Viljaste</t>
  </si>
  <si>
    <t>Aivar Sein</t>
  </si>
  <si>
    <t>Merike Lusbo</t>
  </si>
  <si>
    <t>Ülo Piik</t>
  </si>
  <si>
    <t>Mait Metsla</t>
  </si>
  <si>
    <t>Matti Vinni</t>
  </si>
  <si>
    <t>Marina Vallik</t>
  </si>
  <si>
    <t>Maive Sein</t>
  </si>
  <si>
    <t>Kadri Arunurm</t>
  </si>
  <si>
    <t>Varje Reede</t>
  </si>
  <si>
    <t>Egert Kingissepp</t>
  </si>
  <si>
    <t>Arvi Palla</t>
  </si>
  <si>
    <t>Kadri Veljend</t>
  </si>
  <si>
    <t>Alar Sinimäe</t>
  </si>
  <si>
    <t>Silver Kingissepp</t>
  </si>
  <si>
    <t>Aarne Välja</t>
  </si>
  <si>
    <t>Marge Mägi</t>
  </si>
  <si>
    <t>Mare Kingissepp</t>
  </si>
  <si>
    <t>Thibaut Sergeï Mathon</t>
  </si>
  <si>
    <t>Mihkel Palk</t>
  </si>
  <si>
    <t>Oskar Sepp</t>
  </si>
  <si>
    <t>Tiit Palk</t>
  </si>
  <si>
    <t>Marek Kolk</t>
  </si>
  <si>
    <t>Vello Sillasoo</t>
  </si>
  <si>
    <t>Janek Kiisk</t>
  </si>
  <si>
    <t>Margo Peebo</t>
  </si>
  <si>
    <t>Vallo Sillamaa</t>
  </si>
  <si>
    <t>Eve Oidsalu</t>
  </si>
  <si>
    <t>Hardo Sokk</t>
  </si>
  <si>
    <t>Kaido Kopel</t>
  </si>
  <si>
    <t>Kalle Orro</t>
  </si>
  <si>
    <t>Aigi Orro</t>
  </si>
  <si>
    <t>Anne Sillamaa</t>
  </si>
  <si>
    <t>Rutt Voldek</t>
  </si>
  <si>
    <t>Margus Strööm</t>
  </si>
  <si>
    <t>Osalejaid</t>
  </si>
  <si>
    <t>Võistkondi</t>
  </si>
  <si>
    <t>Võitjad</t>
  </si>
  <si>
    <t>Kaotajad</t>
  </si>
  <si>
    <t>VK-KV</t>
  </si>
  <si>
    <t>I</t>
  </si>
  <si>
    <t>II</t>
  </si>
  <si>
    <t>III</t>
  </si>
  <si>
    <t>D1</t>
  </si>
  <si>
    <t>B2</t>
  </si>
  <si>
    <t>A1</t>
  </si>
  <si>
    <t>C2</t>
  </si>
  <si>
    <t>B1</t>
  </si>
  <si>
    <t>D2</t>
  </si>
  <si>
    <t>C1</t>
  </si>
  <si>
    <t>A2</t>
  </si>
  <si>
    <t>4. koht</t>
  </si>
  <si>
    <t>5. koht</t>
  </si>
  <si>
    <t>6. koht</t>
  </si>
  <si>
    <t>7. koht</t>
  </si>
  <si>
    <t>8. koht</t>
  </si>
  <si>
    <t>Ivar Viljaste, Sirje Viljaste</t>
  </si>
  <si>
    <t>-</t>
  </si>
  <si>
    <t>A3</t>
  </si>
  <si>
    <t>B3</t>
  </si>
  <si>
    <t>9. koht</t>
  </si>
  <si>
    <t>10. koht</t>
  </si>
  <si>
    <t>11. koht</t>
  </si>
  <si>
    <t>K</t>
  </si>
  <si>
    <t>Kadri Arunurm, Kalju Olmre</t>
  </si>
  <si>
    <t>Mihkel Palk, Tiit Palk</t>
  </si>
  <si>
    <t>1 - 4 koht</t>
  </si>
  <si>
    <t>E1</t>
  </si>
  <si>
    <t>F1</t>
  </si>
  <si>
    <t>E2</t>
  </si>
  <si>
    <t>F2</t>
  </si>
  <si>
    <t>5 - 8 koht</t>
  </si>
  <si>
    <t>9-10</t>
  </si>
  <si>
    <t>1. EESTI SISEHOOAJA MEISTRIVÕISTLUSED:</t>
  </si>
  <si>
    <t>2. SISEHOOAJA REITINGUVÕISTLUSED:</t>
  </si>
  <si>
    <t>Võrdsete punktide korral saab kõrgema koha võistleja, kellel on rohkem kõrgemaid punkte.</t>
  </si>
  <si>
    <t>Sisehooaja reitingu lõpparvestus kajastub suvereitingu arvestuses ühe reitinguvõistlusena,</t>
  </si>
  <si>
    <t>mis läheb igal juhul arvesse. Näiteks sisehooaja reitingu lõpparvestuse 6 koht saab</t>
  </si>
  <si>
    <t>Peep Puiestik</t>
  </si>
  <si>
    <t>Ü L D R E I T I N G</t>
  </si>
  <si>
    <t>Marko Ode</t>
  </si>
  <si>
    <t>7.</t>
  </si>
  <si>
    <t>8.</t>
  </si>
  <si>
    <t>Arvesse lähevad Eesti sisehooaja meistrivõistlustest 4 paremat ja reitinguvõistlustest 4</t>
  </si>
  <si>
    <t>parema võistluse tulemused.</t>
  </si>
  <si>
    <t>Punkte antakse vastavalt alljärgnevale tabelile:</t>
  </si>
  <si>
    <t>4.</t>
  </si>
  <si>
    <t>5.</t>
  </si>
  <si>
    <t>6.</t>
  </si>
  <si>
    <t>Auhinnad reitingu kolmele paremale:</t>
  </si>
  <si>
    <t>I koht - 100 EUR</t>
  </si>
  <si>
    <t>II koht - 60 EUR</t>
  </si>
  <si>
    <t>III koht - 40 EUR</t>
  </si>
  <si>
    <t>Auhind parimale juuniorile ja eriauhinnad.</t>
  </si>
  <si>
    <t>Eesmärk:</t>
  </si>
  <si>
    <t>Propageerida petangimängu kogu vabariigis ka talvisel perioodil. Selgitada välja regioonide parim võistkond talvisel hooajal.</t>
  </si>
  <si>
    <t>Osalejad:</t>
  </si>
  <si>
    <t>Osaleda võivad kõik mängijad. Mängija saab osaleda oma elukoha järgses regioonis.</t>
  </si>
  <si>
    <t>Võistlusviis:</t>
  </si>
  <si>
    <t>Trio ( võistkonnas kuni 4 mängijat), kusjuures ükski mängija ei tohi Regioonivõistluse raames osaleda kahe erineva võistkonna koosseisus.</t>
  </si>
  <si>
    <t>Regioonid:</t>
  </si>
  <si>
    <t>Võistluste läbiviimise süsteem:</t>
  </si>
  <si>
    <t>Mängud mängitakse alagrupi süsteemis + karikas.</t>
  </si>
  <si>
    <t>Kui võistlustele registreerub:</t>
  </si>
  <si>
    <t>1) 2 võistkonda, siis on neil automaatselt õigus osaleda finaalis.</t>
  </si>
  <si>
    <t>Finaali pääseb igast regioonist 2 paremat võistkonda. Võisteldakse kahes alagrupis ning ühe regiooni võistkonnad võistlevad erinevates alagruppides. Peale alagruppi on karikas, kus selgub parim võistkond, kes esindab oma regiooni.</t>
  </si>
  <si>
    <t>Võistluste toimumise kohad:</t>
  </si>
  <si>
    <t>Põhi: Tallinna sisehall, Algi 38</t>
  </si>
  <si>
    <t>Punktide arvestus:</t>
  </si>
  <si>
    <t>Kahe etapi punktid liidetakse. Võrdsete punktide korral saab kõrgema koha teisel etapil kõrgema koha saanud võistkond.</t>
  </si>
  <si>
    <t>Tulemuste teatamine:</t>
  </si>
  <si>
    <t>Võistlustele järgneva päeva õhtuks EPKL-le.</t>
  </si>
  <si>
    <t>Registreerimine:</t>
  </si>
  <si>
    <t>Alagrupis võrdsete punktide korral selgitatakse paremusjärjestus järgnevalt:</t>
  </si>
  <si>
    <t>TUL</t>
  </si>
  <si>
    <t>K-Järve</t>
  </si>
  <si>
    <t>Kevin Sten Liik</t>
  </si>
  <si>
    <t>Svetlana Veski</t>
  </si>
  <si>
    <t>Andres Veski</t>
  </si>
  <si>
    <t>Vahur Raudsepp</t>
  </si>
  <si>
    <t>Heigo Kullang</t>
  </si>
  <si>
    <t>Piret Kopel</t>
  </si>
  <si>
    <t>Urmo Auväärt</t>
  </si>
  <si>
    <t>Viktor Švarõgin</t>
  </si>
  <si>
    <t>I ja II etapp mängitakse regioonides</t>
  </si>
  <si>
    <t>Toomas Reede</t>
  </si>
  <si>
    <t>Kaarel Mikk</t>
  </si>
  <si>
    <t>Margus Berkmann</t>
  </si>
  <si>
    <t>Kuupäev</t>
  </si>
  <si>
    <t>Aeg</t>
  </si>
  <si>
    <t>Võistlus</t>
  </si>
  <si>
    <t>Mänguviis</t>
  </si>
  <si>
    <t>R</t>
  </si>
  <si>
    <t>Toimumiskoht</t>
  </si>
  <si>
    <t>Korraldaja</t>
  </si>
  <si>
    <t>T</t>
  </si>
  <si>
    <t>Osal</t>
  </si>
  <si>
    <t>11:00</t>
  </si>
  <si>
    <t>Trio</t>
  </si>
  <si>
    <t>10:00</t>
  </si>
  <si>
    <t>Duo</t>
  </si>
  <si>
    <t>EPKL</t>
  </si>
  <si>
    <t>Segatrio</t>
  </si>
  <si>
    <t>Tulistamine</t>
  </si>
  <si>
    <t>Viimased muudatused on punasega</t>
  </si>
  <si>
    <t>Kohtla-Järve</t>
  </si>
  <si>
    <t>WICIA</t>
  </si>
  <si>
    <t>K-Järve SHK</t>
  </si>
  <si>
    <t>Segaduo</t>
  </si>
  <si>
    <t>Andres Veski, Svetlana Veski</t>
  </si>
  <si>
    <t>Aigi Orro, Kalle Orro</t>
  </si>
  <si>
    <t>Margo Peebo, Marko Ode</t>
  </si>
  <si>
    <t>Eve Oidsalu, Thibaut Sergeï Mathon</t>
  </si>
  <si>
    <t>Aarne Välja, Andres Veski, Svetlana Veski</t>
  </si>
  <si>
    <t>Eve Oidsalu, Kaido Kopel, Thibaut Sergeï Mathon</t>
  </si>
  <si>
    <t xml:space="preserve">ESMV </t>
  </si>
  <si>
    <t xml:space="preserve">val </t>
  </si>
  <si>
    <t>min</t>
  </si>
  <si>
    <t>max</t>
  </si>
  <si>
    <t>Aigar Lusbo, Harry Lusbo</t>
  </si>
  <si>
    <t>OSALEJAD</t>
  </si>
  <si>
    <t>REGISTREERIMINE</t>
  </si>
  <si>
    <t>OSAVÕTUTASU</t>
  </si>
  <si>
    <t>AUHINNAD</t>
  </si>
  <si>
    <t>Merike Aava</t>
  </si>
  <si>
    <t>Toomas Hoole</t>
  </si>
  <si>
    <t>Harry Lusbo</t>
  </si>
  <si>
    <t>Arti Lindvest</t>
  </si>
  <si>
    <t>Ott Karl Kopel</t>
  </si>
  <si>
    <t>Aimar Poom</t>
  </si>
  <si>
    <t>Veiko Proos</t>
  </si>
  <si>
    <t>J</t>
  </si>
  <si>
    <t>S</t>
  </si>
  <si>
    <t>ÜMBERVISKED</t>
  </si>
  <si>
    <t>1. + 2. voor</t>
  </si>
  <si>
    <t>Kristo Viljaste</t>
  </si>
  <si>
    <t>Mihkel Filipenko</t>
  </si>
  <si>
    <t>Mati Tapo</t>
  </si>
  <si>
    <t>Marek Lehis</t>
  </si>
  <si>
    <t xml:space="preserve">Kokku: </t>
  </si>
  <si>
    <t>Valga Petanque Klubi</t>
  </si>
  <si>
    <t>Valga, Tiigi tn</t>
  </si>
  <si>
    <t>Toomas Tauk</t>
  </si>
  <si>
    <t>Kevin Kangur</t>
  </si>
  <si>
    <t>Maris Rõõm</t>
  </si>
  <si>
    <t>Janek Tarto</t>
  </si>
  <si>
    <t>Valmar Pantšenko</t>
  </si>
  <si>
    <t>Jaan Sepp</t>
  </si>
  <si>
    <t>Argo Sepp</t>
  </si>
  <si>
    <t>Tõnu Kapper</t>
  </si>
  <si>
    <t>Elmo Lageda</t>
  </si>
  <si>
    <t>Vladimir Ogneštšikov</t>
  </si>
  <si>
    <t>Aigar Lusbo, Harry Lusbo, Merike Lusbo</t>
  </si>
  <si>
    <t>Indrek Vaho</t>
  </si>
  <si>
    <t>Jaanus Otsman</t>
  </si>
  <si>
    <t>Rahvusvahelised ja katsevõistlused on sinisega ja kaldkirjas</t>
  </si>
  <si>
    <t>Arti Lindvest, Jaanus Otsman</t>
  </si>
  <si>
    <t>Sisehooaja EMV</t>
  </si>
  <si>
    <t>Reitinguvõistlused</t>
  </si>
  <si>
    <t>9. – ...</t>
  </si>
  <si>
    <t>Triin Gretel Tauk</t>
  </si>
  <si>
    <t>Alari Keedus</t>
  </si>
  <si>
    <t>B4</t>
  </si>
  <si>
    <t>Jaan Joonas</t>
  </si>
  <si>
    <t>Anti Alasi</t>
  </si>
  <si>
    <t>Marta Ruus</t>
  </si>
  <si>
    <t>Tiit Kattai</t>
  </si>
  <si>
    <t>Külli Kariste</t>
  </si>
  <si>
    <t>1-4,2-3</t>
  </si>
  <si>
    <t>Üld</t>
  </si>
  <si>
    <t>EESTI PETANGIKALENDER 2017-2018</t>
  </si>
  <si>
    <t>L, 18.02.2018</t>
  </si>
  <si>
    <t>P, 19.02.2018</t>
  </si>
  <si>
    <t>L, 25.02.2018</t>
  </si>
  <si>
    <t>L, 01.04.2018</t>
  </si>
  <si>
    <t>L, 26.11.2017</t>
  </si>
  <si>
    <t>L, 25.11.2017</t>
  </si>
  <si>
    <t>P, 26.11.2017</t>
  </si>
  <si>
    <t>P, 03.12.2017</t>
  </si>
  <si>
    <t>L, 06.01.2018</t>
  </si>
  <si>
    <t>P, 07.01.2018</t>
  </si>
  <si>
    <t>Andero Kelu</t>
  </si>
  <si>
    <t>Piibe Kerge</t>
  </si>
  <si>
    <t>Endla Antsve</t>
  </si>
  <si>
    <t>Kaido Antsve</t>
  </si>
  <si>
    <t>Katrin Lember</t>
  </si>
  <si>
    <t>Ilmar Vainsalu</t>
  </si>
  <si>
    <t>P, 18.02.2018</t>
  </si>
  <si>
    <t>L, 17.02.2018</t>
  </si>
  <si>
    <t>L, 03.03.2018</t>
  </si>
  <si>
    <t>P, 04.03.2018</t>
  </si>
  <si>
    <t>L, 14.04.2018</t>
  </si>
  <si>
    <t>Arvesse läheb 8 võistlust 11st (4 reitinguvõistlust 6st + 4 Eesti sise-MV-d 5st)</t>
  </si>
  <si>
    <t/>
  </si>
  <si>
    <t>SISEHOOAJA REITINGU ARVESTUS 2017/2018</t>
  </si>
  <si>
    <t>Sisehooaja reiting 2017/2018 koosneb 11 alljärgnevast võistlusest:</t>
  </si>
  <si>
    <t>a) Segatrio - 25.11, Tallinn</t>
  </si>
  <si>
    <t>b) Segapaar - 10.12, Tallinn</t>
  </si>
  <si>
    <t>c) Paarismäng - 6.01, Kohtla-Järve</t>
  </si>
  <si>
    <t>d) Tulistamine - 18.02, Tallinn</t>
  </si>
  <si>
    <t>e) Trio - 4.03, Tallinn</t>
  </si>
  <si>
    <t>a) 1 võistlus, trio - 29.10, Tallinn</t>
  </si>
  <si>
    <t>b) 2 võistlus, paarismäng - 26.11, Tallinn</t>
  </si>
  <si>
    <t>c) 3 võistlus, trio - 7.01, Kohtla-Järve</t>
  </si>
  <si>
    <t>d) 4 võistlus, trio - 4.02, Tallinn</t>
  </si>
  <si>
    <t>f)  5 võistlus, paarismäng - 17.02, Tallinn</t>
  </si>
  <si>
    <t>g) 6 võistlus, paarismäng - 3.03, Tallinn</t>
  </si>
  <si>
    <t>Reitingupunkte arvestatakse juhul, kui osaleb vähemalt 8 võistkonda.</t>
  </si>
  <si>
    <t>suvereitingu arvestusse suvereitingu vastava koha punktid(vt. Suvereitingu arvestuse tabelit).</t>
  </si>
  <si>
    <t>SISEHOOAJA REITINGU JUHEND 2017-2018</t>
  </si>
  <si>
    <t>EESTI PETANGI SISEHOOAJA REITING 2017-2018</t>
  </si>
  <si>
    <t>B</t>
  </si>
  <si>
    <t>E</t>
  </si>
  <si>
    <t>1. koht</t>
  </si>
  <si>
    <t>2. koht</t>
  </si>
  <si>
    <t>3. koht</t>
  </si>
  <si>
    <t>Hardo Sokk, Peep Puiestik</t>
  </si>
  <si>
    <t>Janek Kiisk, Marek Lehis</t>
  </si>
  <si>
    <t>Heigo Kullang, Marek Kolk</t>
  </si>
  <si>
    <t>Kaarel Mikk, Mihkel Filipenko</t>
  </si>
  <si>
    <t>Mait Metsla, Oskar Sepp</t>
  </si>
  <si>
    <t>Margus Berkmann, Veiko Proos</t>
  </si>
  <si>
    <t>Alari Keedus, Ülo Piik</t>
  </si>
  <si>
    <t>Andero Kelu, Kaido Kopel</t>
  </si>
  <si>
    <t>Triin Gretel Tauk, Vahur Raudsepp</t>
  </si>
  <si>
    <t>Katrin Lember, Urmo Auväärt</t>
  </si>
  <si>
    <t>Ilmar Vainsalu, Vello Sillasoo</t>
  </si>
  <si>
    <t>A</t>
  </si>
  <si>
    <t>C</t>
  </si>
  <si>
    <t>D</t>
  </si>
  <si>
    <t>F</t>
  </si>
  <si>
    <t>G</t>
  </si>
  <si>
    <t>H</t>
  </si>
  <si>
    <t>8-11</t>
  </si>
  <si>
    <t>12-19</t>
  </si>
  <si>
    <t>DSQ</t>
  </si>
  <si>
    <t>Ühest klubist võib osaleda mitu võistkonda.</t>
  </si>
  <si>
    <t>Klubi võistkonda esindab 1üksikmäng, 1 dupplipaar ja 1 trio võistkond. Võistkonnas võib kokku olla 7 mängijat (vahetusmängija võimalik trios ja duplis).</t>
  </si>
  <si>
    <t>Võistkondade koosseisud võivad varieeruda mängupäeva jooksul.</t>
  </si>
  <si>
    <t>Vahetusmängijat tohib vahetada väljakule kahe snadi vooru vahel.</t>
  </si>
  <si>
    <t>Kõik mängijad peavad kuuluma ühte kindlasse klubisse, mille koosseisus nad on registreeritud.</t>
  </si>
  <si>
    <t>Iga mängu võit annab 1 punkti, kokku võimalik saada 3 punkti ühest voorust. Mängud toimuvad alagruppides. Täpsem võistlussüsteem selgub peale registreerumist.</t>
  </si>
  <si>
    <t>Registreerimise lõpptähtaeg on 10.01.2018.</t>
  </si>
  <si>
    <t>Registreerimine aadressil juhatus@petanque.ee</t>
  </si>
  <si>
    <t>Osavõtumaks 60 eurot võistkond.</t>
  </si>
  <si>
    <t>Rahalised auhinnad esikolmiku klubidele.  </t>
  </si>
  <si>
    <t>Sisehooaja 2017 - 2018 regioonide karikavõistluse juhend</t>
  </si>
  <si>
    <t>Võistkondade registreerimine lõppeb üks päev enne võistlusi kell 19.00. Iga regioon määrab ise oma võistluste toimumise ajad, teavitades sellest EPKL-i juhatust. Arvestades, et I etapp toimub november- detsember ja II etapp jaanuar -veebruar. Finaal toimub 14.04.2018 Tallinnas, Algi 38.  </t>
  </si>
  <si>
    <t>Osavõtutasu:</t>
  </si>
  <si>
    <t>Finaalvõistlusel võistkonna osavõtutasu 30€.</t>
  </si>
  <si>
    <t>Ida: Lääne- Virumaa, Ida- Virumaa, Järvamaa   </t>
  </si>
  <si>
    <t>Lõuna: Jõgevamaa, Tartumaa, Valgamaa, Võrumaa, Põlvamaa, Viljandimaa   </t>
  </si>
  <si>
    <t>Lääs: Läänemaa, Hiiumaa, Saaremaa, Pärnumaa, Raplamaa   </t>
  </si>
  <si>
    <t>Põhi: Harjumaa, Tallinn</t>
  </si>
  <si>
    <t>Võistlused peetakse 3-etapilistena:       </t>
  </si>
  <si>
    <t>III etapp ( finaal) Tallinnas               </t>
  </si>
  <si>
    <t>2) 3 - 4 võistkonda, siis mängitakse alagrupi süsteemis kaks korda kõik -kõigiga läbi. </t>
  </si>
  <si>
    <t>3) 5 võistkonda, siis mängitakse alagrupi süsteemis+ karikas( kokku lähevad 1. ja 4. ning 2. ja 3.)   </t>
  </si>
  <si>
    <t>4) 6 - 8 võistkonda, 2 alagruppi + karikas ( 1. pääsevad otse poolfinaali, 2. ja 3. kohad mängivad edasipääsu eest poolfinaali, 4.kohad mängivad oma kohad välja) </t>
  </si>
  <si>
    <t>5) 9 -11 võistkonda, 3 alagruppi + karikas (kaks parema mängu suhtega 1. kohta pääsevad otse edasi, 2. kohad ja nõrgim 1.koht mängivad edasipääsu eest poolfinaali, ülejäänud mängivad võimalusel oma kohad välja või kohad saadakse mängude suhte järgi)</t>
  </si>
  <si>
    <t>6) 12 - 16 võistkonda, 4 alagruppi + karikas( veerandfinaal, poolfinaal, finaal. Võimalusel mängitakse ka tagumised kohad välja või kohad saadakse mängude suhte järgi)                                             </t>
  </si>
  <si>
    <t>1) omavahelistes mängudes saavutatud võidud, </t>
  </si>
  <si>
    <t>2) omavaheliste mängude punktide vahe, </t>
  </si>
  <si>
    <t>Ida:  Kohtla-Järve sisehall, Spordi 2   </t>
  </si>
  <si>
    <t>Lõuna: Valga sisehall, Tiigi tänav </t>
  </si>
  <si>
    <t>Lääs: Haapsalu sisehall, Niine 17   </t>
  </si>
  <si>
    <t>Regiooni punktiarvestus:    </t>
  </si>
  <si>
    <t>1. 25 punkti                     9. 9 punkti     </t>
  </si>
  <si>
    <t>2. 22 punkti                    10. 8 punkti   </t>
  </si>
  <si>
    <t>3. 19 punkti                    11. 7 punkti </t>
  </si>
  <si>
    <t>4. 16 punkti                    12. 6 punkti   </t>
  </si>
  <si>
    <t>5. 14 punkti                    13. 5 punkt   </t>
  </si>
  <si>
    <t>6. 12 punkti                    14. 4 punkti   </t>
  </si>
  <si>
    <t>7. 11 punkti                    15. 3 punkti   </t>
  </si>
  <si>
    <t>8. 10 punkti                     16.-...1 punkt     </t>
  </si>
  <si>
    <t>Auhinnad:  </t>
  </si>
  <si>
    <t>3) üldine punktide vahe.</t>
  </si>
  <si>
    <t>I etapil võistkonnad loositakse tabelisse. II etapil saavad võistkonnad asetuse esimese etapi paremusjärjestuse alusel.</t>
  </si>
  <si>
    <t>I, II, III koht karikad. Parimale tasutakse võistkonna kulud osalemiseks mõnel rahvusvahelisel võistlusel 150 EUR ulatuses. Kui võistkond jooksva aasta lõpuks ei osale kusagil siis jääb auhinnast ilma. Regioonile rändkarikas.</t>
  </si>
  <si>
    <t>20-21. jaanuar 2018, 24-25. märts 2018</t>
  </si>
  <si>
    <t>Klubide Karikas 2018 juhend</t>
  </si>
  <si>
    <t>EESMÄRK</t>
  </si>
  <si>
    <t>Selgitada välja Eesti parim petangiklubi, kes saab õiguse esindada Eestit 2018. aastal Euroopa klubide karikavõistlustel.</t>
  </si>
  <si>
    <t>Osaleda võivad kõik EPKL-i liikmesklubid, kellel on tasutud aastamaks. Iga klubi võib välja panna ühe võistkonna. Klubi meeskonda võib registreerida mis tahes arvu mängijaid järgmistel tingimustel:</t>
  </si>
  <si>
    <t>1)Kõikidel mängijatel peab olema kehtiv rahvusvaheline litsents klubist mida nad esindavad ja ei tohi mitte mingil juhul mängida teise klubi alt võistluste jooksul</t>
  </si>
  <si>
    <t>2)Iga mängu( ühe vastase vastu peetavad mängud) puhul peab meeskond koosnema 6 (min) kuni 8 (max) mängijast järgmiselt:</t>
  </si>
  <si>
    <t>a) 6 mängijaga meeskonnal peab olema vähemalt 1 mängija vastassoost</t>
  </si>
  <si>
    <t>b) 7 või 8 mängijaga meeskonnal peab olema vähemalt 2 vastassoost mängijat.</t>
  </si>
  <si>
    <t>Kõigi klubide osalemise kinnitus peab olema kooskõlastatud EPKL-iga 10.02.2018 a. Klubide meeskonna andmed peavad olema esitatud EPKL-ile 20.03.2018 a., meili aadressil juhatus@petanque.ee.</t>
  </si>
  <si>
    <t>50 eurot võistkonna kohta tasuda EPKL-i arvele a/a EE052200001120114684, 10.04.2018 või kohapeal enne võistluspäeva algust.</t>
  </si>
  <si>
    <t>VÕISTLEJATE RIIETUS</t>
  </si>
  <si>
    <t>Võistkondadel peab olema ühtne võistlussärk.Riietus peab vastama rahvusvaheliste võistlusmääruste nõuetele.</t>
  </si>
  <si>
    <t>Mängijad, kellel puudub ühtne võistlussärk eemaldatakse pärast kohtuniku poolt tehtud hoiatust võistlustelt.</t>
  </si>
  <si>
    <t>VÕISTLUSTE LÄBIVIIMISE SÜSTEEM JA KORD</t>
  </si>
  <si>
    <t>Kohtunik vastutab mängureeglitest kinni pidamise eest, mis on FIPJP poolt kehtestatud "Petangispordi ametlikud reeglid" ja kõikide EuroCupi eeskirjades sätestatud variatsioonidest.Ürituse kohtunik peab kontrollima mängijate litsentside kehtivust (EPKL kodulehel) ja eeskirjade järgimist.</t>
  </si>
  <si>
    <t>Keelatud on suitsetamine (sh elektroonilised suitsetamisvahendid), alkoholi tarbimine ja mobiiltelefonide kasutamine mänguväljakul.</t>
  </si>
  <si>
    <t>Kui CEP täitevkomitee ei ole eelnevalt kokku leppinud muudatustes, siis toimub Klubide Karika võistluste kohtumine järgmisel viisil:</t>
  </si>
  <si>
    <t>Üksikmäng - kuus üksikmängu, kus üks mäng peab olema määratud naissoost mängijatega.</t>
  </si>
  <si>
    <t>Triod - segatrio versus segatrio ja samal ajal trio versus trio.</t>
  </si>
  <si>
    <t>Paarismängud - segapaar segapaari vastu ja samal ajal kaks paarismängu kahe paarismängu vastu.</t>
  </si>
  <si>
    <t>Kõik mängijad peavad ülesandmise kaardil olema registreeritud oma nimega. Pärast mängude alustamist ei saa ülesandmiskaardile lisamängijaid lisada.</t>
  </si>
  <si>
    <t>Meeskonna kapten sisestab mängijate andmed kaardile, nii et määratud naised mängivad alati üksteise vastu.Meeskonna huvide kaitsmiseks toimub võistkondade koosseisude moodustamine enne iga vooru.</t>
  </si>
  <si>
    <t>Kõik mängud mängitakse 13 punktini. 2 matšipunkti saab iga võidetud üksikmängu eest, kokku on võimalik saada 12 punkti. 3 matšipunkti saab iga võidetud paarismängu eest, kokku on võimalik saada 9 punkti. 5 matšipunkti saab iga võidetud trio eest, kokku 10 punkti. Võitnud meeskond on see, kellel on 3 vooru lõpus kõige rohkem matšpunkte ( maksimaalselt 31 punkti). Meeskonnad peavad mängima kõik oma mängud lõpuni, kuna tulemused võivad osutuda oluliseks, kui tekib surnud ring võistkondade tulemuste vahel.</t>
  </si>
  <si>
    <t>Tulemuste otsuste tegemiseks kasutatakse järgmist valemit:</t>
  </si>
  <si>
    <t>1. Võitude arv</t>
  </si>
  <si>
    <t>Kui kahe või enama meeskonna vahel on tekkinud surnud ring, siis:</t>
  </si>
  <si>
    <t>2. Omavahelistes mängudes saavutatud võitude arv </t>
  </si>
  <si>
    <t>3. Omavaheliste mängude matšpunktide vahe</t>
  </si>
  <si>
    <t>4. Üldine matšpunktide vahe</t>
  </si>
  <si>
    <t>Mängitakse alagruppides ja karikas.</t>
  </si>
  <si>
    <t>Võistlussüsteem võistkondade järgi on alljärgnev:</t>
  </si>
  <si>
    <t>Võistkondade arv 2: 2 võiduni</t>
  </si>
  <si>
    <t>Võistkondade arv 3: alagrupp, 2 korda omavahel läbi.</t>
  </si>
  <si>
    <t>Võistkondade arv 4: alagrupp, kohamängud, alagrupi 1 ja 2 mängivad finaalis, 3 ja 4 mängivad 3 kohale.</t>
  </si>
  <si>
    <t>Võistkondade arv 5: alagrupp, poolfinaal, finaal.Alagrupi esimene pääseb otse finaali. Teine ja kolmas mängivad omavahel ning võitja pääseb finaali. Kaotaja läheb 3 koha mängule. Alagrupi neljas ja viies kohtuvad omavahel ning võitja pääseb kolmanda koha mängule. Kaotaja saab viienda koha.</t>
  </si>
  <si>
    <t>Võistkondade arv 6-8: 2 alagruppi, poolfinaal, finaal. Välja mängitakse kohad 1-4.</t>
  </si>
  <si>
    <t>Parim võistkond saab õiguse esindada Eestit 2018. aasta Euroopa Klubide karika võistlusel. Võitja saab rändkarika ja esikolmik karikad.Kui võitja võistkond loobub Euroopa klubide karika osavõtust, saab selle õiguse järgmine võistkond, jne.</t>
  </si>
  <si>
    <t>Paarismängudes ja triodes saab iga meeskonna ühe mängija asendada. Segapaari ja segatrio puhul ei tohi asendamine mõjutada segavõistkonna koosseisu. Vahetust saab teha kahe snadivooru vahel ning sellest tuleb teavitada vastasmeeskonna kaptenit ja kohtunikku. Ühe mänguvooru ajal saab teha ainult ühe vahetuse. Mängija, kes on oma mängu lõpetanud või on asendatud, ei saa selles voorus mängida üheski teises meeskonnas.</t>
  </si>
  <si>
    <t>KLUBIDE KARIKAS 2018</t>
  </si>
  <si>
    <t>KLUBIDE SARI 2017-2018</t>
  </si>
  <si>
    <t>REGIOONIDE KARIKAS 2017-2018</t>
  </si>
  <si>
    <t>EPKL-i VÕISTLUSTE LÄBIVIIMISE ÜLDJUHEND</t>
  </si>
  <si>
    <t>1. ÜLDSÄTTED</t>
  </si>
  <si>
    <t>1.1. Käesolev EPKL-i võistluste läbiviimise üldjuhend kohaldub järgnevatele EPKL-i ja/või EPKL-i liikmesklubide poolt korraldatavatele võistlustele:</t>
  </si>
  <si>
    <t>1.1.1.Tiitlivõistlused (Eesti meistrivõistlused üksikmängus, paarismängus, trios, segatrios, segapaarismängus, tulistamisharjutuses, klubide meistrivõistlused ja klubide karikavõistlused);</t>
  </si>
  <si>
    <t>1.1.2. Reitinguvõistlused;</t>
  </si>
  <si>
    <t>1.1.3. MM ja EM katsevõistlused, Eestis korraldatavad ametlikud maavõistlused.</t>
  </si>
  <si>
    <t>1.2. Võistlused toimuvad rahvusvaheliste reeglite järgi, millest võidakse teha kohalikele oludele sõltuvalt muudatusi (nt väljakute suurused jms). Tehtud muudatustest teatab võistluste peakohtunik hiljemalt enne võistluste algust.</t>
  </si>
  <si>
    <t>2. VÕISTLUSTE KALENDER</t>
  </si>
  <si>
    <t>2.1. EPKL-i võistluste kalendrisse kantakse rahvusvahelised tiitlivõistlused ja punktis 1.1. nimetatud võistlused. Veebilehelwww.petanque.ee peetakse informatiivsena kalendrit ka kõikide muude Eestis korraldatavate võistluste ja huvipakkuvate välisvõistluste kohta vastavalt informatsiooni kättesaadavusele.</t>
  </si>
  <si>
    <t>2.2. Võistluste kalendri koostab EPKL-i juhatus, küsides eelnevalt arvamuse liikmesklubidelt. Juhatus kinnitab välishooaja võistluste kalendri hiljemalt 01. aprilliks ning sisehooaja kalendri hiljemalt 01. oktoobriks ning teeb selle viivitamatult nähtavaks EPKL-i veebilehel.</t>
  </si>
  <si>
    <t>3. VÕISTLUSTE FORMULEERINGUD</t>
  </si>
  <si>
    <t>3.1. Tiitlivõistlused – osalemise eeltingimuseks on kehtiv mängijalitsents, lubatud on mängida ainult võistluskuulidega, tulemused lähevad reitinguarvestusse;</t>
  </si>
  <si>
    <t>3.2. MM ja EM katsevõistlused, ametlikud maavõistlused – osalemise eeltingimuseks on kehtiv mängijalitsents, lubatud on mängida ainult võistluskuulidega, tulemused ei lähe reitinguarvestusse;</t>
  </si>
  <si>
    <t>3.3. Reitinguvõistlused – tulemused lähevad reitinguarvestusse, võistleja ei pea omama  kehtivat mängijalitsentsi, on lubatud kasutada harjutuskuule</t>
  </si>
  <si>
    <t>3.4. „Muud“ võistlused – tulemused ei lähe reitinguarvestusse, ei ole kohustuslik omada mängijalitsentsi, on lubatud kasutada harjutuskuule.</t>
  </si>
  <si>
    <t>3.5. Võimalusel tuleb vältida punktides 3.1.-3.3 nimetatud võistluste kavandamist rahvusvaheliste tiitlivõistluste ja Euroopa klubide karikaga samale päevale.</t>
  </si>
  <si>
    <t>4. LITSENTSIMÄÄRUSED</t>
  </si>
  <si>
    <t>4.1. EPKL-il on FIPJP-i ja CEP-i liikmena ainuõigus Eestis anda välja rahvusvahelisi mängijalitsentse.</t>
  </si>
  <si>
    <t>4.2. Mängijalitsentsi saab taotleda oma klubiliikmele EPKL-i liikmeks olev klubi, kes on tasunud EPKL-i liikmemaksu, mille suurus on kehtestatud EPKL-i üldkoosoleku otsusega. Liikmemaksu tasumiseks esitab EPKL liikmeks olevale klubile vastavasisulise arve.</t>
  </si>
  <si>
    <t>4.3. Mängijalitsentsi olemasolu kontrollib võistluste kohtunik nimekirja alusel, mis on kinnitatud EPKL-i poolt (koduleheküljel olemas). Nimekirja kättesaadavus peab olema tagatud ka võistluspaigal.</t>
  </si>
  <si>
    <t>4.4. Mängija tohib hooaja jooksul omada ainult ühte mängijalitsentsi, mis on välja antud EPKL-i poolt või mõne muu FIPJP-i liikmeks oleva riigi alaliidu poolt vastavalt kehtestatud reeglitele. Mängijalitsentsi omav mängija tohib jooksval hooajal esindada ainult ühte klubi. Uueks hooajaks klubi vahetamisel peab olema eelmise klubi luba, mille andmisest ei tohi põhjendamatult keelduda.</t>
  </si>
  <si>
    <t>4.5. Mängijalitsentsiga taotlemisega kinnitab mängija, et ta: </t>
  </si>
  <si>
    <t>4.5.1. tervislik seisund võimaldab tal osaleda petangivõistlustel;</t>
  </si>
  <si>
    <t>4.5.2. nõustub tema isikuandmete töötlemisega seoses petangivõistluste korraldamisega;</t>
  </si>
  <si>
    <t>4.5.3. annab EPKL-ile õiguse tasuta mitteärilisel eesmärgil petangi arendamiseks ja EPKL poolt kindlaks määratud muudel mõistlikel eesmärkidel kasutada ja volitada kolmandaid isikuid kasutama tema fotosid või tema kohta koostatud audiovisuaalseid ja visuaalseid materjale (kaasa arvatud nime, asjassepuutuvat statistikat, andmeid ja kujutisi) koos klubi nime, embleemi ja mängijasärgiga (sealhulgas särgisponsorite ja varustuse tootjate reklaamiga);</t>
  </si>
  <si>
    <t>4.5.4. täidab FIPJP-i, CEP-i, EPKL-i ja tema klubi põhikirja, juhendeid, direktiive ning nende alusel ja nendega kooskõlas vastu võetud otsuseid;</t>
  </si>
  <si>
    <t>4.5.5. on tutvunud EPKL-i mängijate staatust ja üleminekuid reguleeriva korraga;</t>
  </si>
  <si>
    <t>4.5.6. hoidub igasugusest tegevusest, mis kahjustab või võib kahjustada EPKL-i või EPKL-i klubide poolt korraldatud võistluste aususe ja ausa mängu põhimõtet.</t>
  </si>
  <si>
    <t>4.6. EPKL-i poolt väljastatud mängijalitsents kehtib kalendriaasta s.o. vastava aasta 01. jaanuarist - 31. detsembrini, v.a. ühekordne mängijalitsents, mis kehtib vaid ühel litsentsivõistlusel osalemiseks.</t>
  </si>
  <si>
    <t>* Erandina kehtib 2017.a mängijalitsents perioodil 01.05.-31.12.2017.</t>
  </si>
  <si>
    <t>5. KEELATUD AINED</t>
  </si>
  <si>
    <t>5.1. Võistlejatel on keelatud kõigi spordis lubamatute ainete kasutamine (nimekiri EOK</t>
  </si>
  <si>
    <t>koduleheküljel alajaotuses spordimeditsiin ja antidoping). Võistluspaigas on keelatud viibimine ilmses joobeseisundis, samuti on keelatud suitsetamine mängu ajal (kehtib ka e-sigarettide kohta).</t>
  </si>
  <si>
    <t>5.2. Võistluste peakohtunik kõrvaldab võistluste žürii otsusel võistlustelt võistleja, kes on alkoholijoobes või tarvitab muid spordis keelatud aineid.</t>
  </si>
  <si>
    <t>6. VÕISTLUSTE KORRALDAMINE</t>
  </si>
  <si>
    <t>6.1. ÜLDINE</t>
  </si>
  <si>
    <t>6.1.1. Võistluspaigas peab olema sekretariaadi töökoht, kust saab teavet ja ka esmaabi (näiteks vähemalt autoapteek). Soovitav on ka riiete vahetamise ja (käte)pesemise koht võistluspaiga läheduses.</t>
  </si>
  <si>
    <t>6.1.2. Korraldajatel tuleb informeerida WC asukohast.</t>
  </si>
  <si>
    <t>6.1.3. Tiitlivõistlustel peab võistluspaigas olema Eesti Vabariigi lipp ja soovitavalt mängitakse avamisel ka Eesti Vabariigi hümni.</t>
  </si>
  <si>
    <t>6.1.4. Tiitlivõistluste peakohtunik peab olema eelnevalt läbinud reeglite tutvustus-koolituse. Nimekiri koolituse läbinutest avaldatakse EPKL-i kodulehel.</t>
  </si>
  <si>
    <t>6.2. VÕISTLUSELE REGISTREERIMINE</t>
  </si>
  <si>
    <t>6.2.1. Võistlusele registreerimine toimub vastavalt võistluskutses märgitule. Reitinguarvestusse kuuluvatele võistlustele registreerimine lõpeb võistlusnädala neljapäeval kell 21.00. Registreerimine toimub aadressile juhatus@petanque.ee. Vähese osavõtjate arvu tõttu võistluse ärajäämisest teatatakse EPKL-i kodulehel www.petanque.ee hiljemalt võistlusnädala reedel kell 12.00. Loosi tulemused pannakse kodulehele üles hiljemalt võistlusnädala reedel kell 14.00.</t>
  </si>
  <si>
    <t>6.2.2. Trios võib registreerida 4 mängijat ja paarismängus 3 mängijat.</t>
  </si>
  <si>
    <t>6.3. OSAVÕTUMAKSUD</t>
  </si>
  <si>
    <t>6.3.1. Juhatus kehtestab oma otsusega punktis 1.1 nimetatud võistluste osavõtumaksude piirmäärad ja avaldab need EPKL-i kodulehel enne iga sise- ja välishooaja algust. Trios registreeritud 4. ja paarismängus registreeritud 3. mängija peab samuti tasuma osavõtumaksu.</t>
  </si>
  <si>
    <t>6.3.2. Eesti meistrivõistlustel ei nõuta osavõtumaksu eelmise aasta võitjatelt.</t>
  </si>
  <si>
    <t>6.3.3. Eesti tiitlivõistluste osavõtutasudest läheb 50% EPKL-ile ja 50% korraldajaklubile. Muude reitinguvõistluste osavõtutasudest läheb välishooaja võistluste puhul 70% auhinnafondi ja 30% korraldajaklubile ning sisehooaja võistluste puhul 60% auhinnafondi ja 40% korraldajaklubile.</t>
  </si>
  <si>
    <t>6.4. TEATAMINE</t>
  </si>
  <si>
    <t>6.4.1. Võistluste korraldajad peavad esitama võistluskutse EPKLile vähemalt 10 kalendripäeva enne võistluste algust e-posti aadressile juhatus@petanque.ee. Võistluskutse peab sisaldama vähemalt:</t>
  </si>
  <si>
    <t>võistluste nimi</t>
  </si>
  <si>
    <t>korraldaja</t>
  </si>
  <si>
    <t>kuupäev</t>
  </si>
  <si>
    <t>toimumise koht</t>
  </si>
  <si>
    <t>peakohtuniku nimi</t>
  </si>
  <si>
    <t>võistlussüsteemi lühikirjeldus</t>
  </si>
  <si>
    <t>auhinnad</t>
  </si>
  <si>
    <t>6.4.2. Korraldaja klubi peab 2 päeva jooksul pärast võistluste lõppu saatma EPKL´ile võistluste protokolli e-posti aadressilejuhatus@petanque.ee. Võistluste protokoll peab sisaldama vähemalt:</t>
  </si>
  <si>
    <t>võistluste nimi, korraldaja, kuupäev, toimumise koht</t>
  </si>
  <si>
    <t>võistluste peakohtuniku nimi</t>
  </si>
  <si>
    <t>žürii liikmete nimed</t>
  </si>
  <si>
    <t>määratud karistused</t>
  </si>
  <si>
    <t>esitatud protestid</t>
  </si>
  <si>
    <t>lõplik paremusjärjestus</t>
  </si>
  <si>
    <t>soovituslikult fotod esikolmikust.</t>
  </si>
  <si>
    <t>6.5. ŽÜRII</t>
  </si>
  <si>
    <t>6.5.1. Võistluste žürii on 3-5 liikmeline ja selle moodustab võistluste korraldaja. Žüriisse kuuluvad peakohtunik, mängijate esindaja ja võistluste korraldajate esindaja. Kui kohtunik on korraldajate klubist, siis on ta ka automaatselt korraldajate esindaja ning sellisel juhul peab olema žüriis 2 mängijate esindajat. Tuleb jälgida, et korraldajaklubi esindatus žüriis oleks vähemuses.</t>
  </si>
  <si>
    <t>6.5.2. Žürii otsused on lõplikud. Häälte võrdsuse korral otsustab peakohtuniku hääl.</t>
  </si>
  <si>
    <t>6.6. VÄLJAKUD</t>
  </si>
  <si>
    <t>6.6.1. Väljakud peavad olema võimalikult ühesugused kõigile võistlejatele.</t>
  </si>
  <si>
    <t>6.6.2. Kui väljakud on maha märgitud (korraldaja märgib), siis peavad nende mõõtmed olema tiitlivõistluste, katsevõistluste ja maavõistluste korraldamisel 4 x 15 m ja teistel võistlustel soovituslikult 4 x 15 m, kuid minimaalselt 3 x 12 m. Nimetatud nõuded ei kehti sisehallides. Väljakute piirideks on soovitatav kasutada nööri. Pimedal ajal peab väljakutel olema küllaldane valgustus.</t>
  </si>
  <si>
    <t>6.7. EPKL-i SPONSORITE REKLAAMID</t>
  </si>
  <si>
    <t>6.7.1. Kõikidel EPKL-i võistluste kalendris olevatel Eestis toimuvatel tiitli- ja reitinguvõistlustel peab mänguväljaku juurde olema paigaldatud EPKL-i sponsorite reklaamtahvlid. Reklaamtahvlite olemasolu eest vastutab EPKL-i juhatus. </t>
  </si>
  <si>
    <t>6.8. VÄLISMAISED MÄNGIJAD</t>
  </si>
  <si>
    <t>6.8.1. Välismaistel s.t. Eesti kodakondsust mitteomavatel mängijatel on õigus osaleda tiitlivõistlustel ja reitinguvõistlustel samadel tingimustel Eesti kodakondsust omavate mängijatega.</t>
  </si>
  <si>
    <t>6.8.2. Euroopa meistrivõistlustel ja ametlikel maavõistlustel on Eesti esindusvõistkonnas õigus osaleda välismaisel mängijal, kellele on väljastatud kehtiv EPKL-i mängijalitsents, mis võistluste toimumise hetkeks on kehtinud kuus kuud.</t>
  </si>
  <si>
    <t>6.8.3. Maailmameistrivõistlustel trio mänguviisis on Eesti esindusvõistkonnas õigus osaleda ühel välismaisel mängijal, kellele on väljastatud kehtiv EPKL-i mängijalitsents, mis võistluste toimumise hetkeks on kehtinud kuus kuud. Maailmameistrivõistlustel paarismängus ja üksikmängus tohivad Eesti esindusvõistkonnas osaleda ainult Eesti kodakondsust omavad mängijad.</t>
  </si>
  <si>
    <t>6.9. VÕISTLEJATE RIIETUS</t>
  </si>
  <si>
    <t>6.9.1. Riietus peab vastama rahvusvaheliste võistlusreeglite nõuetele.</t>
  </si>
  <si>
    <t>6.9.2. Mängijad peavad olema korrektselt riietunud, eriti on keelatud mängida palja ülakehaga ja ohutuse tagamiseks peavad mängijad kandma täielikult suletud jalatseid, mis kaitsevad varbaid ja kandu.</t>
  </si>
  <si>
    <t>6.9.3. Tiitlivõistlustel, katsevõistlustel ja maavõistlustel peab ühe võistkonna mängijatel olema ühtne võistlussärk.</t>
  </si>
  <si>
    <t>6.9.4. Mängijad, kes ei järgi eeltoodud reegleid, eemaldatakse pärast kohtuniku poolt tehtud hoiatust võistlustelt.</t>
  </si>
  <si>
    <t>6.9.5. Eestit rahvusvahelistel tiitlivõistlustel esindavale võistkonnale antakse EPKL-i poolt võistlusvorm (särk).</t>
  </si>
  <si>
    <t>6.10. MÄNGIJATE/VÕISTKONDADE ASETUSED JA VÕISTLUSTE LÄBIVIIMISE SÜSTEEMID</t>
  </si>
  <si>
    <t>6.10.1. Tabelisse asetamisel arvestatakse jooksva aasta reitingupunkte, kehtib reitingutabel võistlusele eelneva kolmapäeva seisuga. Välishooaja esimesel võistlusel arvestatakse eelnenud sisehooaja reitingutabelit, sisehooaja esimesel võistlusel arvestatakse eelnenud välishooaja reitingutabelit. Võistkonna reitingupunktide arvestus (summeerimine) toimub alljärgnevalt: </t>
  </si>
  <si>
    <t>trio: 3 liikmeline võistkond – liidetakse mängijate punktid;</t>
  </si>
  <si>
    <t>trio: 4 liikmeline võistkond – liidetakse 4 mängija punktid, jagatakse 4-ga ja korrutatakse 3-ga,</t>
  </si>
  <si>
    <t>paarismäng: 2 liikmeline võistkond – liidetakse mängijate punktid;</t>
  </si>
  <si>
    <t>paarismäng: 3 liikmeline võistkond – mängijate punktid liidetakse, jagatakse 3-ga ja korrutatakse 2-ga;</t>
  </si>
  <si>
    <t>üksikmäng – mängija punktid.</t>
  </si>
  <si>
    <t>6.10.2. Puulidesse loositakse tugevusgruppide alusel vastavalt puulide arvule. Loosimise viib läbi kolmeliikmeline komisjon koosseisus peakohtunik, EPKL-i juhatuse liige ja mängijate esindaja.</t>
  </si>
  <si>
    <t>6.10.3. Kui vastavasisuline märge on toodud võistluskutses, võib võistkonnad puulidesse  paigutada ka nn „kalasaba“ süsteemi alusel.</t>
  </si>
  <si>
    <t>6.10.4. Puulidele järgneva karikasüsteemi puhul tehakse karikatabelisse loosimine pärast puulide lõppemist kohapeal. Loosimise teeb võistluse žürii.</t>
  </si>
  <si>
    <t>6.10.5. Šveitsi süsteemi kasutamisel asetatakse esimeses voorus pooled kõrgemate reitingupunktidega võistkonnad ja vastased loositakse (näiteks: kui on registreerunud 16 võistkonda, siis reitingu 1.-8. kohal olevad võistkonnad asetatakse ja neile loositakse vastasteks reitingu 9.-16. kohal olevad võistkonnad). Paaritu arvu võistkondade puhul jääb esimeses voorus vabaks üks loosiga määratavatest võistkondadest. Kui pärast Šveitsi süsteemis toimunud eelringi jätkatakse võistlust karikasüsteemis, siis paigutatakse võistkonnad karikatabelisse eelringi paremusjärjestust arvestades (loosimist ei toimu).</t>
  </si>
  <si>
    <t>6.10.6. Võistlusel kasutatav võistlussüsteem peab tagama võitjate võimalikult õiglasema väljaselgitamise.</t>
  </si>
  <si>
    <t>6.10.7. Mängupäevale ei ole soovitatav planeerida voore rohkem kui kaheksa (8) trio puhul ja üheksa (9) paaris- ja üksikmängu puhul. Suurema arvu mängude puhul soovitatakse puule alustada seisult 2:2 või jagada võistlused mitmele päevale. Erandkorras võib mängule või voorule kehtestada lõppemise aja, mille otsustab enne võistluste algust võistluste žürii ja teatab oma otsusest koheselt kõigile mängijatele.</t>
  </si>
  <si>
    <t>6.10.8. Võistlused võib läbi viia mängudega puuli-süsteemis, karikasüsteemis või nende ühendusena segasüsteemis. Reitinguvõistlusel võib korraldav klubi soovi korral kasutada ka Šveitsi süsteemi. Šveitsi süsteemi puhul võib võistluse kohtunik registreeruda võistkonna varumängijana ja osaleda mängudes alates karikasüsteemist.</t>
  </si>
  <si>
    <t>6.10.9. Mängudega puulides tuleb need moodustada nii, et edasi pääseks otse karikasüsteemi võistkondade arvuga 4-8-16-32 jne. On oluline, et igast puulist pääseks edasi sama arv võistkondi.</t>
  </si>
  <si>
    <t>6.10.10. Võistluste jätkamisel puuli-süsteemis loositakse vastavalt puulide arvule paremusjärjestuses esimesed võistkonnad eri puulidesse, siis paremusjärjestuses järgnevad jne. Jätkates karikasüsteemis, võib puulide võitjad ja teised kohad loosida kohe segamini, kuid siiski nii, et sama puuli esimene ja teine koht (või vastavalt kolmas ja neljas koht) ei satuks esimeses ringis vastamisi. Kui võistlustel on 4 või 8 puuli, siis karikasüsteemi paigutamisel ei tohi sama puuli võistkonnad omavahel kohtuda enne finaali.</t>
  </si>
  <si>
    <t>6.10.11. Karikasüsteemis võib paarid loosida iga ringi järel või ühekordselt ja edasised karikaringid toimuvad tabeli järgi. Korraldaja peab teatama enne võistluste algust, kuidas toimub loosimine võistluste käigus.</t>
  </si>
  <si>
    <t>6.10.12. Kui võistlus toimub segasüsteemis (üks puuli ring ja karikasüsteem), siis on võistlussüsteem alljärgnev:</t>
  </si>
  <si>
    <t>Võistkondade arv 6-8: 2 puuli, poolfinaal, finaal;</t>
  </si>
  <si>
    <t>Võistkondade arv 9-11: 3 puuli, veerandfinaal (kus kahel võistkonnal vastane puudub), poolfinaal, finaal;</t>
  </si>
  <si>
    <t>Võistkondade arv 12-16: 4 puuli, veerandfinaal, poolfinaal, finaal;</t>
  </si>
  <si>
    <t>Võistkondade arv 17: 5 puuli, 1/8 finaal (kus kuuel võistkonnal vastane puudub), veerandfinaal, poolfinaal, finaal;</t>
  </si>
  <si>
    <t>Võistkondade arv 18-20: 6 puuli, 1/8 finaal (kus neljal võistkonnal vastane puudub), veerandfinaal, poolfinaal, finaal;</t>
  </si>
  <si>
    <t>Võistkondade arv 21-23: 7 puuli, 1/8 finaal (kus kahel võistkonnal vastane puudub), veerandfinaal, poolfinaal, finaal;</t>
  </si>
  <si>
    <t>Võistkondade arv 24-32: 8 puuli, 1/8 finaal, veerandfinaal, poolfinaal, finaal;</t>
  </si>
  <si>
    <t>Võistkondade arv 33-36: 9 puuli, 1/16 finaal (kus 14 võistkonnal vastane puudub), 1/8 finaal, veerandfinaal, poolfinaal, finaal;</t>
  </si>
  <si>
    <t>Võistkondade arv 37-40: 10 puuli, 1/16 finaal (kus 12 võistkonnal vastane puudub), 1/8 finaal, veerandfinaal, poolfinaal, finaal;</t>
  </si>
  <si>
    <t>Võistkondade arv 41-44: 11 puuli, 1/16 finaal (kus 10 võistkonnal vastane puudub), 1/8 finaal, veerandfinaal, poolfinaal, finaal.</t>
  </si>
  <si>
    <t>6.10.13. Šveitsi süsteemis mängitakse neli vooru, kui võistkondi on paarisarv, paaritu arvu võistkondade puhul kohtuvad viiendas voorus seni vabad olnud võistkonnad ja ülejäänud võistkonnad on vabad. Vaba voor on paremusjärjestuse keskel asuval võistkonnal. NB! Üks võistkond ei saa vabas voorus olla kaks korda, sellisel juhul on vabas voorus paremusjärjestuses järgnev võistkond.</t>
  </si>
  <si>
    <t>6.10.14. Šveitsi süsteemi mängud toimuvad ajalimiidiga: üksikmäng 40 minutit + 1 snadi, paarismäng ja trio 60 minutit + 1 snadi. Kohtunik peab kõigile mängijatele kuuldavalt, kuid siiski mitte mängu käiku häirivalt, andma märku mänguajast 10 minutit enne mänguaja lõppu ja koheselt mänguaja lõppemisel. Soovituslikult võiks sekretariaadis olla ka kõigile nähtav kell. Ajamängudes on kõrvalväljak nn „surnud tsoon“.</t>
  </si>
  <si>
    <t>6.10.15. Pärast Šveitsi süsteemi jätkub võistlus karikasüsteemis, kus paremusjärjestuse kohad 1-8 jätkavad mänge esikohale, kohad 9-16 jätkavad mänge üheksandale kohale, kohad 17-24 jätkavad mänge seitsmeteistkümnendale kohale jne.</t>
  </si>
  <si>
    <t>6.10.16. Tulistamisharjutuses viiakse võistlus läbi vastavalt tulistamisvõistluse reeglitele.</t>
  </si>
  <si>
    <t>7. AUHINNAD</t>
  </si>
  <si>
    <t>7.1. Eesti meistrivõistlustel autasustatakse esikolmikusse tulnud mängijad medaliga.</t>
  </si>
  <si>
    <t>7.2. Reitinguvõistlustel peab korraldaja võistluskutses välja tooma auhinnad ja nende väärtuse, kusjuures esikolmikule peab olema tagatud auhinnafond vähemalt 70% ulatuses osavõtumaksudest välishooaja võistluste puhul ja vähemalt 60% sisehooaja võistluste puhul.</t>
  </si>
  <si>
    <t>7.3. Välishooaja Eesti meistrivõistluste osavõtumaksudest läheb 50% korraldajale ja 50% EPKL-i poolt kogutavasse välishooaja reitingu kokkuvõtte auhinnafondi (meeste ja naiste reiting).</t>
  </si>
  <si>
    <t>8. LOOBUMISKAOTUS JA PROTESTIDE ESITAMISE KORD</t>
  </si>
  <si>
    <t>8.1. Loobumiskaotuse andnud võistkond/võistleja (tulemus 0:13) kõrvaldatakse võistlustelt. Loobumisel jääb võistkond/võistleja ilma oma kohast ja teised võistkonnad/võistlejad liiguvad koha võrra edasi. Võistlustest loobumise korral tuleb teavitada võistluste peakohtunikku. Kui võistkond või võistleja lahkub võistlustelt (ka teavitamise korral), rakendatakse loobunud võistkonna/võistleja suhtes alljärgnevaid trahve: </t>
  </si>
  <si>
    <t>üksikmängus 13.- EUR</t>
  </si>
  <si>
    <t>paarismängus 26.- EUR</t>
  </si>
  <si>
    <t>trios 39.- EUR</t>
  </si>
  <si>
    <t>Trahvi määrab võistluse korraldaja. Määratud trahvisumma ja selle tasumise/mittetasumise kohta tehakse märge võistluse protokolli. Trahve ei rakendata vaid Eesti saarte praamile minejatele või muul võistluste žürii hinnangu kohasel mõjuval põhjusel (nt terviserike, viimase kohamängu eeldatavalt väga pikk ooteaeg ja seejärel pikk teekond koju vms). Mängija, kes ei ole eeltoodud trahvi võistluse korraldajale või EPKL-ile tasunud, ei saa enne trahvi tasumist järgmistel võistlustel osaleda (vastutab järgmiste võistluste korraldaja). Trahvisumma jagatakse võrdselt EPKLi ja trahvi määranud võistluse korraldaja vahel.</t>
  </si>
  <si>
    <t>8.2. Kui võistkond või mängija leiab, et tema huvid on kohtuniku otsuse tõttu tõsiselt kahjustatud, on tal õigus esitada protesti. Võistkonna esindaja poolt allkirjastatud protest tuleb esitada võistluste peakohtunikule või korraldajale koheselt pärast mängu (hiljemalt 15 minuti jooksul mängu lõppemisest arvates), kui protest puudutab konkreetset mängusituatsiooni või koheselt pärast võistluste lõppu (15 minuti jooksul pärast viimase mängu lõppemist), kui protest puudutab võistluste korraldust.</t>
  </si>
  <si>
    <t>8.3. Protest (näidisvorm on saadaval veebilehel www.petanque.ee) tuleb esitada koos 30 (kolmkümmend) euro suuruse tagatismaksuga.</t>
  </si>
  <si>
    <t>8.4. Esitatud protest peab sisaldama vähemalt:</t>
  </si>
  <si>
    <t>võistluse nimi;</t>
  </si>
  <si>
    <t>kuupäev;</t>
  </si>
  <si>
    <t>protesti esitamise kellaaeg;</t>
  </si>
  <si>
    <t>protesti sisu;</t>
  </si>
  <si>
    <t>protesti esitaja nimi ja allkiri;</t>
  </si>
  <si>
    <t>protesti vastuvõtja nimi ja allkiri.</t>
  </si>
  <si>
    <t>8.5. Protesti lahendab võistluste žürii mõistliku aja jooksul, kuid mitte hiljem kui 3 (kolme) päeva jooksul ning teatab otsusest kirjalikult protesti esitajale. Kui protest saab positiivse lahenduse esitaja jaoks, siis tagatismaks tagastatakse.</t>
  </si>
  <si>
    <t>9. KARISTUSED EBAKORREKTSE KÄITUMISE KORRAL </t>
  </si>
  <si>
    <t>9.1. Mängija, kes eksib sportliku käitumise reeglite vastu, või veelgi hullem, näidates üles mitteaustust (nt. alkoholijoobes olek, jne) või vägivaldsust korraldajate, kohtunike, teiste mängijate või pealtvaatajate suhtes, saab karistatud sõltuvalt rikkumise suurusest ühe või mitme karistusega, mis on toodud alljärgnevalt:</t>
  </si>
  <si>
    <t>9.1.1. Võistlustelt eemaldamine – karistuse määrab võistluse žürii, kelle otsus on lõplik;</t>
  </si>
  <si>
    <t>9.1.2. Mängijalitsentsi tühistamine – ettepaneku teeb võistluse žürii, otsustab EPKL-i juhatus;</t>
  </si>
  <si>
    <t>9.1.3. Auhindade mitte väljaandmine – karistuse määrab võistluse žürii, teatades sellest 48 tunni jooksul kirjalikult EPKL-i juhatusele (võistluse protokollis), millisel juhul kuuluvad auhinnad tagastamisele korraldajale.</t>
  </si>
  <si>
    <t>9.2. Karistus, mis on rakendatud võistkonna ühe mängija suhtes,  võib laieneda ka tema võistkonna liikmetele.</t>
  </si>
  <si>
    <t>9.3. Kõik määratud karistused tuleb peakohtuniku poolt fikseerida võistluse protokollis ja protokoll edastada EPKL-i juhatusele juhendis määratud tähtaja jooksul.</t>
  </si>
  <si>
    <t>9.4. Võistluselt eemaldatud mängija jääb ilma reitingupunktidest ja klubil, kelle liige mängija on, tuleb maksta trahvi 13.- eurot mängija kohta. Karistatud mängija ei saa enne osaleda järgmisel võistlusel, kui määratud trahv on tasutud.</t>
  </si>
  <si>
    <t>9.5. Trahvisumma jagatakse pooleks EPKL-i ja võistluse korraldaja vahel.</t>
  </si>
  <si>
    <t>Käesolev juhend on kinnitatud EPKL-i juhatuse poolt 28. aprillil 2017.a ja kehtib alates 01. maist 2017.a</t>
  </si>
  <si>
    <t>EPKL-I VÕISTLUSTE ÜLDJUHEND</t>
  </si>
  <si>
    <t>5 - 6 koht</t>
  </si>
  <si>
    <t>7 - 11 koht</t>
  </si>
  <si>
    <t>Kadri Arunurm, Kalju Olmre, Marina Vallik</t>
  </si>
  <si>
    <t>Heigo Kullang, Marek Kolk, Toomas Hoole</t>
  </si>
  <si>
    <t>Alar Sinimäe, Indrek Vaho, Kadri Veljend</t>
  </si>
  <si>
    <t>Arvi Palla, Kevin Sten Liik, Silver Kingissepp</t>
  </si>
  <si>
    <t>Hardo Sokk, Katri Aavekukk, Külli Kariste</t>
  </si>
  <si>
    <t>Andero Kelu, Marko Ode, Urmo Auväärt</t>
  </si>
  <si>
    <t>Mait Metsla, Matti Vinni, Oskar Sepp</t>
  </si>
  <si>
    <t>Janek Kiisk, Marek Lehis, Margo Peebo</t>
  </si>
  <si>
    <t>Aigi Orro, Elmo Lageda, Kalle Orro</t>
  </si>
  <si>
    <t>C4</t>
  </si>
  <si>
    <t>C3</t>
  </si>
  <si>
    <t>Mait Metsla, Oskar Sepp, Rutt Voldek</t>
  </si>
  <si>
    <t>Janek Kiisk, Kadri Veljend, Marek Lehis</t>
  </si>
  <si>
    <t>Endla Antsve, Kaido Antsve, Mihkel Palk, Tiit Palk</t>
  </si>
  <si>
    <t>Kalju Olmre, Mare Kingissepp, Silver Kingissepp</t>
  </si>
  <si>
    <t>Maive Sein, Toomas Reede, Varje Reede</t>
  </si>
  <si>
    <t>Marge Mägi, Margo Peebo, Marko Ode</t>
  </si>
  <si>
    <t>Kaarel Mikk, Mihkel Filipenko, Triin Gretel Tauk</t>
  </si>
  <si>
    <t>Külli Kariste, Margus Berkmann, Veiko Proos</t>
  </si>
  <si>
    <t>Alari Keedus, Marek Kolk, Piibe Kerge, Ülo Piik</t>
  </si>
  <si>
    <t>Aivar Sein, Marina Vallik, Vahur Raudsepp</t>
  </si>
  <si>
    <t>Anti Alasi, Marta Ruus, Valmar Pantšenko</t>
  </si>
  <si>
    <t>Andero Kelu, Kaido Kopel, Piret Kopel</t>
  </si>
  <si>
    <t>Hardo Sokk, Ivar Viljaste, Sirje Viljaste</t>
  </si>
  <si>
    <t>11-17</t>
  </si>
  <si>
    <t>Katri Aavekukk, Merike Aava, Thibaut Sergeï Mathon</t>
  </si>
  <si>
    <t>Katri Aavekukk</t>
  </si>
  <si>
    <t>EPKL, K-Järve SHK</t>
  </si>
  <si>
    <t>N</t>
  </si>
  <si>
    <t>val</t>
  </si>
  <si>
    <t>n</t>
  </si>
  <si>
    <t>j</t>
  </si>
  <si>
    <t>Oktoober 2017</t>
  </si>
  <si>
    <t>November 2017</t>
  </si>
  <si>
    <t>Detsember 2017</t>
  </si>
  <si>
    <t>Jaanuar 2018</t>
  </si>
  <si>
    <t>Veebruar 2018</t>
  </si>
  <si>
    <t>Märts 2018</t>
  </si>
  <si>
    <t>Aprill 2018</t>
  </si>
  <si>
    <t xml:space="preserve">      Rasvases trükis on Ida-Virumaa petankerid</t>
  </si>
  <si>
    <t>Ljudmila Varendi</t>
  </si>
  <si>
    <t>Angelika Tauk</t>
  </si>
  <si>
    <t>Meelis Münt</t>
  </si>
  <si>
    <t>Ruudi Väärtnõu</t>
  </si>
  <si>
    <t>Andrus Treiman</t>
  </si>
  <si>
    <t>Punktid</t>
  </si>
  <si>
    <t>7 - 10 koht</t>
  </si>
  <si>
    <t>9-12</t>
  </si>
  <si>
    <t>13-16</t>
  </si>
  <si>
    <t>1 - 6 koht</t>
  </si>
  <si>
    <t>Angelika Tauk, Toomas Tauk</t>
  </si>
  <si>
    <t>Marek Kolk, Piibe Kerge</t>
  </si>
  <si>
    <t>Anne Sillamaa, Vallo Sillamaa</t>
  </si>
  <si>
    <t>Mihkel Filipenko, Triin Gretel Tauk</t>
  </si>
  <si>
    <t>Alari Keedus, Jelena Brakina</t>
  </si>
  <si>
    <t>Ljudmila Varendi, Viktor Švarõgin</t>
  </si>
  <si>
    <t>Hardo Sokk, Marju Velga</t>
  </si>
  <si>
    <t>Katri Aavekukk, Margus Berkmann</t>
  </si>
  <si>
    <t>Kevin Kangur, Maris Rõõm</t>
  </si>
  <si>
    <t>Eve Oidsalu, Kaido Kopel</t>
  </si>
  <si>
    <t>Margus Strööm, Marina Vallik</t>
  </si>
  <si>
    <t>13-18</t>
  </si>
  <si>
    <r>
      <rPr>
        <b/>
        <sz val="10"/>
        <rFont val="Calibri"/>
        <family val="2"/>
        <charset val="186"/>
        <scheme val="minor"/>
      </rPr>
      <t>***</t>
    </r>
    <r>
      <rPr>
        <sz val="10"/>
        <rFont val="Arial"/>
        <family val="2"/>
        <charset val="186"/>
      </rPr>
      <t xml:space="preserve"> - trio, </t>
    </r>
    <r>
      <rPr>
        <b/>
        <sz val="10"/>
        <rFont val="Calibri"/>
        <family val="2"/>
        <charset val="186"/>
        <scheme val="minor"/>
      </rPr>
      <t>S**</t>
    </r>
    <r>
      <rPr>
        <sz val="10"/>
        <rFont val="Arial"/>
        <family val="2"/>
        <charset val="186"/>
      </rPr>
      <t xml:space="preserve"> - segaduo,</t>
    </r>
    <r>
      <rPr>
        <sz val="10"/>
        <rFont val="Arial"/>
        <family val="2"/>
        <charset val="186"/>
      </rPr>
      <t xml:space="preserve"> </t>
    </r>
    <r>
      <rPr>
        <b/>
        <sz val="10"/>
        <rFont val="Calibri"/>
        <family val="2"/>
        <charset val="186"/>
        <scheme val="minor"/>
      </rPr>
      <t>TUL</t>
    </r>
    <r>
      <rPr>
        <sz val="10"/>
        <rFont val="Arial"/>
        <family val="2"/>
        <charset val="186"/>
      </rPr>
      <t xml:space="preserve"> - tulistamine</t>
    </r>
  </si>
  <si>
    <t>Andero Kelu, Merike Aava</t>
  </si>
  <si>
    <t>Jelena Brakina</t>
  </si>
  <si>
    <t>Marju Velga</t>
  </si>
  <si>
    <t xml:space="preserve">  </t>
  </si>
  <si>
    <t>P, 10.12.2017</t>
  </si>
  <si>
    <t>enne 1 koma</t>
  </si>
  <si>
    <t>pärast 1 koma</t>
  </si>
  <si>
    <t>1 ja 2 koma vahel</t>
  </si>
  <si>
    <t>pärast 2 koma</t>
  </si>
  <si>
    <t>P, 29.10.2017</t>
  </si>
  <si>
    <t>k</t>
  </si>
  <si>
    <t>val1</t>
  </si>
  <si>
    <t>L</t>
  </si>
  <si>
    <t>M</t>
  </si>
  <si>
    <t>O</t>
  </si>
  <si>
    <t>P</t>
  </si>
  <si>
    <t>Q</t>
  </si>
  <si>
    <t>U</t>
  </si>
  <si>
    <t>V</t>
  </si>
  <si>
    <t>W</t>
  </si>
  <si>
    <t>X</t>
  </si>
  <si>
    <t>Y</t>
  </si>
  <si>
    <t>Z</t>
  </si>
  <si>
    <t>val 1&amp;2</t>
  </si>
  <si>
    <t xml:space="preserve">järgmine </t>
  </si>
  <si>
    <t xml:space="preserve">vasak täht on </t>
  </si>
  <si>
    <t xml:space="preserve">25 punkti, </t>
  </si>
  <si>
    <t>20 punkti jne</t>
  </si>
  <si>
    <t>järjestus</t>
  </si>
  <si>
    <t>kasutab</t>
  </si>
  <si>
    <t>tähestiku</t>
  </si>
  <si>
    <t>järgi</t>
  </si>
  <si>
    <t>val 1&amp;2&amp;3</t>
  </si>
  <si>
    <t>kolm numbrit paremal</t>
  </si>
  <si>
    <t>näitavad, mitmes on nimi</t>
  </si>
  <si>
    <t>tähestiku järgi tagant poolt</t>
  </si>
  <si>
    <t>val 3</t>
  </si>
  <si>
    <t>val 2</t>
  </si>
  <si>
    <t>tagurpidi</t>
  </si>
  <si>
    <t>Etappide arv, millel on võistleja saanud näiteks 20 punkti</t>
  </si>
  <si>
    <t>Etappide arvule vastav täht</t>
  </si>
  <si>
    <t>Eesti sisehooaja punktid</t>
  </si>
  <si>
    <t>Eesti välishooaja punktid (reitingu, EMV, üld, naiste ja juunioride) kõik koos</t>
  </si>
  <si>
    <t>Nagu näha, saab hooajal teha kuni 31 etappi (kuid tähtede ette võib lisada ka 9 numbrit - seega max 40 etappi)</t>
  </si>
  <si>
    <t>Kollase taustaga on põhitabelile lisatud punktid</t>
  </si>
  <si>
    <t>jä 1&amp;2</t>
  </si>
  <si>
    <t>jä 1&amp;2&amp;3</t>
  </si>
  <si>
    <t>nimed</t>
  </si>
  <si>
    <t>kaks tühikut - ei osalenud</t>
  </si>
  <si>
    <t>ESMV - 1 kehvem maha</t>
  </si>
  <si>
    <t>=$W$9:$W$166;$AD$9:$AD$166;$AF$9:$AF$166;$Y$9:$Y$166;$Z$9:$Z$166</t>
  </si>
  <si>
    <t>Reiting - 1 kehvem maha</t>
  </si>
  <si>
    <t>=$V$9:$V$166;$X$9:$X$166;$AA$9:$AA$166;$AB$9:$AB$166;$AC$9:$AC$166;$AE$9:$AE$166</t>
  </si>
  <si>
    <t>=IF(V9="  ";FALSE;V9)+V$8/10000=MIN(IF(IF($V9="  ";FALSE;$V9)+$V$8/10000=$AP9;5000;IF($V9="  ";FALSE;$V9)+$V$8/10000);IF(IF($X9="  ";FALSE;$X9)+$X$8/10000=$AP9;5000;IF($X9="  ";FALSE;$X9)+$X$8/10000);IF(IF($AA9="  ";FALSE;$AA9)+$AA$8/10000=$AP9;5000;IF($AA9="  ";FALSE;$AA9)+$AA$8/10000);IF(IF($AB9="  ";FALSE;$AB9)+$AB$8/10000=$AP9;5000;IF($AB9="  ";FALSE;$AB9)+$AB$8/10000);IF(IF($AC9="  ";FALSE;$AC9)+$AC$8/10000=$AP9;5000;IF($AC9="  ";FALSE;$AC9)+$AC$8/10000);IF(IF($AE9="  ";FALSE;$AE9)+$AE$8/10000=$AP9;5000;IF($AE9="  ";FALSE;$AE9)+$AE$8/10000))</t>
  </si>
  <si>
    <t>=IF(COUNT(V$9:V$166)=0;TRUE)</t>
  </si>
  <si>
    <t>=$V$9:$AF$166</t>
  </si>
  <si>
    <t>Et ei tõmbaks tühikuid maha (ei oleks näha mahatõmmatud tühikuid) enne kui selles veerus on mõni punkt kirjas - teeb fondi valgeks</t>
  </si>
  <si>
    <t>Conditional formatting valemid</t>
  </si>
  <si>
    <t>reegel võtab</t>
  </si>
  <si>
    <t>ülejäänutest</t>
  </si>
  <si>
    <t>kehvima</t>
  </si>
  <si>
    <t>Reiting - 2. kehvem maha (vilets valem)</t>
  </si>
  <si>
    <t>paremus-</t>
  </si>
  <si>
    <t>kolm numbrit vasakul</t>
  </si>
  <si>
    <t xml:space="preserve">ja komakoht </t>
  </si>
  <si>
    <t>on punktisumma tekstina</t>
  </si>
  <si>
    <t>Kehvemad tulemused tõmbab korrektselt maha, kuid reegel on vilets</t>
  </si>
  <si>
    <t>Ära tee veergusid vähemaks, muidu kunagi aasta pärast keerulisematest valemitest raskem aru saada</t>
  </si>
  <si>
    <t>=IF(W9="  ";FALSE;W9)+W$8/10000=MIN(IF($W9="  ";FALSE;$W9)+$W$8/10000;IF($Y9="  ";FALSE;$Y9)+$Y$8/10000;IF($Z9="  ";FALSE;$Z9)+$Z$8/10000;IF($AD9="  ";FALSE;$AD9)+$AD$8/10000;IF($AF9="  ";FALSE;$AF9)+$AF$8/10000)</t>
  </si>
  <si>
    <t>=IF(V9="  ";FALSE;V9)+V$8/10000=MIN(IF($V9="  ";FALSE;$V9)+$V$8/10000;IF($X9="  ";FALSE;$X9)+$X$8/10000;IF($AA9="  ";FALSE;$AA9)+$AA$8/10000;IF($AB9="  ";FALSE;$AB9)+$AB$8/10000;IF($AC9="  ";FALSE;$AC9)+$AC$8/10000;IF($AE9="  ";FALSE;$AE9)+$AE$8/10000)</t>
  </si>
  <si>
    <t>teise kehvima</t>
  </si>
  <si>
    <t>2 ja 3 koma vahel</t>
  </si>
  <si>
    <t>pärast 3 koma</t>
  </si>
  <si>
    <t>kokku</t>
  </si>
  <si>
    <t>Peida halli taustaga veerud</t>
  </si>
  <si>
    <t>punktid</t>
  </si>
  <si>
    <t>Kui mängija nimi on vigane või puudub reitingutabelist, teeb punaseks</t>
  </si>
  <si>
    <r>
      <rPr>
        <sz val="10"/>
        <color theme="1"/>
        <rFont val="Arial"/>
        <family val="2"/>
        <charset val="186"/>
      </rPr>
      <t xml:space="preserve">üks osa - </t>
    </r>
    <r>
      <rPr>
        <sz val="10"/>
        <color rgb="FFFF0000"/>
        <rFont val="Arial"/>
        <family val="2"/>
        <charset val="186"/>
      </rPr>
      <t>IF(</t>
    </r>
    <r>
      <rPr>
        <sz val="10"/>
        <color rgb="FF00B0F0"/>
        <rFont val="Arial"/>
        <family val="2"/>
        <charset val="186"/>
      </rPr>
      <t>IF($X9="  ";FALSE;$X9)+$X$8/10000=$AP9</t>
    </r>
    <r>
      <rPr>
        <sz val="10"/>
        <color rgb="FFFF0000"/>
        <rFont val="Arial"/>
        <family val="2"/>
        <charset val="186"/>
      </rPr>
      <t>;</t>
    </r>
    <r>
      <rPr>
        <sz val="10"/>
        <color theme="1"/>
        <rFont val="Arial"/>
        <family val="2"/>
        <charset val="186"/>
      </rPr>
      <t>5000</t>
    </r>
    <r>
      <rPr>
        <sz val="10"/>
        <color rgb="FFFF0000"/>
        <rFont val="Arial"/>
        <family val="2"/>
        <charset val="186"/>
      </rPr>
      <t>;</t>
    </r>
    <r>
      <rPr>
        <sz val="10"/>
        <color rgb="FF00B050"/>
        <rFont val="Arial"/>
        <family val="2"/>
        <charset val="186"/>
      </rPr>
      <t>IF($X9="  ";FALSE;$X9)+$X$8/1000</t>
    </r>
    <r>
      <rPr>
        <sz val="10"/>
        <color rgb="FF92D050"/>
        <rFont val="Arial"/>
        <family val="2"/>
        <charset val="186"/>
      </rPr>
      <t>0</t>
    </r>
    <r>
      <rPr>
        <sz val="10"/>
        <color rgb="FFFF0000"/>
        <rFont val="Arial"/>
        <family val="2"/>
        <charset val="186"/>
      </rPr>
      <t>);</t>
    </r>
  </si>
  <si>
    <r>
      <rPr>
        <sz val="10"/>
        <color rgb="FF00B0F0"/>
        <rFont val="Arial"/>
        <family val="2"/>
        <charset val="186"/>
      </rPr>
      <t>kui 3.etapi punktid X9 on võrdsed kehvimaga (AP9)</t>
    </r>
    <r>
      <rPr>
        <sz val="10"/>
        <color theme="1"/>
        <rFont val="Arial"/>
        <family val="2"/>
        <charset val="186"/>
      </rPr>
      <t>, siis see osa saab suure väärtuse (5000) ja langeb seega välja teise väikseima leidmisest</t>
    </r>
  </si>
  <si>
    <t>=IF(U9:AE9="  ";FALSE;U9:AE9)+COLUMN(U9:AE9)/10000=MIN(IF($U$5:$AE$5="ESMV";IF($U9:$AE9="  ";FALSE;$U9:$AE9)+COLUMN($U:$AE)/10000))</t>
  </si>
  <si>
    <t>Ei tööta Libre Office-ga, sest on array moodi</t>
  </si>
  <si>
    <t>sest array</t>
  </si>
  <si>
    <t>SUM(LARGE((V9;X9;AA9;AB9;AC9;AE9);ROW(INDIRECT("1:4")))))</t>
  </si>
  <si>
    <t xml:space="preserve">Kuid Libre Offices alati ei tööta ja kasutan sellist: </t>
  </si>
  <si>
    <t>SUM(LARGE((V9;X9;AA9;AB9;AC9;AE9);{1;2;3;4})))</t>
  </si>
  <si>
    <t xml:space="preserve">Excelis on 4 suurema tulemuse kokkuliitmiseks õige valem selline: </t>
  </si>
  <si>
    <t xml:space="preserve">kui panna </t>
  </si>
  <si>
    <t xml:space="preserve">conditional </t>
  </si>
  <si>
    <t>formatisse</t>
  </si>
  <si>
    <t>ei tööta Libre-ga</t>
  </si>
  <si>
    <t>kehvim ESMV</t>
  </si>
  <si>
    <t>sordi selle</t>
  </si>
  <si>
    <t>veerujärgi</t>
  </si>
  <si>
    <t>suuremast</t>
  </si>
  <si>
    <t>väiksemaks</t>
  </si>
  <si>
    <t>Katri Aavekukk, Merike Aava</t>
  </si>
  <si>
    <t>Andero Kelu, Margo Peebo</t>
  </si>
  <si>
    <t>Matti Vinni, Vahur Raudsepp</t>
  </si>
  <si>
    <t>Alar Sinimäe, Ruudi Väärtnõu</t>
  </si>
  <si>
    <t>Jelena Brakina, Vello Pluum</t>
  </si>
  <si>
    <t>Aigar Lusbo, Merike Lusbo</t>
  </si>
  <si>
    <t>Aarne Välja, Janek Tarto</t>
  </si>
  <si>
    <t>Aimar Poom, Marta Ruus</t>
  </si>
  <si>
    <t>Tõnu Kapper, Vladimir Ogneštšikov</t>
  </si>
  <si>
    <t>Vello Pluum</t>
  </si>
  <si>
    <t>Kaido Kopel, Piret Kopel, Triin Gretel Tauk</t>
  </si>
  <si>
    <t>Kadri Arunurm, Kalju Olmre, Vahur Raudsepp</t>
  </si>
  <si>
    <t>Alar Sinimäe, Andero Kelu, Ruudi Väärtnõu</t>
  </si>
  <si>
    <t>Aigar Lusbo, Merike Lusbo, Sirje Viljaste</t>
  </si>
  <si>
    <t>Ivar Viljaste, Janek Tarto, Kristo Viljaste</t>
  </si>
  <si>
    <t>Aimar Poom, Alari Keedus, Ülo Piik</t>
  </si>
  <si>
    <t>Jelena Brakina, Marta Ruus, Vello Pluum</t>
  </si>
  <si>
    <t>Anne Sillamaa, Mati Tapo, Vallo Sillamaa</t>
  </si>
  <si>
    <t>Argo Sepp, Ljudmila Varendi, Viktor Švarõgin</t>
  </si>
  <si>
    <t>ei kasuta, sest</t>
  </si>
  <si>
    <t>L, 20.01.2018</t>
  </si>
  <si>
    <t>P, 25.02.2018</t>
  </si>
  <si>
    <t>seda veergu</t>
  </si>
  <si>
    <t>V-K</t>
  </si>
  <si>
    <t>1. voor</t>
  </si>
  <si>
    <t>1-6</t>
  </si>
  <si>
    <t>2-5</t>
  </si>
  <si>
    <t>3-4</t>
  </si>
  <si>
    <t>2. voor</t>
  </si>
  <si>
    <t>1-5</t>
  </si>
  <si>
    <t>2-4</t>
  </si>
  <si>
    <t>3-6</t>
  </si>
  <si>
    <t>3. voor</t>
  </si>
  <si>
    <t>1-4</t>
  </si>
  <si>
    <t>2-3</t>
  </si>
  <si>
    <t>5-6</t>
  </si>
  <si>
    <t>4. voor</t>
  </si>
  <si>
    <t>1-3</t>
  </si>
  <si>
    <t>2-6</t>
  </si>
  <si>
    <t>4-5</t>
  </si>
  <si>
    <t>5. voor</t>
  </si>
  <si>
    <t>1-2</t>
  </si>
  <si>
    <t>3-5</t>
  </si>
  <si>
    <t>4-6</t>
  </si>
  <si>
    <t>2-7</t>
  </si>
  <si>
    <t>7. voor</t>
  </si>
  <si>
    <t>1-7</t>
  </si>
  <si>
    <t>6-7</t>
  </si>
  <si>
    <t>5-7</t>
  </si>
  <si>
    <t>4-7</t>
  </si>
  <si>
    <t>6. voor</t>
  </si>
  <si>
    <t>3-7</t>
  </si>
  <si>
    <r>
      <rPr>
        <b/>
        <sz val="10"/>
        <color theme="1"/>
        <rFont val="Arial"/>
        <family val="2"/>
        <charset val="186"/>
      </rPr>
      <t>Valga</t>
    </r>
    <r>
      <rPr>
        <sz val="10"/>
        <color theme="1"/>
        <rFont val="Arial"/>
        <family val="2"/>
        <charset val="186"/>
      </rPr>
      <t xml:space="preserve"> - Janek Kangur, Kert Kangur, Mati Rõõm, Tiit Kattai, Toomas Reede, Varje Reede</t>
    </r>
  </si>
  <si>
    <r>
      <rPr>
        <b/>
        <sz val="10"/>
        <color theme="1"/>
        <rFont val="Arial"/>
        <family val="2"/>
        <charset val="186"/>
      </rPr>
      <t>Saku 2</t>
    </r>
    <r>
      <rPr>
        <sz val="10"/>
        <color theme="1"/>
        <rFont val="Arial"/>
        <family val="2"/>
        <charset val="186"/>
      </rPr>
      <t xml:space="preserve"> - Alar Sinimäe, Markus Erik Tommula, Ott Karl Kopel, Piret Kopel, Priit Koppel, Toomas Tohert, Vahur Raudsepp</t>
    </r>
  </si>
  <si>
    <r>
      <rPr>
        <b/>
        <sz val="10"/>
        <color theme="1"/>
        <rFont val="Arial"/>
        <family val="2"/>
        <charset val="186"/>
      </rPr>
      <t>Wicia</t>
    </r>
    <r>
      <rPr>
        <sz val="10"/>
        <color theme="1"/>
        <rFont val="Arial"/>
        <family val="2"/>
        <charset val="186"/>
      </rPr>
      <t xml:space="preserve"> - Aivar Sein, Egert Kingissepp, Janek Kiisk, Margo Peebo, Marko Ode, Ruudi Väärtnõu, Silver Kingissepp</t>
    </r>
  </si>
  <si>
    <r>
      <rPr>
        <b/>
        <sz val="10"/>
        <color theme="1"/>
        <rFont val="Arial"/>
        <family val="2"/>
        <charset val="186"/>
      </rPr>
      <t>Tartu</t>
    </r>
    <r>
      <rPr>
        <sz val="10"/>
        <color theme="1"/>
        <rFont val="Arial"/>
        <family val="2"/>
        <charset val="186"/>
      </rPr>
      <t xml:space="preserve"> - Aimar Poom, Anti Alasi, Jelena Brakina, Kertu Palm, Marta Ruus, Valmar Pantšenko, Vello Pluum</t>
    </r>
  </si>
  <si>
    <r>
      <rPr>
        <b/>
        <sz val="10"/>
        <color theme="1"/>
        <rFont val="Arial"/>
        <family val="2"/>
        <charset val="186"/>
      </rPr>
      <t>Maestro</t>
    </r>
    <r>
      <rPr>
        <sz val="10"/>
        <color theme="1"/>
        <rFont val="Arial"/>
        <family val="2"/>
        <charset val="186"/>
      </rPr>
      <t xml:space="preserve"> - Arvi Palla, Ivo Veimen, Kadri Arunurm, Kalju Olmre, Marko Neemelaik, Roman Olmre</t>
    </r>
  </si>
  <si>
    <r>
      <rPr>
        <b/>
        <sz val="10"/>
        <color theme="1"/>
        <rFont val="Arial"/>
        <family val="2"/>
        <charset val="186"/>
      </rPr>
      <t>Kärdla</t>
    </r>
    <r>
      <rPr>
        <sz val="10"/>
        <color theme="1"/>
        <rFont val="Arial"/>
        <family val="2"/>
        <charset val="186"/>
      </rPr>
      <t xml:space="preserve"> - Kaarel Mikk, Katri Aavekukk, Külli Karist, Martin Mänd, Mihkel Filipenko, Veiko Proose</t>
    </r>
  </si>
  <si>
    <r>
      <rPr>
        <b/>
        <sz val="10"/>
        <color theme="1"/>
        <rFont val="Arial"/>
        <family val="2"/>
        <charset val="186"/>
      </rPr>
      <t>Saku 1</t>
    </r>
    <r>
      <rPr>
        <sz val="10"/>
        <color theme="1"/>
        <rFont val="Arial"/>
        <family val="2"/>
        <charset val="186"/>
      </rPr>
      <t xml:space="preserve"> - Andero Kelu, Eve Oidsalu, Hardo Sokk, Kaido Kopel, Thibaut Mathon, Toomas Tauk, Triin Gretel Tauk</t>
    </r>
  </si>
  <si>
    <t>Üksik, duo, trio</t>
  </si>
  <si>
    <t>2-1</t>
  </si>
  <si>
    <t>0-3</t>
  </si>
  <si>
    <t>3-0</t>
  </si>
  <si>
    <t>3-3</t>
  </si>
  <si>
    <t>4-2</t>
  </si>
  <si>
    <t>6-0</t>
  </si>
  <si>
    <t>2v</t>
  </si>
  <si>
    <t>1v</t>
  </si>
  <si>
    <t>v</t>
  </si>
  <si>
    <t>5.-6. koht</t>
  </si>
  <si>
    <t>5 - 7 koht</t>
  </si>
  <si>
    <t xml:space="preserve"> 
-</t>
  </si>
  <si>
    <t>Saku 1</t>
  </si>
  <si>
    <t>Maestro</t>
  </si>
  <si>
    <t>Saku 2</t>
  </si>
  <si>
    <t>Kärdla</t>
  </si>
  <si>
    <r>
      <rPr>
        <b/>
        <sz val="10"/>
        <color theme="1"/>
        <rFont val="Arial"/>
        <family val="2"/>
        <charset val="186"/>
      </rPr>
      <t>Maestro</t>
    </r>
    <r>
      <rPr>
        <sz val="10"/>
        <color theme="1"/>
        <rFont val="Arial"/>
        <family val="2"/>
        <charset val="186"/>
      </rPr>
      <t xml:space="preserve"> - Arvi Palla, Ivo Veimen, Kadri Arunurm, Kalju Olmre, Marko Neemelaik, Roman Olmre</t>
    </r>
  </si>
  <si>
    <r>
      <rPr>
        <b/>
        <sz val="10"/>
        <color theme="1"/>
        <rFont val="Arial"/>
        <family val="2"/>
        <charset val="186"/>
      </rPr>
      <t>Saku 1</t>
    </r>
    <r>
      <rPr>
        <sz val="10"/>
        <color theme="1"/>
        <rFont val="Arial"/>
        <family val="2"/>
        <charset val="186"/>
      </rPr>
      <t xml:space="preserve"> - Andero Kelu, Eve Oidsalu, Hardo Sokk, Kaido Kopel, Thibaut Mathon, Toomas Tauk, Triin Gretel Tauk</t>
    </r>
  </si>
  <si>
    <r>
      <rPr>
        <b/>
        <sz val="10"/>
        <color theme="1"/>
        <rFont val="Arial"/>
        <family val="2"/>
        <charset val="186"/>
      </rPr>
      <t>Saku 2</t>
    </r>
    <r>
      <rPr>
        <sz val="10"/>
        <color theme="1"/>
        <rFont val="Arial"/>
        <family val="2"/>
        <charset val="186"/>
      </rPr>
      <t xml:space="preserve"> - Alar Sinimäe, Markus Erik Tommula, Ott Karl Kopel, Piret Kopel, Priit Koppel, Toomas Tohert, Vahur Raudsepp</t>
    </r>
  </si>
  <si>
    <r>
      <rPr>
        <b/>
        <sz val="10"/>
        <color theme="1"/>
        <rFont val="Arial"/>
        <family val="2"/>
        <charset val="186"/>
      </rPr>
      <t>Wicia</t>
    </r>
    <r>
      <rPr>
        <sz val="10"/>
        <color theme="1"/>
        <rFont val="Arial"/>
        <family val="2"/>
        <charset val="186"/>
      </rPr>
      <t xml:space="preserve"> - Aivar Sein, Egert Kingissepp, Janek Kiisk, Margo Peebo, Marko Ode, Ruudi Väärtnõu, Silver Kingissepp</t>
    </r>
  </si>
  <si>
    <r>
      <rPr>
        <b/>
        <sz val="10"/>
        <color theme="1"/>
        <rFont val="Arial"/>
        <family val="2"/>
        <charset val="186"/>
      </rPr>
      <t>Valga</t>
    </r>
    <r>
      <rPr>
        <sz val="10"/>
        <color theme="1"/>
        <rFont val="Arial"/>
        <family val="2"/>
        <charset val="186"/>
      </rPr>
      <t xml:space="preserve"> - Janek Kangur, Kert Kangur, Mati Rõõm, Tiit Kattai, Toomas Reede, Varje Reede</t>
    </r>
  </si>
  <si>
    <r>
      <rPr>
        <b/>
        <sz val="10"/>
        <color theme="1"/>
        <rFont val="Arial"/>
        <family val="2"/>
        <charset val="186"/>
      </rPr>
      <t>Tartu</t>
    </r>
    <r>
      <rPr>
        <sz val="10"/>
        <color theme="1"/>
        <rFont val="Arial"/>
        <family val="2"/>
        <charset val="186"/>
      </rPr>
      <t xml:space="preserve"> - Aimar Poom, Anti Alasi, Jelena Brakina, Kertu Palm, Marta Ruus, Valmar Pantšenko, Vello Pluum</t>
    </r>
  </si>
  <si>
    <r>
      <t>Kärdla</t>
    </r>
    <r>
      <rPr>
        <sz val="10"/>
        <color theme="1"/>
        <rFont val="Arial"/>
        <family val="2"/>
        <charset val="186"/>
      </rPr>
      <t xml:space="preserve"> - Kaarel Mikk, Katri Aavekukk, Külli Karist, Martin Mänd, Mihkel Filipenko, Veiko Proose</t>
    </r>
  </si>
  <si>
    <t>P, 16.12.2017</t>
  </si>
  <si>
    <t>L, 03.02.2018</t>
  </si>
  <si>
    <t>P, 11.02.2018</t>
  </si>
  <si>
    <t>P, 04.02.2018</t>
  </si>
  <si>
    <t>Alari Keedus, Jelena Brakina, Ülo Piik</t>
  </si>
  <si>
    <t>Jaan Sepp, Mait Metsla, Oskar Sepp</t>
  </si>
  <si>
    <t>Margus Berkmann, Meelis Münt, Veiko Proos</t>
  </si>
  <si>
    <t>Anu Uusio, Kati Nieminen, Merike Aava</t>
  </si>
  <si>
    <t>Aarne Välja, Ivar Viljaste, Sirje Viljaste</t>
  </si>
  <si>
    <t>Andero Kelu, Kaido Kopel, Mihkel Filipenko</t>
  </si>
  <si>
    <t>Kati Nieminen</t>
  </si>
  <si>
    <t>Anu Uusio</t>
  </si>
  <si>
    <t>Skoor</t>
  </si>
  <si>
    <t>:</t>
  </si>
  <si>
    <t>Paremusjärjestus pärast nelja eelvooru</t>
  </si>
  <si>
    <t>Punkte</t>
  </si>
  <si>
    <t>Koef</t>
  </si>
  <si>
    <t>Võit - 1 punkt</t>
  </si>
  <si>
    <t>Kaotus - 0 punkti</t>
  </si>
  <si>
    <t>10:30</t>
  </si>
  <si>
    <t>53:25</t>
  </si>
  <si>
    <t>+28</t>
  </si>
  <si>
    <t>47:28</t>
  </si>
  <si>
    <t>+19</t>
  </si>
  <si>
    <t>32:33</t>
  </si>
  <si>
    <t>-1</t>
  </si>
  <si>
    <t>38:37</t>
  </si>
  <si>
    <t>+1</t>
  </si>
  <si>
    <t>36:43</t>
  </si>
  <si>
    <t>-7</t>
  </si>
  <si>
    <t>37:31</t>
  </si>
  <si>
    <t>+6</t>
  </si>
  <si>
    <t>38:39</t>
  </si>
  <si>
    <t>31:40</t>
  </si>
  <si>
    <t>-9</t>
  </si>
  <si>
    <t>30:42</t>
  </si>
  <si>
    <t>-12</t>
  </si>
  <si>
    <t>29:52</t>
  </si>
  <si>
    <t>-23</t>
  </si>
  <si>
    <t>Jaan Joonas, Toomas Hoole</t>
  </si>
  <si>
    <t>Kadri Veljend, Margo Peebo</t>
  </si>
  <si>
    <t>Eve Oidsalu, Hardo Sokk</t>
  </si>
  <si>
    <t>Ivar Viljaste, Tanel Vähk</t>
  </si>
  <si>
    <t>Margus Strööm, Marko Ode</t>
  </si>
  <si>
    <t>Tanel Vähk</t>
  </si>
  <si>
    <t>9 - 11 koht</t>
  </si>
  <si>
    <t>45:23</t>
  </si>
  <si>
    <t>+22</t>
  </si>
  <si>
    <t>35:28</t>
  </si>
  <si>
    <t>+7</t>
  </si>
  <si>
    <t>40:24</t>
  </si>
  <si>
    <t>31:32</t>
  </si>
  <si>
    <t>+16</t>
  </si>
  <si>
    <t>41:31</t>
  </si>
  <si>
    <t>39:40</t>
  </si>
  <si>
    <t>46:41</t>
  </si>
  <si>
    <t>20:33</t>
  </si>
  <si>
    <t>20:32</t>
  </si>
  <si>
    <t>+10</t>
  </si>
  <si>
    <t>+5</t>
  </si>
  <si>
    <t>-13</t>
  </si>
  <si>
    <t>29:49</t>
  </si>
  <si>
    <t>26:39</t>
  </si>
  <si>
    <t>-20</t>
  </si>
  <si>
    <t>Marek Kolk - DNS</t>
  </si>
  <si>
    <t>edasi 2</t>
  </si>
  <si>
    <t>edasi 3</t>
  </si>
  <si>
    <t>1. VOOR (Qualification)</t>
  </si>
  <si>
    <t>2. VOOR (Repechage)</t>
  </si>
  <si>
    <r>
      <t>Koht</t>
    </r>
    <r>
      <rPr>
        <sz val="10"/>
        <color theme="1"/>
        <rFont val="Arial"/>
        <family val="2"/>
        <charset val="186"/>
      </rPr>
      <t>/</t>
    </r>
    <r>
      <rPr>
        <sz val="10"/>
        <color rgb="FF33CC33"/>
        <rFont val="Arial"/>
        <family val="2"/>
        <charset val="186"/>
      </rPr>
      <t>edasi</t>
    </r>
  </si>
  <si>
    <t>ÜMBERVISKED (Barrage)</t>
  </si>
  <si>
    <t>VEERANDFINAALID (1/4 Finale)</t>
  </si>
  <si>
    <t>POOLFINAALID (1/2 Finale)</t>
  </si>
  <si>
    <t>FINAAL (Finale)</t>
  </si>
  <si>
    <t>PRONKSIMÄNG (Bronze)</t>
  </si>
  <si>
    <t>Eve Oidsalu, Kalju Olmre, Thibaut Sergeï Mathon</t>
  </si>
  <si>
    <t>Aivar Sein, Mare Kingissepp, Marge Mägi</t>
  </si>
  <si>
    <t>Maive Sein, Maris Rõõm, Varje Reede</t>
  </si>
  <si>
    <t>Katri Aavekukk, Külli Kariste, Urmo Auväärt</t>
  </si>
  <si>
    <t>Alar Sinimäe, Kadri Veljend, Marko Ode</t>
  </si>
  <si>
    <t>Andrus Treiman, Ingar Mäesalu, Meelis Münt</t>
  </si>
  <si>
    <t>Kadri Arunurm, Sirje Viljaste, Triin Gretel Tauk</t>
  </si>
  <si>
    <t>Hardo Sokk, Ivar Viljaste</t>
  </si>
  <si>
    <t>Hardo Sokk, Heigo Kullang, Ivar Viljaste</t>
  </si>
  <si>
    <t>Marge Mägi, Margo Peebo</t>
  </si>
  <si>
    <t>Kadri Veljend, Marko Ode</t>
  </si>
  <si>
    <t>Alar Sinimäe, Mihkel Palk</t>
  </si>
  <si>
    <t>Heigo Kullang, Sirje Viljaste</t>
  </si>
  <si>
    <t>Egert Kingissepp, Mare Kingissepp</t>
  </si>
  <si>
    <t>Mati Tapo, Vallo Sillamaa</t>
  </si>
  <si>
    <t>Kevin Sten Liik, Silver Kingissepp</t>
  </si>
  <si>
    <t>Egert Kingissepp, Kevin Sten Liik, Silver Kingissepp</t>
  </si>
  <si>
    <t>Ingar Mäesalu</t>
  </si>
  <si>
    <t>52:29</t>
  </si>
  <si>
    <t>48:32</t>
  </si>
  <si>
    <t>35:25</t>
  </si>
  <si>
    <t>43:35</t>
  </si>
  <si>
    <t>38:48</t>
  </si>
  <si>
    <t>32:30</t>
  </si>
  <si>
    <t>33:32</t>
  </si>
  <si>
    <t>33:37</t>
  </si>
  <si>
    <t>37:42</t>
  </si>
  <si>
    <t>39:45</t>
  </si>
  <si>
    <t>4:39</t>
  </si>
  <si>
    <t>+23</t>
  </si>
  <si>
    <t>+8</t>
  </si>
  <si>
    <t>-10</t>
  </si>
  <si>
    <t>+2</t>
  </si>
  <si>
    <t>-4</t>
  </si>
  <si>
    <t>-5</t>
  </si>
  <si>
    <t>-6</t>
  </si>
  <si>
    <t>-35</t>
  </si>
  <si>
    <t>Arvi Palla, Kaarel Mikk, Mihkel Filipenko</t>
  </si>
  <si>
    <t>12. koht</t>
  </si>
  <si>
    <t>13. koht</t>
  </si>
  <si>
    <t>c</t>
  </si>
  <si>
    <t>Paremusjärjestus pärast kolme eelvooru</t>
  </si>
  <si>
    <t>35:17</t>
  </si>
  <si>
    <t>39:12</t>
  </si>
  <si>
    <t>34:29</t>
  </si>
  <si>
    <t>35:30</t>
  </si>
  <si>
    <t>25:29</t>
  </si>
  <si>
    <t>23:18</t>
  </si>
  <si>
    <t>13:23</t>
  </si>
  <si>
    <t>23:26</t>
  </si>
  <si>
    <t>32:36</t>
  </si>
  <si>
    <t>26:30</t>
  </si>
  <si>
    <t>27:35</t>
  </si>
  <si>
    <t>13:26</t>
  </si>
  <si>
    <t>+18</t>
  </si>
  <si>
    <t>+27</t>
  </si>
  <si>
    <t>-3</t>
  </si>
  <si>
    <t>-8</t>
  </si>
  <si>
    <t>-14</t>
  </si>
  <si>
    <t>21:35</t>
  </si>
  <si>
    <t>jrk</t>
  </si>
  <si>
    <t>Loosiduo</t>
  </si>
  <si>
    <t>I voor</t>
  </si>
  <si>
    <t>II voor</t>
  </si>
  <si>
    <t>III voor</t>
  </si>
  <si>
    <t>IV voor</t>
  </si>
  <si>
    <t>V voor</t>
  </si>
  <si>
    <t>Paremusjärjestus</t>
  </si>
  <si>
    <t>KOKKU</t>
  </si>
  <si>
    <t>Võite</t>
  </si>
  <si>
    <t>Marko Neemelaik</t>
  </si>
  <si>
    <t>S.Kingisspp</t>
  </si>
  <si>
    <t>Gunnar Hiiu</t>
  </si>
  <si>
    <t>8-9</t>
  </si>
  <si>
    <t>10-11</t>
  </si>
  <si>
    <t>18-20</t>
  </si>
  <si>
    <t>Renee Kuuskne</t>
  </si>
  <si>
    <t>23-24</t>
  </si>
  <si>
    <t>Seisuga 12.04.2018</t>
  </si>
  <si>
    <r>
      <rPr>
        <b/>
        <sz val="10"/>
        <color theme="1"/>
        <rFont val="Arial"/>
        <family val="2"/>
        <charset val="186"/>
      </rPr>
      <t>Ida</t>
    </r>
    <r>
      <rPr>
        <sz val="10"/>
        <color theme="1"/>
        <rFont val="Arial"/>
        <family val="2"/>
        <charset val="186"/>
      </rPr>
      <t xml:space="preserve"> - Jaan Sepp, Mait Metsla, Matti Vinni, Oskar Sepp</t>
    </r>
  </si>
  <si>
    <r>
      <rPr>
        <b/>
        <sz val="10"/>
        <color theme="1"/>
        <rFont val="Arial"/>
        <family val="2"/>
        <charset val="186"/>
      </rPr>
      <t>Lõuna 1</t>
    </r>
    <r>
      <rPr>
        <sz val="10"/>
        <color theme="1"/>
        <rFont val="Arial"/>
        <family val="2"/>
        <charset val="186"/>
      </rPr>
      <t xml:space="preserve"> - Danel Pilv, Illart Majas, Jaan Joonas, Toomas Hoole</t>
    </r>
  </si>
  <si>
    <r>
      <rPr>
        <b/>
        <sz val="10"/>
        <color theme="1"/>
        <rFont val="Arial"/>
        <family val="2"/>
        <charset val="186"/>
      </rPr>
      <t>Lõuna 2</t>
    </r>
    <r>
      <rPr>
        <sz val="10"/>
        <color theme="1"/>
        <rFont val="Arial"/>
        <family val="2"/>
        <charset val="186"/>
      </rPr>
      <t xml:space="preserve"> - Avo Tagen, Jaan Lüitsepp, Tiiu Haga, Tõnu Haga</t>
    </r>
  </si>
  <si>
    <r>
      <rPr>
        <b/>
        <sz val="10"/>
        <color theme="1"/>
        <rFont val="Arial"/>
        <family val="2"/>
        <charset val="186"/>
      </rPr>
      <t>Põhja 1</t>
    </r>
    <r>
      <rPr>
        <sz val="10"/>
        <color theme="1"/>
        <rFont val="Arial"/>
        <family val="2"/>
        <charset val="186"/>
      </rPr>
      <t xml:space="preserve"> - Kaido Kopel, Martin Mänd, Vahur Raudsepp, Veiko Proos</t>
    </r>
  </si>
  <si>
    <r>
      <rPr>
        <b/>
        <sz val="10"/>
        <color theme="1"/>
        <rFont val="Arial"/>
        <family val="2"/>
        <charset val="186"/>
      </rPr>
      <t>Lääne</t>
    </r>
    <r>
      <rPr>
        <sz val="10"/>
        <color theme="1"/>
        <rFont val="Arial"/>
        <family val="2"/>
        <charset val="186"/>
      </rPr>
      <t xml:space="preserve"> - Egert Kingissepp, Ruudi Väärtnõu, Silver Kingissepp, Urmo Auväärt</t>
    </r>
  </si>
  <si>
    <t>4-1</t>
  </si>
  <si>
    <t>3-2</t>
  </si>
  <si>
    <r>
      <rPr>
        <b/>
        <sz val="10"/>
        <color theme="1"/>
        <rFont val="Arial"/>
        <family val="2"/>
        <charset val="186"/>
      </rPr>
      <t>Põhja 2</t>
    </r>
    <r>
      <rPr>
        <sz val="10"/>
        <color theme="1"/>
        <rFont val="Arial"/>
        <family val="2"/>
        <charset val="186"/>
      </rPr>
      <t xml:space="preserve"> - Eve Oidsalu, Kalju Olmre, Priit Koppel, Thibaut Sergeï Mathon</t>
    </r>
  </si>
  <si>
    <t>KOHT</t>
  </si>
  <si>
    <t>kehvim Reiting</t>
  </si>
  <si>
    <t>2. kehvim Reiting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</si>
</sst>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1]"/>
    <numFmt numFmtId="166" formatCode=";;;@"/>
  </numFmts>
  <fonts count="47" x14ac:knownFonts="1">
    <font>
      <sz val="10"/>
      <color theme="1"/>
      <name val="Arial"/>
      <family val="2"/>
      <charset val="186"/>
    </font>
    <font>
      <b/>
      <sz val="8"/>
      <color indexed="81"/>
      <name val="Tahoma"/>
      <family val="2"/>
      <charset val="186"/>
    </font>
    <font>
      <sz val="10"/>
      <name val="Arial"/>
      <family val="2"/>
      <charset val="204"/>
    </font>
    <font>
      <sz val="10"/>
      <color indexed="8"/>
      <name val="Times New Roman"/>
      <family val="1"/>
      <charset val="186"/>
    </font>
    <font>
      <sz val="10"/>
      <name val="Arial"/>
      <family val="2"/>
      <charset val="186"/>
    </font>
    <font>
      <sz val="11"/>
      <color indexed="8"/>
      <name val="Calibri"/>
      <family val="2"/>
      <charset val="186"/>
    </font>
    <font>
      <sz val="8"/>
      <color indexed="8"/>
      <name val="Arial Narrow"/>
      <family val="2"/>
    </font>
    <font>
      <sz val="10"/>
      <color theme="1"/>
      <name val="Arial"/>
      <family val="2"/>
      <charset val="186"/>
    </font>
    <font>
      <u/>
      <sz val="10"/>
      <color theme="10"/>
      <name val="Arial"/>
      <family val="2"/>
      <charset val="186"/>
    </font>
    <font>
      <sz val="11"/>
      <color theme="1"/>
      <name val="Calibri"/>
      <family val="2"/>
      <charset val="186"/>
      <scheme val="minor"/>
    </font>
    <font>
      <sz val="10"/>
      <color rgb="FF000000"/>
      <name val="Arial"/>
      <family val="2"/>
      <charset val="186"/>
    </font>
    <font>
      <sz val="11"/>
      <color theme="1"/>
      <name val="Calibri"/>
      <family val="2"/>
      <scheme val="minor"/>
    </font>
    <font>
      <sz val="11"/>
      <color rgb="FF000000"/>
      <name val="Calibri"/>
      <family val="2"/>
      <scheme val="minor"/>
    </font>
    <font>
      <i/>
      <sz val="10"/>
      <color theme="1"/>
      <name val="Arial"/>
      <family val="2"/>
      <charset val="186"/>
    </font>
    <font>
      <b/>
      <sz val="10"/>
      <color theme="1"/>
      <name val="Arial"/>
      <family val="2"/>
      <charset val="186"/>
    </font>
    <font>
      <sz val="10"/>
      <color theme="0" tint="-0.34998626667073579"/>
      <name val="Arial"/>
      <family val="2"/>
      <charset val="186"/>
    </font>
    <font>
      <b/>
      <sz val="10"/>
      <color rgb="FFCC0000"/>
      <name val="Arial"/>
      <family val="2"/>
      <charset val="186"/>
    </font>
    <font>
      <sz val="10"/>
      <color rgb="FFCC0000"/>
      <name val="Arial"/>
      <family val="2"/>
      <charset val="186"/>
    </font>
    <font>
      <b/>
      <sz val="10"/>
      <color theme="1"/>
      <name val="Calibri"/>
      <family val="2"/>
      <charset val="186"/>
      <scheme val="minor"/>
    </font>
    <font>
      <b/>
      <u/>
      <sz val="10"/>
      <color theme="1"/>
      <name val="Arial"/>
      <family val="2"/>
      <charset val="186"/>
    </font>
    <font>
      <b/>
      <sz val="10"/>
      <color rgb="FF0070C0"/>
      <name val="Arial"/>
      <family val="2"/>
      <charset val="186"/>
    </font>
    <font>
      <u/>
      <sz val="10"/>
      <color theme="1"/>
      <name val="Arial"/>
      <family val="2"/>
      <charset val="186"/>
    </font>
    <font>
      <u/>
      <sz val="10"/>
      <color rgb="FF0000FF"/>
      <name val="Arial"/>
      <family val="2"/>
      <charset val="186"/>
    </font>
    <font>
      <sz val="10"/>
      <color rgb="FFFF0000"/>
      <name val="Arial"/>
      <family val="2"/>
      <charset val="186"/>
    </font>
    <font>
      <sz val="10"/>
      <color rgb="FF000000"/>
      <name val="Times New Roman"/>
      <family val="1"/>
      <charset val="186"/>
    </font>
    <font>
      <sz val="10"/>
      <color rgb="FF0000FF"/>
      <name val="Arial"/>
      <family val="2"/>
      <charset val="186"/>
    </font>
    <font>
      <u/>
      <sz val="11"/>
      <color theme="10"/>
      <name val="Calibri"/>
      <family val="2"/>
      <charset val="186"/>
      <scheme val="minor"/>
    </font>
    <font>
      <u/>
      <sz val="10"/>
      <color theme="10"/>
      <name val="Times New Roman"/>
      <family val="1"/>
      <charset val="186"/>
    </font>
    <font>
      <b/>
      <u/>
      <sz val="10"/>
      <color theme="10"/>
      <name val="Arial"/>
      <family val="2"/>
      <charset val="186"/>
    </font>
    <font>
      <b/>
      <sz val="10"/>
      <name val="Arial"/>
      <family val="2"/>
      <charset val="186"/>
    </font>
    <font>
      <b/>
      <sz val="10"/>
      <color rgb="FF00B050"/>
      <name val="Arial"/>
      <family val="2"/>
      <charset val="186"/>
    </font>
    <font>
      <sz val="8"/>
      <color indexed="81"/>
      <name val="Tahoma"/>
      <family val="2"/>
      <charset val="186"/>
    </font>
    <font>
      <b/>
      <sz val="10"/>
      <color rgb="FFFF0000"/>
      <name val="Arial"/>
      <family val="2"/>
      <charset val="186"/>
    </font>
    <font>
      <i/>
      <sz val="10"/>
      <color theme="8" tint="0.39997558519241921"/>
      <name val="Arial"/>
      <family val="2"/>
      <charset val="186"/>
    </font>
    <font>
      <strike/>
      <sz val="10"/>
      <color theme="1"/>
      <name val="Arial"/>
      <family val="2"/>
      <charset val="186"/>
    </font>
    <font>
      <sz val="10"/>
      <color rgb="FF00B050"/>
      <name val="Arial"/>
      <family val="2"/>
      <charset val="186"/>
    </font>
    <font>
      <sz val="9"/>
      <color theme="0" tint="-0.34998626667073579"/>
      <name val="Arial"/>
      <family val="2"/>
      <charset val="186"/>
    </font>
    <font>
      <b/>
      <sz val="8"/>
      <color indexed="10"/>
      <name val="Tahoma"/>
      <family val="2"/>
      <charset val="186"/>
    </font>
    <font>
      <sz val="10"/>
      <color theme="0"/>
      <name val="Arial"/>
      <family val="2"/>
      <charset val="186"/>
    </font>
    <font>
      <b/>
      <sz val="10"/>
      <name val="Calibri"/>
      <family val="2"/>
      <charset val="186"/>
      <scheme val="minor"/>
    </font>
    <font>
      <sz val="10"/>
      <color rgb="FF00B0F0"/>
      <name val="Arial"/>
      <family val="2"/>
      <charset val="186"/>
    </font>
    <font>
      <sz val="10"/>
      <color theme="9" tint="0.39997558519241921"/>
      <name val="Arial"/>
      <family val="2"/>
      <charset val="186"/>
    </font>
    <font>
      <sz val="10"/>
      <color rgb="FF92D050"/>
      <name val="Arial"/>
      <family val="2"/>
      <charset val="186"/>
    </font>
    <font>
      <sz val="10"/>
      <color theme="0" tint="-0.499984740745262"/>
      <name val="Arial"/>
      <family val="2"/>
      <charset val="186"/>
    </font>
    <font>
      <sz val="10"/>
      <color rgb="FF33CC33"/>
      <name val="Arial"/>
      <family val="2"/>
      <charset val="186"/>
    </font>
    <font>
      <b/>
      <sz val="10"/>
      <color theme="0" tint="-0.249977111117893"/>
      <name val="Arial"/>
      <family val="2"/>
      <charset val="186"/>
    </font>
    <font>
      <sz val="10"/>
      <color theme="0" tint="-0.249977111117893"/>
      <name val="Arial"/>
      <family val="2"/>
      <charset val="186"/>
    </font>
  </fonts>
  <fills count="2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00"/>
        <bgColor indexed="8"/>
      </patternFill>
    </fill>
    <fill>
      <patternFill patternType="solid">
        <fgColor rgb="FFFFFFCC"/>
        <bgColor indexed="64"/>
      </patternFill>
    </fill>
    <fill>
      <patternFill patternType="solid">
        <fgColor rgb="FFCCFFCC"/>
        <bgColor indexed="64"/>
      </patternFill>
    </fill>
    <fill>
      <patternFill patternType="solid">
        <fgColor rgb="FFFFFFFF"/>
      </patternFill>
    </fill>
    <fill>
      <patternFill patternType="solid">
        <fgColor rgb="FFD9D9D9"/>
        <bgColor indexed="64"/>
      </patternFill>
    </fill>
    <fill>
      <patternFill patternType="solid">
        <fgColor rgb="FFFFCCCC"/>
        <bgColor indexed="64"/>
      </patternFill>
    </fill>
    <fill>
      <patternFill patternType="solid">
        <fgColor theme="0" tint="-0.249977111117893"/>
        <bgColor indexed="64"/>
      </patternFill>
    </fill>
    <fill>
      <patternFill patternType="solid">
        <fgColor rgb="FFEAEAEA"/>
        <bgColor indexed="64"/>
      </patternFill>
    </fill>
    <fill>
      <patternFill patternType="solid">
        <fgColor rgb="FF99FF99"/>
        <bgColor indexed="64"/>
      </patternFill>
    </fill>
    <fill>
      <patternFill patternType="solid">
        <fgColor rgb="FFFF999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theme="0" tint="-0.34998626667073579"/>
      </top>
      <bottom style="thin">
        <color theme="0" tint="-0.34998626667073579"/>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8"/>
      </left>
      <right/>
      <top style="medium">
        <color indexed="64"/>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indexed="64"/>
      </right>
      <top style="thin">
        <color indexed="64"/>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s>
  <cellStyleXfs count="24">
    <xf numFmtId="0" fontId="0" fillId="0" borderId="0"/>
    <xf numFmtId="0" fontId="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9" fillId="0" borderId="0"/>
    <xf numFmtId="0" fontId="10" fillId="0" borderId="0"/>
    <xf numFmtId="0" fontId="2" fillId="0" borderId="0"/>
    <xf numFmtId="0" fontId="2" fillId="0" borderId="0"/>
    <xf numFmtId="0" fontId="24" fillId="0" borderId="0"/>
    <xf numFmtId="0" fontId="2" fillId="0" borderId="0"/>
    <xf numFmtId="0" fontId="3" fillId="0" borderId="0"/>
    <xf numFmtId="0" fontId="11" fillId="0" borderId="0"/>
    <xf numFmtId="0" fontId="4" fillId="0" borderId="0"/>
    <xf numFmtId="0" fontId="24" fillId="0" borderId="0"/>
    <xf numFmtId="0" fontId="9" fillId="0" borderId="0"/>
    <xf numFmtId="0" fontId="12" fillId="0" borderId="0"/>
    <xf numFmtId="0" fontId="5" fillId="0" borderId="0"/>
    <xf numFmtId="0" fontId="4" fillId="0" borderId="0"/>
    <xf numFmtId="0" fontId="9" fillId="0" borderId="0"/>
    <xf numFmtId="0" fontId="7" fillId="0" borderId="0"/>
    <xf numFmtId="49" fontId="6" fillId="10" borderId="0" applyBorder="0" applyProtection="0">
      <alignment horizontal="left" vertical="top" wrapText="1"/>
    </xf>
    <xf numFmtId="0" fontId="9" fillId="0" borderId="0"/>
  </cellStyleXfs>
  <cellXfs count="932">
    <xf numFmtId="0" fontId="0" fillId="0" borderId="0" xfId="0"/>
    <xf numFmtId="0" fontId="13" fillId="0" borderId="0" xfId="13" applyFont="1" applyFill="1" applyBorder="1" applyAlignment="1"/>
    <xf numFmtId="0" fontId="7" fillId="0" borderId="0" xfId="13" applyFont="1" applyBorder="1" applyAlignment="1"/>
    <xf numFmtId="0" fontId="7" fillId="0" borderId="0" xfId="7" applyFont="1" applyFill="1" applyBorder="1" applyAlignment="1"/>
    <xf numFmtId="0" fontId="14" fillId="2" borderId="0" xfId="7" applyFont="1" applyFill="1" applyBorder="1" applyAlignment="1"/>
    <xf numFmtId="0" fontId="7" fillId="0" borderId="0" xfId="13" applyFont="1" applyBorder="1" applyAlignment="1">
      <alignment horizontal="center"/>
    </xf>
    <xf numFmtId="0" fontId="7" fillId="3" borderId="0" xfId="7" applyFont="1" applyFill="1" applyBorder="1" applyAlignment="1"/>
    <xf numFmtId="0" fontId="7" fillId="4" borderId="0" xfId="7" applyFont="1" applyFill="1" applyBorder="1" applyAlignment="1"/>
    <xf numFmtId="0" fontId="14" fillId="0" borderId="1" xfId="13" applyFont="1" applyFill="1" applyBorder="1" applyAlignment="1">
      <alignment horizontal="center"/>
    </xf>
    <xf numFmtId="0" fontId="7" fillId="0" borderId="2" xfId="7" applyFont="1" applyFill="1" applyBorder="1" applyAlignment="1"/>
    <xf numFmtId="0" fontId="7" fillId="0" borderId="3" xfId="7" applyFont="1" applyFill="1" applyBorder="1" applyAlignment="1"/>
    <xf numFmtId="0" fontId="7" fillId="0" borderId="4" xfId="7" applyFont="1" applyFill="1" applyBorder="1" applyAlignment="1"/>
    <xf numFmtId="0" fontId="7" fillId="6" borderId="1" xfId="13" applyFont="1" applyFill="1" applyBorder="1" applyAlignment="1">
      <alignment horizontal="center"/>
    </xf>
    <xf numFmtId="0" fontId="7" fillId="0" borderId="6" xfId="7" applyFont="1" applyFill="1" applyBorder="1" applyAlignment="1"/>
    <xf numFmtId="0" fontId="7" fillId="0" borderId="6" xfId="13" applyFont="1" applyFill="1" applyBorder="1" applyAlignment="1"/>
    <xf numFmtId="0" fontId="7" fillId="0" borderId="5" xfId="7" applyFont="1" applyFill="1" applyBorder="1" applyAlignment="1"/>
    <xf numFmtId="0" fontId="15" fillId="0" borderId="1" xfId="13" applyFont="1" applyFill="1" applyBorder="1" applyAlignment="1"/>
    <xf numFmtId="0" fontId="15" fillId="0" borderId="1" xfId="13" applyFont="1" applyFill="1" applyBorder="1" applyAlignment="1">
      <alignment horizontal="center"/>
    </xf>
    <xf numFmtId="0" fontId="7" fillId="0" borderId="7" xfId="7" applyFont="1" applyFill="1" applyBorder="1" applyAlignment="1"/>
    <xf numFmtId="0" fontId="7" fillId="0" borderId="7" xfId="13" applyFont="1" applyFill="1" applyBorder="1" applyAlignment="1"/>
    <xf numFmtId="0" fontId="16" fillId="0" borderId="1" xfId="13" applyFont="1" applyFill="1" applyBorder="1" applyAlignment="1"/>
    <xf numFmtId="0" fontId="14" fillId="3" borderId="0" xfId="13" applyFont="1" applyFill="1" applyBorder="1" applyAlignment="1">
      <alignment horizontal="center"/>
    </xf>
    <xf numFmtId="0" fontId="7" fillId="3" borderId="0" xfId="7" applyFont="1" applyFill="1" applyBorder="1" applyAlignment="1">
      <alignment horizontal="right"/>
    </xf>
    <xf numFmtId="0" fontId="7" fillId="3" borderId="0" xfId="13" applyFont="1" applyFill="1" applyBorder="1" applyAlignment="1"/>
    <xf numFmtId="164" fontId="7" fillId="3" borderId="0" xfId="7" applyNumberFormat="1" applyFont="1" applyFill="1" applyBorder="1" applyAlignment="1">
      <alignment horizontal="center"/>
    </xf>
    <xf numFmtId="0" fontId="7" fillId="3" borderId="0" xfId="7" applyFont="1" applyFill="1" applyBorder="1" applyAlignment="1">
      <alignment horizontal="center"/>
    </xf>
    <xf numFmtId="1" fontId="7" fillId="3" borderId="0" xfId="7" applyNumberFormat="1" applyFont="1" applyFill="1" applyBorder="1" applyAlignment="1">
      <alignment horizontal="center"/>
    </xf>
    <xf numFmtId="0" fontId="0" fillId="0" borderId="0" xfId="0" applyFont="1"/>
    <xf numFmtId="0" fontId="18" fillId="0" borderId="1" xfId="13" applyFont="1" applyFill="1" applyBorder="1" applyAlignment="1">
      <alignment horizontal="center"/>
    </xf>
    <xf numFmtId="0" fontId="18" fillId="5" borderId="1" xfId="13" applyFont="1" applyFill="1" applyBorder="1" applyAlignment="1">
      <alignment horizontal="center"/>
    </xf>
    <xf numFmtId="0" fontId="7" fillId="0" borderId="0" xfId="16" applyFont="1" applyAlignment="1"/>
    <xf numFmtId="0" fontId="14" fillId="0" borderId="1" xfId="16" applyFont="1" applyFill="1" applyBorder="1" applyAlignment="1">
      <alignment horizontal="center"/>
    </xf>
    <xf numFmtId="0" fontId="7" fillId="0" borderId="1" xfId="16" applyFont="1" applyFill="1" applyBorder="1" applyAlignment="1">
      <alignment horizontal="center"/>
    </xf>
    <xf numFmtId="0" fontId="7" fillId="0" borderId="1" xfId="16" applyFont="1" applyFill="1" applyBorder="1" applyAlignment="1"/>
    <xf numFmtId="0" fontId="14" fillId="0" borderId="0" xfId="16" applyFont="1" applyBorder="1" applyAlignment="1"/>
    <xf numFmtId="0" fontId="7" fillId="0" borderId="0" xfId="16" applyFont="1" applyBorder="1" applyAlignment="1">
      <alignment horizontal="center"/>
    </xf>
    <xf numFmtId="0" fontId="7" fillId="0" borderId="0" xfId="16" applyFont="1" applyFill="1" applyBorder="1" applyAlignment="1">
      <alignment horizontal="center"/>
    </xf>
    <xf numFmtId="49" fontId="7" fillId="0" borderId="0" xfId="16" applyNumberFormat="1" applyFont="1" applyBorder="1" applyAlignment="1">
      <alignment horizontal="center"/>
    </xf>
    <xf numFmtId="0" fontId="7" fillId="0" borderId="0" xfId="16" applyFont="1" applyFill="1" applyBorder="1" applyAlignment="1"/>
    <xf numFmtId="49" fontId="7" fillId="0" borderId="0" xfId="16" applyNumberFormat="1" applyFont="1" applyFill="1" applyBorder="1" applyAlignment="1">
      <alignment horizontal="center"/>
    </xf>
    <xf numFmtId="0" fontId="7" fillId="0" borderId="1" xfId="6" applyFont="1" applyBorder="1"/>
    <xf numFmtId="0" fontId="8" fillId="0" borderId="0" xfId="1"/>
    <xf numFmtId="0" fontId="7" fillId="0" borderId="0" xfId="16" applyFont="1"/>
    <xf numFmtId="0" fontId="14" fillId="0" borderId="0" xfId="16" applyFont="1" applyAlignment="1">
      <alignment horizontal="right"/>
    </xf>
    <xf numFmtId="0" fontId="7" fillId="0" borderId="4" xfId="16" applyFont="1" applyBorder="1"/>
    <xf numFmtId="0" fontId="7" fillId="0" borderId="0" xfId="16" applyFont="1" applyBorder="1"/>
    <xf numFmtId="0" fontId="7" fillId="0" borderId="12" xfId="16" applyFont="1" applyBorder="1"/>
    <xf numFmtId="0" fontId="7" fillId="0" borderId="15" xfId="16" applyFont="1" applyBorder="1"/>
    <xf numFmtId="0" fontId="7" fillId="0" borderId="13" xfId="16" applyFont="1" applyBorder="1"/>
    <xf numFmtId="0" fontId="7" fillId="0" borderId="14" xfId="16" applyFont="1" applyBorder="1"/>
    <xf numFmtId="0" fontId="7" fillId="0" borderId="10" xfId="16" applyFont="1" applyBorder="1"/>
    <xf numFmtId="0" fontId="7" fillId="0" borderId="0" xfId="16" applyFont="1" applyBorder="1" applyAlignment="1">
      <alignment horizontal="left"/>
    </xf>
    <xf numFmtId="0" fontId="14" fillId="0" borderId="0" xfId="16" applyFont="1"/>
    <xf numFmtId="0" fontId="14" fillId="0" borderId="0" xfId="16" applyFont="1" applyBorder="1"/>
    <xf numFmtId="0" fontId="14" fillId="0" borderId="1" xfId="8" applyFont="1" applyBorder="1" applyAlignment="1"/>
    <xf numFmtId="0" fontId="14" fillId="2" borderId="1" xfId="8" applyFont="1" applyFill="1" applyBorder="1" applyAlignment="1"/>
    <xf numFmtId="0" fontId="7" fillId="3" borderId="1" xfId="8" applyFont="1" applyFill="1" applyBorder="1" applyAlignment="1"/>
    <xf numFmtId="0" fontId="7" fillId="4" borderId="1" xfId="8" applyFont="1" applyFill="1" applyBorder="1" applyAlignment="1"/>
    <xf numFmtId="0" fontId="7" fillId="0" borderId="1" xfId="8" applyFont="1" applyFill="1" applyBorder="1" applyAlignment="1"/>
    <xf numFmtId="49" fontId="14" fillId="0" borderId="1" xfId="8" applyNumberFormat="1" applyFont="1" applyBorder="1" applyAlignment="1">
      <alignment horizontal="right"/>
    </xf>
    <xf numFmtId="0" fontId="19" fillId="0" borderId="0" xfId="16" applyFont="1" applyBorder="1"/>
    <xf numFmtId="0" fontId="14" fillId="0" borderId="0" xfId="16" applyFont="1" applyFill="1" applyBorder="1" applyAlignment="1">
      <alignment horizontal="right"/>
    </xf>
    <xf numFmtId="0" fontId="14" fillId="0" borderId="14" xfId="16" applyFont="1" applyBorder="1"/>
    <xf numFmtId="0" fontId="7" fillId="0" borderId="11" xfId="16" applyFont="1" applyBorder="1" applyAlignment="1">
      <alignment horizontal="left"/>
    </xf>
    <xf numFmtId="0" fontId="19" fillId="0" borderId="0" xfId="16" applyFont="1"/>
    <xf numFmtId="0" fontId="7" fillId="0" borderId="3" xfId="16" applyFont="1" applyBorder="1" applyAlignment="1">
      <alignment horizontal="left"/>
    </xf>
    <xf numFmtId="0" fontId="7" fillId="0" borderId="4" xfId="16" applyFont="1" applyBorder="1" applyAlignment="1">
      <alignment horizontal="left"/>
    </xf>
    <xf numFmtId="0" fontId="7" fillId="0" borderId="10" xfId="16" applyFont="1" applyBorder="1" applyAlignment="1">
      <alignment horizontal="left"/>
    </xf>
    <xf numFmtId="0" fontId="7" fillId="0" borderId="12" xfId="16" applyFont="1" applyBorder="1" applyAlignment="1">
      <alignment horizontal="left"/>
    </xf>
    <xf numFmtId="0" fontId="7" fillId="0" borderId="13" xfId="16" applyFont="1" applyBorder="1" applyAlignment="1">
      <alignment horizontal="left"/>
    </xf>
    <xf numFmtId="0" fontId="7" fillId="0" borderId="0" xfId="13" applyFont="1"/>
    <xf numFmtId="0" fontId="20" fillId="0" borderId="0" xfId="13" applyFont="1" applyFill="1" applyBorder="1" applyAlignment="1"/>
    <xf numFmtId="0" fontId="20" fillId="0" borderId="0" xfId="6" applyFont="1"/>
    <xf numFmtId="0" fontId="21" fillId="5" borderId="1" xfId="1" applyFont="1" applyFill="1" applyBorder="1"/>
    <xf numFmtId="0" fontId="0" fillId="0" borderId="0" xfId="0" applyFont="1" applyFill="1"/>
    <xf numFmtId="0" fontId="20" fillId="0" borderId="0" xfId="6" applyFont="1" applyAlignment="1">
      <alignment vertical="center"/>
    </xf>
    <xf numFmtId="0" fontId="14" fillId="3" borderId="1" xfId="13" applyNumberFormat="1" applyFont="1" applyFill="1" applyBorder="1" applyAlignment="1">
      <alignment horizontal="center"/>
    </xf>
    <xf numFmtId="0" fontId="7" fillId="0" borderId="1" xfId="13" applyFont="1" applyFill="1" applyBorder="1" applyAlignment="1">
      <alignment horizontal="center"/>
    </xf>
    <xf numFmtId="0" fontId="7" fillId="0" borderId="0" xfId="6" applyFont="1" applyBorder="1"/>
    <xf numFmtId="0" fontId="7" fillId="0" borderId="0" xfId="6" applyFont="1"/>
    <xf numFmtId="0" fontId="14" fillId="3" borderId="1" xfId="13" applyFont="1" applyFill="1" applyBorder="1" applyAlignment="1"/>
    <xf numFmtId="0" fontId="7" fillId="0" borderId="0" xfId="16" applyFont="1" applyAlignment="1">
      <alignment horizontal="left"/>
    </xf>
    <xf numFmtId="0" fontId="7" fillId="0" borderId="0" xfId="8" applyFont="1" applyAlignment="1"/>
    <xf numFmtId="0" fontId="0" fillId="0" borderId="1" xfId="0" applyFont="1" applyFill="1" applyBorder="1" applyAlignment="1"/>
    <xf numFmtId="0" fontId="7" fillId="0" borderId="0" xfId="6" applyFont="1" applyAlignment="1">
      <alignment vertical="center"/>
    </xf>
    <xf numFmtId="0" fontId="7" fillId="0" borderId="1" xfId="13" applyFont="1" applyBorder="1" applyAlignment="1">
      <alignment horizontal="center"/>
    </xf>
    <xf numFmtId="0" fontId="0" fillId="0" borderId="0" xfId="0" applyFill="1" applyAlignment="1">
      <alignment wrapText="1"/>
    </xf>
    <xf numFmtId="0" fontId="21" fillId="0" borderId="1" xfId="1" applyFont="1" applyFill="1" applyBorder="1"/>
    <xf numFmtId="0" fontId="22" fillId="0" borderId="1" xfId="1" applyFont="1" applyFill="1" applyBorder="1" applyAlignment="1"/>
    <xf numFmtId="0" fontId="7" fillId="5" borderId="1" xfId="1" applyFont="1" applyFill="1" applyBorder="1"/>
    <xf numFmtId="0" fontId="7" fillId="0" borderId="1" xfId="1" applyFont="1" applyFill="1" applyBorder="1"/>
    <xf numFmtId="0" fontId="8" fillId="0" borderId="1" xfId="1" applyFill="1" applyBorder="1" applyAlignment="1">
      <alignment horizontal="center"/>
    </xf>
    <xf numFmtId="0" fontId="8" fillId="5" borderId="1" xfId="1" applyFill="1" applyBorder="1" applyAlignment="1">
      <alignment horizontal="center"/>
    </xf>
    <xf numFmtId="0" fontId="7" fillId="8" borderId="1" xfId="13" applyFont="1" applyFill="1" applyBorder="1" applyAlignment="1"/>
    <xf numFmtId="0" fontId="7" fillId="3" borderId="3" xfId="13" applyFont="1" applyFill="1" applyBorder="1" applyAlignment="1"/>
    <xf numFmtId="164" fontId="14" fillId="3" borderId="3" xfId="13" applyNumberFormat="1" applyFont="1" applyFill="1" applyBorder="1" applyAlignment="1">
      <alignment horizontal="center"/>
    </xf>
    <xf numFmtId="164" fontId="16" fillId="3" borderId="3" xfId="13" applyNumberFormat="1" applyFont="1" applyFill="1" applyBorder="1" applyAlignment="1">
      <alignment horizontal="center"/>
    </xf>
    <xf numFmtId="0" fontId="7" fillId="0" borderId="1" xfId="13" applyNumberFormat="1" applyFont="1" applyFill="1" applyBorder="1" applyAlignment="1">
      <alignment horizontal="center"/>
    </xf>
    <xf numFmtId="0" fontId="7" fillId="0" borderId="1" xfId="13" applyFont="1" applyFill="1" applyBorder="1" applyAlignment="1"/>
    <xf numFmtId="0" fontId="7" fillId="0" borderId="0" xfId="6" applyNumberFormat="1" applyFont="1" applyAlignment="1"/>
    <xf numFmtId="0" fontId="14" fillId="0" borderId="0" xfId="6" applyNumberFormat="1" applyFont="1" applyAlignment="1"/>
    <xf numFmtId="0" fontId="7" fillId="9" borderId="0" xfId="10" applyFont="1" applyFill="1" applyBorder="1" applyAlignment="1">
      <alignment horizontal="right"/>
    </xf>
    <xf numFmtId="0" fontId="14" fillId="3" borderId="1" xfId="6" applyNumberFormat="1" applyFont="1" applyFill="1" applyBorder="1" applyAlignment="1"/>
    <xf numFmtId="0" fontId="7" fillId="0" borderId="0" xfId="6" applyNumberFormat="1" applyFont="1" applyAlignment="1">
      <alignment horizontal="center"/>
    </xf>
    <xf numFmtId="0" fontId="7" fillId="0" borderId="1" xfId="6" applyNumberFormat="1" applyFont="1" applyFill="1" applyBorder="1" applyAlignment="1"/>
    <xf numFmtId="165" fontId="7" fillId="0" borderId="1" xfId="6" applyNumberFormat="1" applyFont="1" applyFill="1" applyBorder="1" applyAlignment="1">
      <alignment horizontal="center"/>
    </xf>
    <xf numFmtId="164" fontId="7" fillId="0" borderId="1" xfId="6" applyNumberFormat="1" applyFont="1" applyFill="1" applyBorder="1" applyAlignment="1">
      <alignment horizontal="center"/>
    </xf>
    <xf numFmtId="0" fontId="7" fillId="0" borderId="0" xfId="6" applyNumberFormat="1" applyFont="1" applyFill="1" applyAlignment="1"/>
    <xf numFmtId="0" fontId="7" fillId="0" borderId="0" xfId="6" applyFont="1" applyFill="1" applyAlignment="1"/>
    <xf numFmtId="0" fontId="7" fillId="0" borderId="0" xfId="6" applyNumberFormat="1" applyFont="1" applyFill="1" applyAlignment="1">
      <alignment horizontal="left"/>
    </xf>
    <xf numFmtId="0" fontId="23" fillId="0" borderId="0" xfId="6" applyNumberFormat="1" applyFont="1" applyAlignment="1"/>
    <xf numFmtId="0" fontId="7" fillId="0" borderId="0" xfId="6" applyNumberFormat="1" applyFont="1" applyFill="1" applyBorder="1" applyAlignment="1"/>
    <xf numFmtId="49" fontId="7" fillId="0" borderId="0" xfId="6" applyNumberFormat="1" applyFont="1" applyFill="1" applyBorder="1" applyAlignment="1"/>
    <xf numFmtId="0" fontId="22" fillId="0" borderId="0" xfId="1" applyNumberFormat="1" applyFont="1" applyFill="1" applyBorder="1" applyAlignment="1"/>
    <xf numFmtId="0" fontId="21" fillId="0" borderId="0" xfId="1" applyFont="1" applyFill="1" applyBorder="1" applyAlignment="1"/>
    <xf numFmtId="0" fontId="0" fillId="0" borderId="0" xfId="0" applyNumberFormat="1" applyFont="1" applyFill="1" applyBorder="1" applyAlignment="1"/>
    <xf numFmtId="165" fontId="7" fillId="0" borderId="0" xfId="6" applyNumberFormat="1" applyFont="1" applyFill="1" applyBorder="1" applyAlignment="1">
      <alignment horizontal="center"/>
    </xf>
    <xf numFmtId="164" fontId="7" fillId="0" borderId="0" xfId="6" applyNumberFormat="1" applyFont="1" applyFill="1" applyBorder="1" applyAlignment="1">
      <alignment horizontal="center"/>
    </xf>
    <xf numFmtId="0" fontId="22" fillId="0" borderId="0" xfId="2" applyNumberFormat="1" applyFont="1" applyFill="1" applyBorder="1" applyAlignment="1"/>
    <xf numFmtId="0" fontId="25" fillId="0" borderId="0" xfId="6" applyNumberFormat="1" applyFont="1" applyFill="1" applyAlignment="1"/>
    <xf numFmtId="0" fontId="28" fillId="0" borderId="1" xfId="1" applyFont="1" applyFill="1" applyBorder="1" applyAlignment="1"/>
    <xf numFmtId="0" fontId="20" fillId="0" borderId="0" xfId="6" applyNumberFormat="1" applyFont="1" applyAlignment="1"/>
    <xf numFmtId="0" fontId="0" fillId="0" borderId="1" xfId="8" applyNumberFormat="1" applyFont="1" applyFill="1" applyBorder="1" applyAlignment="1"/>
    <xf numFmtId="0" fontId="0" fillId="0" borderId="1" xfId="16" applyNumberFormat="1" applyFont="1" applyFill="1" applyBorder="1" applyAlignment="1"/>
    <xf numFmtId="0" fontId="0" fillId="0" borderId="1" xfId="16" applyFont="1" applyFill="1" applyBorder="1" applyAlignment="1">
      <alignment horizontal="center"/>
    </xf>
    <xf numFmtId="0" fontId="21" fillId="0" borderId="0" xfId="16" applyFont="1"/>
    <xf numFmtId="0" fontId="0" fillId="0" borderId="8" xfId="16" applyFont="1" applyBorder="1"/>
    <xf numFmtId="0" fontId="0" fillId="0" borderId="9" xfId="16" applyFont="1" applyBorder="1"/>
    <xf numFmtId="0" fontId="14" fillId="0" borderId="0" xfId="0" applyFont="1" applyFill="1"/>
    <xf numFmtId="0" fontId="16" fillId="2" borderId="1" xfId="8" applyFont="1" applyFill="1" applyBorder="1" applyAlignment="1"/>
    <xf numFmtId="0" fontId="7" fillId="0" borderId="20" xfId="14" applyFont="1" applyBorder="1" applyAlignment="1"/>
    <xf numFmtId="0" fontId="14" fillId="0" borderId="20" xfId="14" applyFont="1" applyBorder="1" applyAlignment="1">
      <alignment horizontal="center"/>
    </xf>
    <xf numFmtId="0" fontId="7" fillId="0" borderId="21" xfId="14" applyFont="1" applyBorder="1" applyAlignment="1"/>
    <xf numFmtId="0" fontId="7" fillId="0" borderId="22" xfId="14" applyFont="1" applyBorder="1" applyAlignment="1"/>
    <xf numFmtId="0" fontId="7" fillId="0" borderId="23" xfId="14" applyFont="1" applyBorder="1" applyAlignment="1"/>
    <xf numFmtId="0" fontId="7" fillId="0" borderId="20" xfId="14" applyFont="1" applyFill="1" applyBorder="1" applyAlignment="1"/>
    <xf numFmtId="0" fontId="7" fillId="0" borderId="0" xfId="14" applyFont="1"/>
    <xf numFmtId="0" fontId="14" fillId="0" borderId="22" xfId="9" applyFont="1" applyBorder="1" applyAlignment="1">
      <alignment horizontal="center"/>
    </xf>
    <xf numFmtId="0" fontId="14" fillId="0" borderId="24" xfId="9" applyFont="1" applyBorder="1" applyAlignment="1">
      <alignment horizontal="center"/>
    </xf>
    <xf numFmtId="0" fontId="14" fillId="0" borderId="25" xfId="9" applyFont="1" applyBorder="1" applyAlignment="1">
      <alignment horizontal="center"/>
    </xf>
    <xf numFmtId="0" fontId="14" fillId="0" borderId="26" xfId="9" applyFont="1" applyBorder="1" applyAlignment="1">
      <alignment horizontal="center"/>
    </xf>
    <xf numFmtId="0" fontId="14" fillId="0" borderId="20" xfId="9" applyFont="1" applyFill="1" applyBorder="1" applyAlignment="1">
      <alignment horizontal="center"/>
    </xf>
    <xf numFmtId="0" fontId="14" fillId="0" borderId="0" xfId="9" applyFont="1" applyAlignment="1">
      <alignment vertical="center"/>
    </xf>
    <xf numFmtId="0" fontId="7" fillId="0" borderId="27" xfId="9" applyFont="1" applyBorder="1" applyAlignment="1"/>
    <xf numFmtId="0" fontId="7" fillId="0" borderId="28" xfId="9" applyFont="1" applyBorder="1" applyAlignment="1">
      <alignment horizontal="center"/>
    </xf>
    <xf numFmtId="0" fontId="7" fillId="0" borderId="29" xfId="9" applyFont="1" applyBorder="1" applyAlignment="1">
      <alignment horizontal="center"/>
    </xf>
    <xf numFmtId="0" fontId="7" fillId="0" borderId="30" xfId="9" applyFont="1" applyBorder="1" applyAlignment="1">
      <alignment horizontal="center"/>
    </xf>
    <xf numFmtId="0" fontId="7" fillId="0" borderId="27" xfId="9" applyFont="1" applyFill="1" applyBorder="1" applyAlignment="1">
      <alignment horizontal="center"/>
    </xf>
    <xf numFmtId="0" fontId="7" fillId="3" borderId="1" xfId="14" applyFont="1" applyFill="1" applyBorder="1" applyAlignment="1">
      <alignment horizontal="center"/>
    </xf>
    <xf numFmtId="0" fontId="7" fillId="0" borderId="31" xfId="9" applyFont="1" applyBorder="1" applyAlignment="1"/>
    <xf numFmtId="0" fontId="7" fillId="0" borderId="32" xfId="9" applyFont="1" applyFill="1" applyBorder="1" applyAlignment="1"/>
    <xf numFmtId="0" fontId="7" fillId="0" borderId="32" xfId="14" applyFont="1" applyFill="1" applyBorder="1" applyAlignment="1">
      <alignment horizontal="center"/>
    </xf>
    <xf numFmtId="0" fontId="7" fillId="0" borderId="1" xfId="14" applyFont="1" applyFill="1" applyBorder="1" applyAlignment="1">
      <alignment horizontal="center"/>
    </xf>
    <xf numFmtId="0" fontId="7" fillId="0" borderId="16" xfId="14" applyFont="1" applyFill="1" applyBorder="1" applyAlignment="1">
      <alignment horizontal="center"/>
    </xf>
    <xf numFmtId="0" fontId="7" fillId="0" borderId="31" xfId="14" applyFont="1" applyFill="1" applyBorder="1" applyAlignment="1">
      <alignment horizontal="center"/>
    </xf>
    <xf numFmtId="0" fontId="7" fillId="0" borderId="32" xfId="14" applyFont="1" applyFill="1" applyBorder="1" applyAlignment="1"/>
    <xf numFmtId="0" fontId="7" fillId="0" borderId="0" xfId="9" applyFont="1" applyFill="1" applyBorder="1" applyAlignment="1">
      <alignment horizontal="center"/>
    </xf>
    <xf numFmtId="0" fontId="7" fillId="0" borderId="0" xfId="14" applyFont="1" applyBorder="1"/>
    <xf numFmtId="0" fontId="7" fillId="3" borderId="19" xfId="14" applyFont="1" applyFill="1" applyBorder="1" applyAlignment="1">
      <alignment horizontal="center"/>
    </xf>
    <xf numFmtId="0" fontId="7" fillId="0" borderId="31" xfId="14" applyFont="1" applyBorder="1" applyAlignment="1"/>
    <xf numFmtId="0" fontId="7" fillId="0" borderId="32" xfId="9" applyFont="1" applyBorder="1" applyAlignment="1">
      <alignment horizontal="center"/>
    </xf>
    <xf numFmtId="0" fontId="7" fillId="0" borderId="1" xfId="9" applyFont="1" applyBorder="1" applyAlignment="1">
      <alignment horizontal="center"/>
    </xf>
    <xf numFmtId="0" fontId="7" fillId="0" borderId="16" xfId="9" applyFont="1" applyBorder="1" applyAlignment="1">
      <alignment horizontal="center"/>
    </xf>
    <xf numFmtId="0" fontId="7" fillId="0" borderId="31" xfId="9" applyFont="1" applyFill="1" applyBorder="1" applyAlignment="1">
      <alignment horizontal="center"/>
    </xf>
    <xf numFmtId="0" fontId="7" fillId="0" borderId="37" xfId="14" applyFont="1" applyBorder="1"/>
    <xf numFmtId="0" fontId="7" fillId="0" borderId="38" xfId="14" applyFont="1" applyBorder="1"/>
    <xf numFmtId="0" fontId="7" fillId="0" borderId="37" xfId="14" applyFont="1" applyFill="1" applyBorder="1" applyAlignment="1">
      <alignment horizontal="center"/>
    </xf>
    <xf numFmtId="0" fontId="7" fillId="0" borderId="37" xfId="9" applyFont="1" applyFill="1" applyBorder="1" applyAlignment="1">
      <alignment horizontal="center"/>
    </xf>
    <xf numFmtId="0" fontId="7" fillId="0" borderId="32" xfId="14" applyFont="1" applyBorder="1" applyAlignment="1">
      <alignment horizontal="left"/>
    </xf>
    <xf numFmtId="0" fontId="7" fillId="0" borderId="32" xfId="9" applyFont="1" applyFill="1" applyBorder="1" applyAlignment="1">
      <alignment horizontal="left"/>
    </xf>
    <xf numFmtId="0" fontId="14" fillId="0" borderId="31" xfId="9" applyFont="1" applyFill="1" applyBorder="1" applyAlignment="1">
      <alignment horizontal="center"/>
    </xf>
    <xf numFmtId="0" fontId="7" fillId="0" borderId="34" xfId="14" applyFont="1" applyBorder="1" applyAlignment="1"/>
    <xf numFmtId="0" fontId="7" fillId="0" borderId="35" xfId="9" applyFont="1" applyFill="1" applyBorder="1" applyAlignment="1">
      <alignment horizontal="left"/>
    </xf>
    <xf numFmtId="0" fontId="7" fillId="0" borderId="35" xfId="9" applyFont="1" applyBorder="1" applyAlignment="1">
      <alignment horizontal="center"/>
    </xf>
    <xf numFmtId="0" fontId="7" fillId="0" borderId="19" xfId="9" applyFont="1" applyBorder="1" applyAlignment="1">
      <alignment horizontal="center"/>
    </xf>
    <xf numFmtId="0" fontId="7" fillId="0" borderId="36" xfId="9" applyFont="1" applyBorder="1" applyAlignment="1">
      <alignment horizontal="center"/>
    </xf>
    <xf numFmtId="0" fontId="7" fillId="0" borderId="34" xfId="14" applyFont="1" applyFill="1" applyBorder="1" applyAlignment="1">
      <alignment horizontal="center"/>
    </xf>
    <xf numFmtId="0" fontId="14" fillId="0" borderId="34" xfId="9" applyFont="1" applyFill="1" applyBorder="1" applyAlignment="1">
      <alignment horizontal="center"/>
    </xf>
    <xf numFmtId="0" fontId="7" fillId="0" borderId="0" xfId="14" applyFont="1" applyAlignment="1"/>
    <xf numFmtId="0" fontId="14" fillId="0" borderId="1" xfId="14" applyFont="1" applyBorder="1" applyAlignment="1"/>
    <xf numFmtId="0" fontId="16" fillId="2" borderId="1" xfId="16" applyFont="1" applyFill="1" applyBorder="1" applyAlignment="1"/>
    <xf numFmtId="0" fontId="7" fillId="0" borderId="18" xfId="14" applyFont="1" applyBorder="1" applyAlignment="1"/>
    <xf numFmtId="0" fontId="7" fillId="3" borderId="1" xfId="14" applyFont="1" applyFill="1" applyBorder="1" applyAlignment="1"/>
    <xf numFmtId="0" fontId="7" fillId="4" borderId="1" xfId="14" applyFont="1" applyFill="1" applyBorder="1" applyAlignment="1"/>
    <xf numFmtId="0" fontId="7" fillId="0" borderId="0" xfId="14" applyFont="1" applyFill="1"/>
    <xf numFmtId="0" fontId="8" fillId="11" borderId="1" xfId="1" applyFill="1" applyBorder="1" applyAlignment="1"/>
    <xf numFmtId="0" fontId="0" fillId="0" borderId="1" xfId="8" applyFont="1" applyFill="1" applyBorder="1" applyAlignment="1"/>
    <xf numFmtId="0" fontId="0" fillId="0" borderId="0" xfId="0" applyAlignment="1">
      <alignment wrapText="1"/>
    </xf>
    <xf numFmtId="0" fontId="30" fillId="3" borderId="0" xfId="13" applyFont="1" applyFill="1" applyBorder="1" applyAlignment="1">
      <alignment horizontal="center"/>
    </xf>
    <xf numFmtId="0" fontId="7" fillId="0" borderId="27" xfId="14" applyFont="1" applyBorder="1" applyAlignment="1"/>
    <xf numFmtId="0" fontId="14" fillId="0" borderId="27" xfId="9" applyFont="1" applyBorder="1" applyAlignment="1"/>
    <xf numFmtId="0" fontId="7" fillId="0" borderId="35" xfId="14" applyFont="1" applyBorder="1" applyAlignment="1">
      <alignment horizontal="left"/>
    </xf>
    <xf numFmtId="0" fontId="7" fillId="0" borderId="34" xfId="9" applyFont="1" applyFill="1" applyBorder="1" applyAlignment="1">
      <alignment horizontal="center"/>
    </xf>
    <xf numFmtId="0" fontId="7" fillId="0" borderId="36" xfId="9" applyFont="1" applyFill="1" applyBorder="1" applyAlignment="1">
      <alignment horizontal="center"/>
    </xf>
    <xf numFmtId="0" fontId="7" fillId="0" borderId="40" xfId="14" applyFont="1" applyBorder="1" applyAlignment="1">
      <alignment horizontal="left"/>
    </xf>
    <xf numFmtId="0" fontId="7" fillId="0" borderId="40" xfId="14" applyFont="1" applyBorder="1" applyAlignment="1"/>
    <xf numFmtId="0" fontId="7" fillId="0" borderId="33" xfId="14" applyFont="1" applyFill="1" applyBorder="1" applyAlignment="1"/>
    <xf numFmtId="0" fontId="7" fillId="0" borderId="31" xfId="9" applyFont="1" applyFill="1" applyBorder="1" applyAlignment="1"/>
    <xf numFmtId="0" fontId="7" fillId="12" borderId="1" xfId="14" applyFont="1" applyFill="1" applyBorder="1" applyAlignment="1">
      <alignment horizontal="center"/>
    </xf>
    <xf numFmtId="0" fontId="7" fillId="0" borderId="34" xfId="9" applyFont="1" applyFill="1" applyBorder="1" applyAlignment="1"/>
    <xf numFmtId="0" fontId="7" fillId="0" borderId="35" xfId="14" applyFont="1" applyFill="1" applyBorder="1" applyAlignment="1"/>
    <xf numFmtId="0" fontId="7" fillId="0" borderId="35" xfId="14" applyFont="1" applyFill="1" applyBorder="1" applyAlignment="1">
      <alignment horizontal="center"/>
    </xf>
    <xf numFmtId="0" fontId="7" fillId="0" borderId="19" xfId="14" applyFont="1" applyFill="1" applyBorder="1" applyAlignment="1">
      <alignment horizontal="center"/>
    </xf>
    <xf numFmtId="0" fontId="7" fillId="0" borderId="36" xfId="14" applyFont="1" applyFill="1" applyBorder="1" applyAlignment="1">
      <alignment horizontal="center"/>
    </xf>
    <xf numFmtId="0" fontId="14" fillId="0" borderId="31" xfId="14" applyFont="1" applyFill="1" applyBorder="1" applyAlignment="1">
      <alignment horizontal="center"/>
    </xf>
    <xf numFmtId="0" fontId="30" fillId="0" borderId="1" xfId="13" applyFont="1" applyFill="1" applyBorder="1" applyAlignment="1"/>
    <xf numFmtId="0" fontId="7" fillId="13" borderId="31" xfId="9" applyFont="1" applyFill="1" applyBorder="1" applyAlignment="1"/>
    <xf numFmtId="0" fontId="7" fillId="13" borderId="32" xfId="14" applyFont="1" applyFill="1" applyBorder="1" applyAlignment="1">
      <alignment horizontal="center"/>
    </xf>
    <xf numFmtId="0" fontId="7" fillId="13" borderId="1" xfId="14" applyFont="1" applyFill="1" applyBorder="1" applyAlignment="1">
      <alignment horizontal="center"/>
    </xf>
    <xf numFmtId="0" fontId="7" fillId="13" borderId="16" xfId="14" applyFont="1" applyFill="1" applyBorder="1" applyAlignment="1">
      <alignment horizontal="center"/>
    </xf>
    <xf numFmtId="0" fontId="7" fillId="13" borderId="31" xfId="14" applyFont="1" applyFill="1" applyBorder="1" applyAlignment="1">
      <alignment horizontal="center"/>
    </xf>
    <xf numFmtId="0" fontId="7" fillId="13" borderId="32" xfId="9" applyFont="1" applyFill="1" applyBorder="1" applyAlignment="1"/>
    <xf numFmtId="0" fontId="7" fillId="13" borderId="32" xfId="14" applyFont="1" applyFill="1" applyBorder="1" applyAlignment="1"/>
    <xf numFmtId="0" fontId="7" fillId="13" borderId="34" xfId="9" applyFont="1" applyFill="1" applyBorder="1" applyAlignment="1"/>
    <xf numFmtId="0" fontId="7" fillId="13" borderId="35" xfId="14" applyFont="1" applyFill="1" applyBorder="1" applyAlignment="1">
      <alignment horizontal="center"/>
    </xf>
    <xf numFmtId="0" fontId="7" fillId="13" borderId="19" xfId="14" applyFont="1" applyFill="1" applyBorder="1" applyAlignment="1">
      <alignment horizontal="center"/>
    </xf>
    <xf numFmtId="0" fontId="7" fillId="13" borderId="36" xfId="14" applyFont="1" applyFill="1" applyBorder="1" applyAlignment="1">
      <alignment horizontal="center"/>
    </xf>
    <xf numFmtId="0" fontId="7" fillId="13" borderId="34" xfId="14" applyFont="1" applyFill="1" applyBorder="1" applyAlignment="1">
      <alignment horizontal="center"/>
    </xf>
    <xf numFmtId="0" fontId="7" fillId="13" borderId="31" xfId="14" applyFont="1" applyFill="1" applyBorder="1" applyAlignment="1"/>
    <xf numFmtId="0" fontId="7" fillId="13" borderId="32" xfId="9" applyFont="1" applyFill="1" applyBorder="1" applyAlignment="1">
      <alignment horizontal="center"/>
    </xf>
    <xf numFmtId="0" fontId="7" fillId="13" borderId="1" xfId="9" applyFont="1" applyFill="1" applyBorder="1" applyAlignment="1">
      <alignment horizontal="center"/>
    </xf>
    <xf numFmtId="0" fontId="7" fillId="13" borderId="16" xfId="9" applyFont="1" applyFill="1" applyBorder="1" applyAlignment="1">
      <alignment horizontal="center"/>
    </xf>
    <xf numFmtId="0" fontId="7" fillId="13" borderId="31" xfId="9" applyFont="1" applyFill="1" applyBorder="1" applyAlignment="1">
      <alignment horizontal="center"/>
    </xf>
    <xf numFmtId="0" fontId="0" fillId="0" borderId="0" xfId="16" applyFont="1" applyBorder="1"/>
    <xf numFmtId="0" fontId="0" fillId="0" borderId="15" xfId="16" applyFont="1" applyBorder="1"/>
    <xf numFmtId="0" fontId="0" fillId="0" borderId="35" xfId="14" applyFont="1" applyBorder="1" applyAlignment="1">
      <alignment horizontal="left"/>
    </xf>
    <xf numFmtId="0" fontId="0" fillId="0" borderId="32" xfId="14" applyFont="1" applyFill="1" applyBorder="1" applyAlignment="1"/>
    <xf numFmtId="0" fontId="0" fillId="0" borderId="32" xfId="9" applyFont="1" applyFill="1" applyBorder="1" applyAlignment="1">
      <alignment horizontal="left"/>
    </xf>
    <xf numFmtId="0" fontId="0" fillId="13" borderId="40" xfId="14" applyFont="1" applyFill="1" applyBorder="1" applyAlignment="1">
      <alignment horizontal="left"/>
    </xf>
    <xf numFmtId="0" fontId="0" fillId="0" borderId="32" xfId="9" applyFont="1" applyFill="1" applyBorder="1" applyAlignment="1"/>
    <xf numFmtId="0" fontId="0" fillId="13" borderId="32" xfId="14" applyFont="1" applyFill="1" applyBorder="1" applyAlignment="1"/>
    <xf numFmtId="0" fontId="0" fillId="0" borderId="40" xfId="14" applyFont="1" applyBorder="1" applyAlignment="1"/>
    <xf numFmtId="0" fontId="0" fillId="0" borderId="0" xfId="14" applyFont="1"/>
    <xf numFmtId="0" fontId="0" fillId="0" borderId="32" xfId="14" applyFont="1" applyBorder="1" applyAlignment="1">
      <alignment horizontal="left"/>
    </xf>
    <xf numFmtId="0" fontId="0" fillId="13" borderId="32" xfId="9" applyFont="1" applyFill="1" applyBorder="1" applyAlignment="1">
      <alignment horizontal="left"/>
    </xf>
    <xf numFmtId="0" fontId="0" fillId="13" borderId="32" xfId="9" applyFont="1" applyFill="1" applyBorder="1" applyAlignment="1"/>
    <xf numFmtId="0" fontId="14" fillId="0" borderId="27" xfId="9" applyFont="1" applyFill="1" applyBorder="1" applyAlignment="1">
      <alignment horizontal="center"/>
    </xf>
    <xf numFmtId="0" fontId="0" fillId="13" borderId="33" xfId="14" applyFont="1" applyFill="1" applyBorder="1" applyAlignment="1"/>
    <xf numFmtId="0" fontId="0" fillId="13" borderId="32" xfId="14" applyFont="1" applyFill="1" applyBorder="1" applyAlignment="1">
      <alignment horizontal="left"/>
    </xf>
    <xf numFmtId="0" fontId="0" fillId="13" borderId="32" xfId="14" applyFont="1" applyFill="1" applyBorder="1" applyAlignment="1">
      <alignment horizontal="center"/>
    </xf>
    <xf numFmtId="0" fontId="0" fillId="13" borderId="1" xfId="14" applyFont="1" applyFill="1" applyBorder="1" applyAlignment="1">
      <alignment horizontal="center"/>
    </xf>
    <xf numFmtId="0" fontId="0" fillId="13" borderId="16" xfId="14" applyFont="1" applyFill="1" applyBorder="1" applyAlignment="1">
      <alignment horizontal="center"/>
    </xf>
    <xf numFmtId="0" fontId="7" fillId="0" borderId="20" xfId="9" applyFont="1" applyBorder="1" applyAlignment="1"/>
    <xf numFmtId="0" fontId="0" fillId="0" borderId="0" xfId="0" applyFont="1" applyBorder="1"/>
    <xf numFmtId="0" fontId="7" fillId="8" borderId="31" xfId="9" applyFont="1" applyFill="1" applyBorder="1" applyAlignment="1"/>
    <xf numFmtId="0" fontId="7" fillId="8" borderId="32" xfId="14" applyFont="1" applyFill="1" applyBorder="1" applyAlignment="1">
      <alignment horizontal="center"/>
    </xf>
    <xf numFmtId="0" fontId="7" fillId="8" borderId="1" xfId="14" applyFont="1" applyFill="1" applyBorder="1" applyAlignment="1">
      <alignment horizontal="center"/>
    </xf>
    <xf numFmtId="0" fontId="7" fillId="8" borderId="31" xfId="14" applyFont="1" applyFill="1" applyBorder="1" applyAlignment="1">
      <alignment horizontal="center"/>
    </xf>
    <xf numFmtId="0" fontId="7" fillId="7" borderId="31" xfId="9" applyFont="1" applyFill="1" applyBorder="1" applyAlignment="1"/>
    <xf numFmtId="0" fontId="7" fillId="7" borderId="32" xfId="14" applyFont="1" applyFill="1" applyBorder="1" applyAlignment="1">
      <alignment horizontal="center"/>
    </xf>
    <xf numFmtId="0" fontId="7" fillId="7" borderId="1" xfId="14" applyFont="1" applyFill="1" applyBorder="1" applyAlignment="1">
      <alignment horizontal="center"/>
    </xf>
    <xf numFmtId="0" fontId="7" fillId="7" borderId="31" xfId="14" applyFont="1" applyFill="1" applyBorder="1" applyAlignment="1">
      <alignment horizontal="center"/>
    </xf>
    <xf numFmtId="0" fontId="0" fillId="7" borderId="32" xfId="14" applyFont="1" applyFill="1" applyBorder="1" applyAlignment="1">
      <alignment horizontal="center"/>
    </xf>
    <xf numFmtId="0" fontId="0" fillId="7" borderId="1" xfId="14" applyFont="1" applyFill="1" applyBorder="1" applyAlignment="1">
      <alignment horizontal="center"/>
    </xf>
    <xf numFmtId="0" fontId="7" fillId="11" borderId="31" xfId="9" applyFont="1" applyFill="1" applyBorder="1" applyAlignment="1"/>
    <xf numFmtId="0" fontId="7" fillId="11" borderId="32" xfId="14" applyFont="1" applyFill="1" applyBorder="1" applyAlignment="1">
      <alignment horizontal="center"/>
    </xf>
    <xf numFmtId="0" fontId="7" fillId="11" borderId="1" xfId="14" applyFont="1" applyFill="1" applyBorder="1" applyAlignment="1">
      <alignment horizontal="center"/>
    </xf>
    <xf numFmtId="0" fontId="7" fillId="11" borderId="31" xfId="14" applyFont="1" applyFill="1" applyBorder="1" applyAlignment="1">
      <alignment horizontal="center"/>
    </xf>
    <xf numFmtId="0" fontId="7" fillId="11" borderId="32" xfId="14" applyFont="1" applyFill="1" applyBorder="1" applyAlignment="1"/>
    <xf numFmtId="0" fontId="7" fillId="11" borderId="34" xfId="9" applyFont="1" applyFill="1" applyBorder="1" applyAlignment="1"/>
    <xf numFmtId="0" fontId="7" fillId="11" borderId="35" xfId="14" applyFont="1" applyFill="1" applyBorder="1" applyAlignment="1">
      <alignment horizontal="center"/>
    </xf>
    <xf numFmtId="0" fontId="7" fillId="11" borderId="19" xfId="14" applyFont="1" applyFill="1" applyBorder="1" applyAlignment="1">
      <alignment horizontal="center"/>
    </xf>
    <xf numFmtId="0" fontId="7" fillId="11" borderId="34" xfId="14" applyFont="1" applyFill="1" applyBorder="1" applyAlignment="1">
      <alignment horizontal="center"/>
    </xf>
    <xf numFmtId="0" fontId="7" fillId="8" borderId="31" xfId="14" applyFont="1" applyFill="1" applyBorder="1" applyAlignment="1"/>
    <xf numFmtId="0" fontId="7" fillId="8" borderId="32" xfId="9" applyFont="1" applyFill="1" applyBorder="1" applyAlignment="1">
      <alignment horizontal="center"/>
    </xf>
    <xf numFmtId="0" fontId="7" fillId="8" borderId="1" xfId="9" applyFont="1" applyFill="1" applyBorder="1" applyAlignment="1">
      <alignment horizontal="center"/>
    </xf>
    <xf numFmtId="0" fontId="7" fillId="8" borderId="16" xfId="9" applyFont="1" applyFill="1" applyBorder="1" applyAlignment="1">
      <alignment horizontal="center"/>
    </xf>
    <xf numFmtId="0" fontId="7" fillId="11" borderId="31" xfId="14" applyFont="1" applyFill="1" applyBorder="1" applyAlignment="1"/>
    <xf numFmtId="0" fontId="7" fillId="11" borderId="32" xfId="9" applyFont="1" applyFill="1" applyBorder="1" applyAlignment="1">
      <alignment horizontal="left"/>
    </xf>
    <xf numFmtId="0" fontId="7" fillId="11" borderId="32" xfId="9" applyFont="1" applyFill="1" applyBorder="1" applyAlignment="1">
      <alignment horizontal="center"/>
    </xf>
    <xf numFmtId="0" fontId="7" fillId="11" borderId="1" xfId="9" applyFont="1" applyFill="1" applyBorder="1" applyAlignment="1">
      <alignment horizontal="center"/>
    </xf>
    <xf numFmtId="0" fontId="7" fillId="11" borderId="16" xfId="9" applyFont="1" applyFill="1" applyBorder="1" applyAlignment="1">
      <alignment horizontal="center"/>
    </xf>
    <xf numFmtId="0" fontId="7" fillId="11" borderId="34" xfId="14" applyFont="1" applyFill="1" applyBorder="1" applyAlignment="1"/>
    <xf numFmtId="0" fontId="7" fillId="11" borderId="35" xfId="9" applyFont="1" applyFill="1" applyBorder="1" applyAlignment="1">
      <alignment horizontal="center"/>
    </xf>
    <xf numFmtId="0" fontId="7" fillId="11" borderId="19" xfId="9" applyFont="1" applyFill="1" applyBorder="1" applyAlignment="1">
      <alignment horizontal="center"/>
    </xf>
    <xf numFmtId="0" fontId="7" fillId="11" borderId="36" xfId="9" applyFont="1" applyFill="1" applyBorder="1" applyAlignment="1">
      <alignment horizontal="center"/>
    </xf>
    <xf numFmtId="0" fontId="14" fillId="0" borderId="42" xfId="9" applyFont="1" applyFill="1" applyBorder="1" applyAlignment="1">
      <alignment horizontal="center" vertical="center" textRotation="90"/>
    </xf>
    <xf numFmtId="0" fontId="14" fillId="12" borderId="22" xfId="9" applyFont="1" applyFill="1" applyBorder="1" applyAlignment="1">
      <alignment horizontal="center"/>
    </xf>
    <xf numFmtId="0" fontId="7" fillId="12" borderId="31" xfId="14" applyFont="1" applyFill="1" applyBorder="1" applyAlignment="1">
      <alignment horizontal="center"/>
    </xf>
    <xf numFmtId="0" fontId="7" fillId="12" borderId="34" xfId="14" applyFont="1" applyFill="1" applyBorder="1" applyAlignment="1">
      <alignment horizontal="center"/>
    </xf>
    <xf numFmtId="0" fontId="7" fillId="12" borderId="27" xfId="9" applyFont="1" applyFill="1" applyBorder="1" applyAlignment="1">
      <alignment horizontal="center"/>
    </xf>
    <xf numFmtId="0" fontId="7" fillId="12" borderId="27" xfId="14" applyFont="1" applyFill="1" applyBorder="1" applyAlignment="1">
      <alignment horizontal="center"/>
    </xf>
    <xf numFmtId="0" fontId="7" fillId="15" borderId="31" xfId="14" applyFont="1" applyFill="1" applyBorder="1" applyAlignment="1">
      <alignment horizontal="center"/>
    </xf>
    <xf numFmtId="0" fontId="7" fillId="15" borderId="34" xfId="14" applyFont="1" applyFill="1" applyBorder="1" applyAlignment="1">
      <alignment horizontal="center"/>
    </xf>
    <xf numFmtId="0" fontId="7" fillId="0" borderId="0" xfId="14" applyFont="1" applyBorder="1" applyAlignment="1"/>
    <xf numFmtId="0" fontId="7" fillId="0" borderId="0" xfId="9" applyFont="1" applyFill="1" applyBorder="1" applyAlignment="1">
      <alignment horizontal="left"/>
    </xf>
    <xf numFmtId="0" fontId="7" fillId="0" borderId="0" xfId="9" applyFont="1" applyBorder="1" applyAlignment="1">
      <alignment horizontal="center"/>
    </xf>
    <xf numFmtId="0" fontId="7" fillId="0" borderId="0" xfId="14" applyFont="1" applyFill="1" applyBorder="1" applyAlignment="1">
      <alignment horizontal="center"/>
    </xf>
    <xf numFmtId="0" fontId="14" fillId="0" borderId="0" xfId="9" applyFont="1" applyFill="1" applyBorder="1" applyAlignment="1">
      <alignment horizontal="right" vertical="center"/>
    </xf>
    <xf numFmtId="166" fontId="7" fillId="0" borderId="1" xfId="9" applyNumberFormat="1" applyFont="1" applyBorder="1" applyAlignment="1">
      <alignment horizontal="center"/>
    </xf>
    <xf numFmtId="166" fontId="7" fillId="0" borderId="45" xfId="9" applyNumberFormat="1" applyFont="1" applyBorder="1" applyAlignment="1">
      <alignment horizontal="center"/>
    </xf>
    <xf numFmtId="166" fontId="7" fillId="0" borderId="32" xfId="9" applyNumberFormat="1" applyFont="1" applyBorder="1" applyAlignment="1">
      <alignment horizontal="center"/>
    </xf>
    <xf numFmtId="0" fontId="33" fillId="0" borderId="0" xfId="6" applyFont="1" applyFill="1" applyAlignment="1">
      <alignment horizontal="right"/>
    </xf>
    <xf numFmtId="164" fontId="7" fillId="0" borderId="47" xfId="7" applyNumberFormat="1" applyFont="1" applyFill="1" applyBorder="1" applyAlignment="1">
      <alignment horizontal="center"/>
    </xf>
    <xf numFmtId="164" fontId="7" fillId="0" borderId="49" xfId="7" applyNumberFormat="1" applyFont="1" applyFill="1" applyBorder="1" applyAlignment="1">
      <alignment horizontal="center"/>
    </xf>
    <xf numFmtId="0" fontId="0" fillId="0" borderId="1" xfId="13" applyFont="1" applyBorder="1" applyAlignment="1">
      <alignment horizontal="center"/>
    </xf>
    <xf numFmtId="0" fontId="14" fillId="0" borderId="1" xfId="16" applyFont="1" applyFill="1" applyBorder="1" applyAlignment="1"/>
    <xf numFmtId="0" fontId="21" fillId="11" borderId="1" xfId="1" applyFont="1" applyFill="1" applyBorder="1" applyAlignment="1"/>
    <xf numFmtId="0" fontId="21" fillId="11" borderId="1" xfId="1" applyFont="1" applyFill="1" applyBorder="1" applyAlignment="1">
      <alignment vertical="top"/>
    </xf>
    <xf numFmtId="0" fontId="7" fillId="11" borderId="1" xfId="6" applyNumberFormat="1" applyFont="1" applyFill="1" applyBorder="1" applyAlignment="1"/>
    <xf numFmtId="49" fontId="7" fillId="11" borderId="1" xfId="6" applyNumberFormat="1" applyFont="1" applyFill="1" applyBorder="1" applyAlignment="1"/>
    <xf numFmtId="0" fontId="21" fillId="11" borderId="1" xfId="1" applyNumberFormat="1" applyFont="1" applyFill="1" applyBorder="1" applyAlignment="1"/>
    <xf numFmtId="164" fontId="17" fillId="0" borderId="48" xfId="13" applyNumberFormat="1" applyFont="1" applyFill="1" applyBorder="1" applyAlignment="1">
      <alignment horizontal="center"/>
    </xf>
    <xf numFmtId="164" fontId="17" fillId="0" borderId="50" xfId="13" applyNumberFormat="1" applyFont="1" applyFill="1" applyBorder="1" applyAlignment="1">
      <alignment horizontal="center"/>
    </xf>
    <xf numFmtId="0" fontId="29" fillId="16" borderId="0" xfId="13" applyFont="1" applyFill="1" applyBorder="1" applyAlignment="1">
      <alignment horizontal="center"/>
    </xf>
    <xf numFmtId="0" fontId="7" fillId="14" borderId="31" xfId="14" applyFont="1" applyFill="1" applyBorder="1" applyAlignment="1">
      <alignment horizontal="center"/>
    </xf>
    <xf numFmtId="0" fontId="0" fillId="9" borderId="0" xfId="10" applyFont="1" applyFill="1" applyBorder="1" applyAlignment="1">
      <alignment horizontal="right"/>
    </xf>
    <xf numFmtId="0" fontId="15" fillId="18" borderId="1" xfId="13" applyFont="1" applyFill="1" applyBorder="1" applyAlignment="1"/>
    <xf numFmtId="0" fontId="0" fillId="0" borderId="0" xfId="13" applyFont="1" applyBorder="1" applyAlignment="1">
      <alignment horizontal="center"/>
    </xf>
    <xf numFmtId="0" fontId="7" fillId="0" borderId="51" xfId="16" applyFont="1" applyBorder="1"/>
    <xf numFmtId="0" fontId="0" fillId="0" borderId="0" xfId="16" applyFont="1" applyFill="1"/>
    <xf numFmtId="0" fontId="7" fillId="0" borderId="3" xfId="16" applyFont="1" applyFill="1" applyBorder="1"/>
    <xf numFmtId="0" fontId="0" fillId="0" borderId="10" xfId="16" applyFont="1" applyFill="1" applyBorder="1"/>
    <xf numFmtId="0" fontId="7" fillId="0" borderId="0" xfId="16" applyFont="1" applyFill="1"/>
    <xf numFmtId="0" fontId="0" fillId="0" borderId="1" xfId="0" applyBorder="1" applyAlignment="1">
      <alignment horizontal="center"/>
    </xf>
    <xf numFmtId="0" fontId="7" fillId="0" borderId="43" xfId="13" applyFont="1" applyBorder="1" applyAlignment="1"/>
    <xf numFmtId="0" fontId="34" fillId="0" borderId="15" xfId="16" applyFont="1" applyBorder="1"/>
    <xf numFmtId="0" fontId="20" fillId="0" borderId="0" xfId="0" applyFont="1" applyAlignment="1">
      <alignment wrapText="1"/>
    </xf>
    <xf numFmtId="0" fontId="20" fillId="0" borderId="0" xfId="0" applyFont="1" applyFill="1" applyAlignment="1">
      <alignment wrapText="1"/>
    </xf>
    <xf numFmtId="0" fontId="0" fillId="0" borderId="0" xfId="6" applyFont="1"/>
    <xf numFmtId="0" fontId="15" fillId="0" borderId="1" xfId="13" applyNumberFormat="1" applyFont="1" applyFill="1" applyBorder="1" applyAlignment="1">
      <alignment horizontal="center"/>
    </xf>
    <xf numFmtId="0" fontId="23" fillId="0" borderId="0" xfId="6" applyFont="1" applyFill="1"/>
    <xf numFmtId="0" fontId="35" fillId="0" borderId="0" xfId="6" applyFont="1" applyFill="1"/>
    <xf numFmtId="0" fontId="0" fillId="0" borderId="10" xfId="16" applyFont="1" applyBorder="1"/>
    <xf numFmtId="0" fontId="16" fillId="3" borderId="0" xfId="13" applyFont="1" applyFill="1" applyBorder="1" applyAlignment="1">
      <alignment horizontal="center"/>
    </xf>
    <xf numFmtId="0" fontId="16" fillId="0" borderId="1" xfId="13" applyFont="1" applyFill="1" applyBorder="1" applyAlignment="1">
      <alignment horizontal="center"/>
    </xf>
    <xf numFmtId="0" fontId="7" fillId="0" borderId="1" xfId="13" applyFont="1" applyBorder="1" applyAlignment="1"/>
    <xf numFmtId="0" fontId="7" fillId="3" borderId="1" xfId="13" applyFont="1" applyFill="1" applyBorder="1" applyAlignment="1"/>
    <xf numFmtId="0" fontId="17" fillId="0" borderId="1" xfId="13" applyNumberFormat="1" applyFont="1" applyFill="1" applyBorder="1" applyAlignment="1">
      <alignment horizontal="center"/>
    </xf>
    <xf numFmtId="0" fontId="17" fillId="0" borderId="1" xfId="13" applyNumberFormat="1" applyFont="1" applyFill="1" applyBorder="1" applyAlignment="1"/>
    <xf numFmtId="0" fontId="35" fillId="0" borderId="1" xfId="13" applyNumberFormat="1" applyFont="1" applyFill="1" applyBorder="1" applyAlignment="1"/>
    <xf numFmtId="0" fontId="36" fillId="0" borderId="1" xfId="13" applyNumberFormat="1" applyFont="1" applyFill="1" applyBorder="1" applyAlignment="1">
      <alignment horizontal="center"/>
    </xf>
    <xf numFmtId="17" fontId="14" fillId="3" borderId="0" xfId="6" quotePrefix="1" applyNumberFormat="1" applyFont="1" applyFill="1" applyAlignment="1"/>
    <xf numFmtId="0" fontId="7" fillId="3" borderId="0" xfId="6" applyNumberFormat="1" applyFont="1" applyFill="1" applyAlignment="1"/>
    <xf numFmtId="0" fontId="14" fillId="3" borderId="0" xfId="6" quotePrefix="1" applyNumberFormat="1" applyFont="1" applyFill="1" applyAlignment="1"/>
    <xf numFmtId="0" fontId="28" fillId="2" borderId="1" xfId="1" applyFont="1" applyFill="1" applyBorder="1" applyAlignment="1"/>
    <xf numFmtId="0" fontId="7" fillId="18" borderId="1" xfId="16" applyFont="1" applyFill="1" applyBorder="1" applyAlignment="1">
      <alignment horizontal="center"/>
    </xf>
    <xf numFmtId="0" fontId="8" fillId="5" borderId="7" xfId="1" applyFill="1" applyBorder="1" applyAlignment="1">
      <alignment horizontal="center"/>
    </xf>
    <xf numFmtId="0" fontId="8" fillId="0" borderId="7" xfId="1" applyFill="1" applyBorder="1" applyAlignment="1">
      <alignment horizontal="center"/>
    </xf>
    <xf numFmtId="0" fontId="7" fillId="6" borderId="19" xfId="13" applyFont="1" applyFill="1" applyBorder="1" applyAlignment="1">
      <alignment horizontal="center"/>
    </xf>
    <xf numFmtId="0" fontId="7" fillId="0" borderId="19" xfId="13" applyFont="1" applyFill="1" applyBorder="1" applyAlignment="1">
      <alignment horizontal="center"/>
    </xf>
    <xf numFmtId="0" fontId="0" fillId="0" borderId="0" xfId="6" applyFont="1" applyAlignment="1">
      <alignment horizontal="right"/>
    </xf>
    <xf numFmtId="0" fontId="7" fillId="0" borderId="11" xfId="16" applyFont="1" applyBorder="1"/>
    <xf numFmtId="0" fontId="7" fillId="0" borderId="52" xfId="16" applyFont="1" applyBorder="1"/>
    <xf numFmtId="0" fontId="7" fillId="0" borderId="9" xfId="16" applyFont="1" applyBorder="1"/>
    <xf numFmtId="0" fontId="7" fillId="0" borderId="53" xfId="16" applyFont="1" applyBorder="1"/>
    <xf numFmtId="0" fontId="7" fillId="0" borderId="53" xfId="16" applyFont="1" applyFill="1" applyBorder="1"/>
    <xf numFmtId="0" fontId="17" fillId="0" borderId="0" xfId="6" applyFont="1"/>
    <xf numFmtId="0" fontId="34" fillId="0" borderId="9" xfId="16" applyFont="1" applyBorder="1"/>
    <xf numFmtId="0" fontId="34" fillId="0" borderId="10" xfId="16" applyFont="1" applyBorder="1"/>
    <xf numFmtId="0" fontId="14" fillId="0" borderId="1" xfId="8" quotePrefix="1" applyNumberFormat="1" applyFont="1" applyBorder="1" applyAlignment="1">
      <alignment horizontal="right"/>
    </xf>
    <xf numFmtId="0" fontId="7" fillId="0" borderId="1" xfId="16" applyNumberFormat="1" applyFont="1" applyFill="1" applyBorder="1" applyAlignment="1">
      <alignment horizontal="center"/>
    </xf>
    <xf numFmtId="0" fontId="34" fillId="0" borderId="1" xfId="8" applyFont="1" applyFill="1" applyBorder="1" applyAlignment="1"/>
    <xf numFmtId="0" fontId="38" fillId="0" borderId="0" xfId="6" applyFont="1"/>
    <xf numFmtId="0" fontId="0" fillId="0" borderId="0" xfId="16" applyFont="1" applyFill="1" applyBorder="1"/>
    <xf numFmtId="0" fontId="7" fillId="0" borderId="51" xfId="16" applyFont="1" applyFill="1" applyBorder="1"/>
    <xf numFmtId="0" fontId="0" fillId="0" borderId="9" xfId="16" applyFont="1" applyFill="1" applyBorder="1"/>
    <xf numFmtId="0" fontId="7" fillId="0" borderId="0" xfId="16" applyFont="1" applyFill="1" applyBorder="1"/>
    <xf numFmtId="0" fontId="0" fillId="0" borderId="1" xfId="8" applyNumberFormat="1" applyFont="1" applyFill="1" applyBorder="1" applyAlignment="1">
      <alignment wrapText="1"/>
    </xf>
    <xf numFmtId="0" fontId="14" fillId="0" borderId="1" xfId="8" quotePrefix="1" applyFont="1" applyBorder="1" applyAlignment="1">
      <alignment horizontal="right"/>
    </xf>
    <xf numFmtId="0" fontId="14" fillId="0" borderId="0" xfId="16" applyFont="1" applyFill="1" applyAlignment="1">
      <alignment horizontal="right"/>
    </xf>
    <xf numFmtId="0" fontId="4" fillId="0" borderId="54" xfId="13" applyFont="1" applyFill="1" applyBorder="1" applyAlignment="1"/>
    <xf numFmtId="0" fontId="4" fillId="0" borderId="43" xfId="13" applyFont="1" applyFill="1" applyBorder="1" applyAlignment="1"/>
    <xf numFmtId="0" fontId="4" fillId="0" borderId="43" xfId="13" applyFont="1" applyBorder="1" applyAlignment="1">
      <alignment horizontal="center"/>
    </xf>
    <xf numFmtId="0" fontId="14" fillId="0" borderId="52" xfId="13" applyFont="1" applyBorder="1" applyAlignment="1"/>
    <xf numFmtId="0" fontId="7" fillId="0" borderId="51" xfId="13" applyFont="1" applyBorder="1" applyAlignment="1"/>
    <xf numFmtId="0" fontId="0" fillId="5" borderId="51" xfId="13" applyFont="1" applyFill="1" applyBorder="1" applyAlignment="1">
      <alignment horizontal="right"/>
    </xf>
    <xf numFmtId="0" fontId="0" fillId="0" borderId="51" xfId="0" applyFont="1" applyBorder="1"/>
    <xf numFmtId="0" fontId="7" fillId="0" borderId="43" xfId="13" applyFont="1" applyBorder="1" applyAlignment="1">
      <alignment horizontal="center"/>
    </xf>
    <xf numFmtId="0" fontId="7" fillId="0" borderId="46" xfId="7" applyFont="1" applyFill="1" applyBorder="1" applyAlignment="1"/>
    <xf numFmtId="0" fontId="14" fillId="0" borderId="0" xfId="16" applyFont="1" applyFill="1"/>
    <xf numFmtId="0" fontId="19" fillId="0" borderId="0" xfId="16" applyFont="1" applyFill="1"/>
    <xf numFmtId="0" fontId="21" fillId="0" borderId="0" xfId="16" applyFont="1" applyFill="1"/>
    <xf numFmtId="0" fontId="14" fillId="0" borderId="0" xfId="13" applyFont="1" applyFill="1" applyBorder="1" applyAlignment="1"/>
    <xf numFmtId="0" fontId="30" fillId="3" borderId="1" xfId="13" applyFont="1" applyFill="1" applyBorder="1" applyAlignment="1">
      <alignment horizontal="center"/>
    </xf>
    <xf numFmtId="0" fontId="17" fillId="0" borderId="1" xfId="13" applyFont="1" applyFill="1" applyBorder="1" applyAlignment="1">
      <alignment horizontal="center"/>
    </xf>
    <xf numFmtId="0" fontId="7" fillId="3" borderId="0" xfId="6" applyFont="1" applyFill="1"/>
    <xf numFmtId="0" fontId="0" fillId="0" borderId="0" xfId="6" applyFont="1" applyBorder="1"/>
    <xf numFmtId="0" fontId="0" fillId="0" borderId="1" xfId="0" applyFont="1" applyFill="1" applyBorder="1"/>
    <xf numFmtId="0" fontId="7" fillId="8" borderId="1" xfId="13" applyFont="1" applyFill="1" applyBorder="1" applyAlignment="1">
      <alignment horizontal="center"/>
    </xf>
    <xf numFmtId="0" fontId="7" fillId="8" borderId="1" xfId="13" applyNumberFormat="1" applyFont="1" applyFill="1" applyBorder="1" applyAlignment="1">
      <alignment horizontal="center"/>
    </xf>
    <xf numFmtId="0" fontId="0" fillId="0" borderId="0" xfId="0" applyAlignment="1">
      <alignment horizontal="center"/>
    </xf>
    <xf numFmtId="0" fontId="15" fillId="0" borderId="1" xfId="8" applyFont="1" applyFill="1" applyBorder="1" applyAlignment="1">
      <alignment horizontal="center"/>
    </xf>
    <xf numFmtId="0" fontId="0" fillId="0" borderId="1" xfId="8" applyFont="1" applyFill="1" applyBorder="1" applyAlignment="1">
      <alignment horizontal="center" wrapText="1"/>
    </xf>
    <xf numFmtId="0" fontId="0" fillId="0" borderId="1" xfId="13" applyFont="1" applyFill="1" applyBorder="1" applyAlignment="1">
      <alignment horizontal="center"/>
    </xf>
    <xf numFmtId="0" fontId="15" fillId="0" borderId="1" xfId="8" applyFont="1" applyFill="1" applyBorder="1" applyAlignment="1"/>
    <xf numFmtId="0" fontId="0" fillId="2" borderId="1" xfId="13" applyFont="1" applyFill="1" applyBorder="1" applyAlignment="1">
      <alignment horizontal="center"/>
    </xf>
    <xf numFmtId="0" fontId="7" fillId="2" borderId="1" xfId="13" applyFont="1" applyFill="1" applyBorder="1" applyAlignment="1">
      <alignment horizontal="center"/>
    </xf>
    <xf numFmtId="0" fontId="0" fillId="14" borderId="1" xfId="13" applyFont="1" applyFill="1" applyBorder="1" applyAlignment="1">
      <alignment horizontal="center"/>
    </xf>
    <xf numFmtId="0" fontId="0" fillId="14" borderId="1" xfId="8" applyFont="1" applyFill="1" applyBorder="1" applyAlignment="1">
      <alignment horizontal="center"/>
    </xf>
    <xf numFmtId="0" fontId="36" fillId="18" borderId="1" xfId="13" applyNumberFormat="1" applyFont="1" applyFill="1" applyBorder="1" applyAlignment="1">
      <alignment horizontal="center"/>
    </xf>
    <xf numFmtId="0" fontId="0" fillId="0" borderId="0" xfId="0" applyAlignment="1"/>
    <xf numFmtId="0" fontId="0" fillId="0" borderId="1" xfId="0" applyFont="1" applyFill="1" applyBorder="1" applyAlignment="1">
      <alignment horizontal="center"/>
    </xf>
    <xf numFmtId="0" fontId="0" fillId="2" borderId="0" xfId="0" applyFill="1"/>
    <xf numFmtId="0" fontId="21" fillId="5" borderId="54" xfId="1" applyFont="1" applyFill="1" applyBorder="1"/>
    <xf numFmtId="0" fontId="7" fillId="6" borderId="36" xfId="13" applyFont="1" applyFill="1" applyBorder="1" applyAlignment="1">
      <alignment horizontal="center"/>
    </xf>
    <xf numFmtId="0" fontId="8" fillId="5" borderId="30" xfId="1" applyFill="1" applyBorder="1" applyAlignment="1">
      <alignment horizontal="center"/>
    </xf>
    <xf numFmtId="0" fontId="15" fillId="0" borderId="1" xfId="13" applyNumberFormat="1" applyFont="1" applyFill="1" applyBorder="1" applyAlignment="1"/>
    <xf numFmtId="0" fontId="14" fillId="16" borderId="1" xfId="13" applyFont="1" applyFill="1" applyBorder="1" applyAlignment="1">
      <alignment horizontal="center"/>
    </xf>
    <xf numFmtId="0" fontId="14" fillId="16" borderId="1" xfId="13" applyFont="1" applyFill="1" applyBorder="1" applyAlignment="1"/>
    <xf numFmtId="0" fontId="14" fillId="16" borderId="1" xfId="13" applyNumberFormat="1" applyFont="1" applyFill="1" applyBorder="1" applyAlignment="1">
      <alignment horizontal="center"/>
    </xf>
    <xf numFmtId="0" fontId="0" fillId="2" borderId="1" xfId="0" applyFill="1" applyBorder="1"/>
    <xf numFmtId="0" fontId="14" fillId="0" borderId="0" xfId="0" applyFont="1"/>
    <xf numFmtId="0" fontId="0" fillId="0" borderId="0" xfId="0" quotePrefix="1"/>
    <xf numFmtId="0" fontId="0" fillId="0" borderId="0" xfId="0" applyFont="1" applyAlignment="1">
      <alignment horizontal="center"/>
    </xf>
    <xf numFmtId="0" fontId="15" fillId="0" borderId="0" xfId="13" applyFont="1" applyBorder="1" applyAlignment="1">
      <alignment horizontal="center"/>
    </xf>
    <xf numFmtId="0" fontId="23" fillId="0" borderId="0" xfId="13" applyFont="1" applyBorder="1" applyAlignment="1">
      <alignment horizontal="center"/>
    </xf>
    <xf numFmtId="0" fontId="40" fillId="0" borderId="0" xfId="0" applyFont="1"/>
    <xf numFmtId="0" fontId="23" fillId="0" borderId="0" xfId="0" applyFont="1" applyFill="1"/>
    <xf numFmtId="0" fontId="0" fillId="16" borderId="0" xfId="0" applyFont="1" applyFill="1"/>
    <xf numFmtId="0" fontId="0" fillId="3" borderId="0" xfId="0" applyFont="1" applyFill="1"/>
    <xf numFmtId="0" fontId="20" fillId="3" borderId="0" xfId="13" applyFont="1" applyFill="1" applyBorder="1" applyAlignment="1"/>
    <xf numFmtId="0" fontId="7" fillId="0" borderId="0" xfId="16" applyFont="1" applyBorder="1" applyAlignment="1"/>
    <xf numFmtId="0" fontId="7" fillId="3" borderId="6" xfId="6" applyFont="1" applyFill="1" applyBorder="1"/>
    <xf numFmtId="0" fontId="7" fillId="3" borderId="6" xfId="6" applyFont="1" applyFill="1" applyBorder="1" applyAlignment="1">
      <alignment horizontal="center"/>
    </xf>
    <xf numFmtId="0" fontId="7" fillId="3" borderId="6" xfId="6" applyFont="1" applyFill="1" applyBorder="1" applyAlignment="1"/>
    <xf numFmtId="0" fontId="7" fillId="0" borderId="6" xfId="16" applyFont="1" applyBorder="1"/>
    <xf numFmtId="0" fontId="7" fillId="0" borderId="6" xfId="6" applyFont="1" applyBorder="1"/>
    <xf numFmtId="0" fontId="7" fillId="0" borderId="6" xfId="16" applyFont="1" applyBorder="1" applyAlignment="1"/>
    <xf numFmtId="0" fontId="14" fillId="0" borderId="6" xfId="6" applyFont="1" applyBorder="1" applyAlignment="1">
      <alignment horizontal="center"/>
    </xf>
    <xf numFmtId="0" fontId="14" fillId="0" borderId="6" xfId="16" applyFont="1" applyBorder="1" applyAlignment="1">
      <alignment horizontal="center"/>
    </xf>
    <xf numFmtId="0" fontId="7" fillId="3" borderId="0" xfId="6" applyFont="1" applyFill="1" applyAlignment="1"/>
    <xf numFmtId="0" fontId="7" fillId="0" borderId="0" xfId="6" applyFont="1" applyAlignment="1"/>
    <xf numFmtId="0" fontId="7" fillId="0" borderId="6" xfId="6" applyFont="1" applyBorder="1" applyAlignment="1"/>
    <xf numFmtId="0" fontId="7" fillId="0" borderId="6" xfId="6" applyFont="1" applyFill="1" applyBorder="1"/>
    <xf numFmtId="0" fontId="7" fillId="0" borderId="6" xfId="6" applyFont="1" applyFill="1" applyBorder="1" applyAlignment="1"/>
    <xf numFmtId="0" fontId="7" fillId="0" borderId="6" xfId="6" applyFont="1" applyFill="1" applyBorder="1" applyAlignment="1">
      <alignment horizontal="center"/>
    </xf>
    <xf numFmtId="0" fontId="7" fillId="0" borderId="6" xfId="16" applyFont="1" applyFill="1" applyBorder="1"/>
    <xf numFmtId="0" fontId="7" fillId="0" borderId="6" xfId="16" applyFont="1" applyFill="1" applyBorder="1" applyAlignment="1"/>
    <xf numFmtId="0" fontId="14" fillId="3" borderId="0" xfId="0" applyFont="1" applyFill="1"/>
    <xf numFmtId="0" fontId="7" fillId="0" borderId="6" xfId="6" applyFont="1" applyBorder="1" applyAlignment="1">
      <alignment horizontal="center"/>
    </xf>
    <xf numFmtId="0" fontId="14" fillId="0" borderId="6" xfId="6" applyFont="1" applyFill="1" applyBorder="1" applyAlignment="1">
      <alignment horizontal="center"/>
    </xf>
    <xf numFmtId="0" fontId="41" fillId="0" borderId="0" xfId="6" applyFont="1" applyAlignment="1"/>
    <xf numFmtId="0" fontId="41" fillId="0" borderId="0" xfId="6" applyFont="1" applyAlignment="1">
      <alignment horizontal="right"/>
    </xf>
    <xf numFmtId="0" fontId="41" fillId="0" borderId="0" xfId="6" applyFont="1"/>
    <xf numFmtId="0" fontId="14" fillId="8" borderId="6" xfId="6" applyFont="1" applyFill="1" applyBorder="1" applyAlignment="1">
      <alignment horizontal="center"/>
    </xf>
    <xf numFmtId="0" fontId="0" fillId="0" borderId="6" xfId="6" applyFont="1" applyBorder="1" applyAlignment="1"/>
    <xf numFmtId="0" fontId="32" fillId="0" borderId="0" xfId="6" applyFont="1"/>
    <xf numFmtId="0" fontId="8" fillId="0" borderId="1" xfId="1" applyBorder="1" applyAlignment="1"/>
    <xf numFmtId="0" fontId="8" fillId="5" borderId="1" xfId="1" applyFill="1" applyBorder="1" applyAlignment="1"/>
    <xf numFmtId="0" fontId="8" fillId="0" borderId="1" xfId="1" applyFill="1" applyBorder="1" applyAlignment="1"/>
    <xf numFmtId="0" fontId="40" fillId="0" borderId="0" xfId="0" quotePrefix="1" applyFont="1"/>
    <xf numFmtId="0" fontId="7" fillId="19" borderId="0" xfId="13" applyFont="1" applyFill="1" applyBorder="1" applyAlignment="1">
      <alignment horizontal="center"/>
    </xf>
    <xf numFmtId="0" fontId="23" fillId="0" borderId="0" xfId="0" applyFont="1"/>
    <xf numFmtId="0" fontId="23" fillId="0" borderId="0" xfId="0" quotePrefix="1" applyFont="1"/>
    <xf numFmtId="0" fontId="17" fillId="0" borderId="0" xfId="13" applyFont="1" applyBorder="1" applyAlignment="1">
      <alignment horizontal="center"/>
    </xf>
    <xf numFmtId="164" fontId="7" fillId="0" borderId="0" xfId="6" applyNumberFormat="1" applyFont="1" applyAlignment="1">
      <alignment horizontal="center"/>
    </xf>
    <xf numFmtId="164" fontId="7" fillId="11" borderId="1" xfId="6" applyNumberFormat="1" applyFont="1" applyFill="1" applyBorder="1" applyAlignment="1">
      <alignment horizontal="center"/>
    </xf>
    <xf numFmtId="164" fontId="7" fillId="0" borderId="0" xfId="6" applyNumberFormat="1" applyFont="1" applyFill="1" applyAlignment="1">
      <alignment horizontal="center"/>
    </xf>
    <xf numFmtId="0" fontId="7" fillId="0" borderId="0" xfId="6" applyFont="1" applyFill="1"/>
    <xf numFmtId="0" fontId="0" fillId="0" borderId="0" xfId="6" applyFont="1" applyFill="1"/>
    <xf numFmtId="0" fontId="7" fillId="0" borderId="0" xfId="16" applyFont="1" applyFill="1" applyAlignment="1"/>
    <xf numFmtId="20" fontId="40" fillId="0" borderId="1" xfId="16" applyNumberFormat="1" applyFont="1" applyFill="1" applyBorder="1" applyAlignment="1">
      <alignment horizontal="center"/>
    </xf>
    <xf numFmtId="0" fontId="0" fillId="0" borderId="0" xfId="16" applyFont="1" applyAlignment="1">
      <alignment horizontal="left"/>
    </xf>
    <xf numFmtId="0" fontId="7" fillId="2" borderId="0" xfId="16" applyFont="1" applyFill="1" applyAlignment="1">
      <alignment horizontal="left"/>
    </xf>
    <xf numFmtId="0" fontId="7" fillId="2" borderId="11" xfId="16" applyFont="1" applyFill="1" applyBorder="1" applyAlignment="1">
      <alignment horizontal="left"/>
    </xf>
    <xf numFmtId="0" fontId="21" fillId="0" borderId="1" xfId="1" applyFont="1" applyFill="1" applyBorder="1" applyAlignment="1"/>
    <xf numFmtId="0" fontId="38" fillId="20" borderId="1" xfId="13" applyFont="1" applyFill="1" applyBorder="1" applyAlignment="1"/>
    <xf numFmtId="0" fontId="32" fillId="0" borderId="0" xfId="0" applyFont="1"/>
    <xf numFmtId="0" fontId="14" fillId="0" borderId="1" xfId="16" applyFont="1" applyBorder="1"/>
    <xf numFmtId="0" fontId="14" fillId="0" borderId="1" xfId="16" applyFont="1" applyBorder="1" applyAlignment="1">
      <alignment horizontal="center"/>
    </xf>
    <xf numFmtId="0" fontId="0" fillId="0" borderId="1" xfId="0" applyBorder="1" applyAlignment="1">
      <alignment wrapText="1"/>
    </xf>
    <xf numFmtId="0" fontId="0" fillId="0" borderId="1" xfId="16" applyFont="1" applyBorder="1" applyAlignment="1">
      <alignment wrapText="1"/>
    </xf>
    <xf numFmtId="0" fontId="7" fillId="0" borderId="0" xfId="16" applyFont="1" applyBorder="1" applyAlignment="1">
      <alignment horizontal="right"/>
    </xf>
    <xf numFmtId="49" fontId="0" fillId="0" borderId="0" xfId="16" applyNumberFormat="1" applyFont="1" applyBorder="1" applyAlignment="1">
      <alignment horizontal="center"/>
    </xf>
    <xf numFmtId="0" fontId="0" fillId="0" borderId="0" xfId="16" applyFont="1" applyBorder="1" applyAlignment="1">
      <alignment horizontal="right"/>
    </xf>
    <xf numFmtId="0" fontId="14" fillId="0" borderId="1" xfId="16" applyFont="1" applyBorder="1" applyAlignment="1">
      <alignment horizontal="center" vertical="center" wrapText="1"/>
    </xf>
    <xf numFmtId="0" fontId="14" fillId="2" borderId="1" xfId="8" applyFont="1" applyFill="1" applyBorder="1" applyAlignment="1">
      <alignment wrapText="1"/>
    </xf>
    <xf numFmtId="0" fontId="0" fillId="0" borderId="0" xfId="16" applyFont="1" applyBorder="1"/>
    <xf numFmtId="49" fontId="7" fillId="21" borderId="1" xfId="16" applyNumberFormat="1" applyFont="1" applyFill="1" applyBorder="1" applyAlignment="1">
      <alignment horizontal="center" vertical="center"/>
    </xf>
    <xf numFmtId="49" fontId="4" fillId="0" borderId="1" xfId="16" applyNumberFormat="1" applyFont="1" applyFill="1" applyBorder="1" applyAlignment="1">
      <alignment horizontal="center" vertical="center"/>
    </xf>
    <xf numFmtId="49" fontId="4" fillId="0" borderId="1" xfId="16" applyNumberFormat="1" applyFont="1" applyBorder="1" applyAlignment="1">
      <alignment horizontal="center" vertical="center"/>
    </xf>
    <xf numFmtId="49" fontId="0" fillId="0" borderId="1" xfId="0" applyNumberFormat="1" applyBorder="1" applyAlignment="1">
      <alignment horizontal="center" vertical="center"/>
    </xf>
    <xf numFmtId="49" fontId="0" fillId="21" borderId="1" xfId="0" applyNumberFormat="1" applyFill="1" applyBorder="1" applyAlignment="1">
      <alignment horizontal="center" vertical="center"/>
    </xf>
    <xf numFmtId="49" fontId="0" fillId="0" borderId="1" xfId="16" applyNumberFormat="1" applyFont="1" applyFill="1" applyBorder="1" applyAlignment="1">
      <alignment horizontal="center" vertical="center"/>
    </xf>
    <xf numFmtId="49" fontId="0" fillId="0" borderId="1" xfId="16" applyNumberFormat="1" applyFont="1" applyBorder="1" applyAlignment="1">
      <alignment horizontal="center" vertical="center"/>
    </xf>
    <xf numFmtId="49" fontId="14" fillId="0" borderId="1" xfId="16" applyNumberFormat="1" applyFont="1" applyFill="1" applyBorder="1" applyAlignment="1">
      <alignment horizontal="center" vertical="center"/>
    </xf>
    <xf numFmtId="49" fontId="14" fillId="0" borderId="1" xfId="16"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1" xfId="0" applyNumberFormat="1" applyFont="1" applyFill="1" applyBorder="1" applyAlignment="1">
      <alignment horizontal="center" vertical="center"/>
    </xf>
    <xf numFmtId="49" fontId="0" fillId="23" borderId="1" xfId="16" applyNumberFormat="1" applyFont="1" applyFill="1" applyBorder="1" applyAlignment="1">
      <alignment horizontal="center" vertical="center"/>
    </xf>
    <xf numFmtId="49" fontId="14" fillId="23" borderId="1" xfId="16" applyNumberFormat="1" applyFont="1" applyFill="1" applyBorder="1" applyAlignment="1">
      <alignment horizontal="center" vertical="center"/>
    </xf>
    <xf numFmtId="0" fontId="14" fillId="0" borderId="54" xfId="16" applyFont="1" applyBorder="1" applyAlignment="1">
      <alignment horizontal="center"/>
    </xf>
    <xf numFmtId="49" fontId="0" fillId="0" borderId="54" xfId="16" applyNumberFormat="1" applyFont="1" applyFill="1" applyBorder="1" applyAlignment="1">
      <alignment horizontal="center" vertical="center"/>
    </xf>
    <xf numFmtId="49" fontId="0" fillId="0" borderId="54" xfId="16" applyNumberFormat="1" applyFont="1" applyBorder="1" applyAlignment="1">
      <alignment horizontal="center" vertical="center"/>
    </xf>
    <xf numFmtId="49" fontId="0" fillId="0" borderId="54" xfId="0" applyNumberFormat="1" applyBorder="1" applyAlignment="1">
      <alignment horizontal="center" vertical="center"/>
    </xf>
    <xf numFmtId="49" fontId="0" fillId="21" borderId="54" xfId="0" applyNumberFormat="1" applyFill="1" applyBorder="1" applyAlignment="1">
      <alignment horizontal="center" vertical="center"/>
    </xf>
    <xf numFmtId="0" fontId="14" fillId="0" borderId="32" xfId="16" applyFont="1" applyFill="1" applyBorder="1" applyAlignment="1">
      <alignment horizontal="center"/>
    </xf>
    <xf numFmtId="49" fontId="14" fillId="22" borderId="31" xfId="16" applyNumberFormat="1" applyFont="1" applyFill="1" applyBorder="1" applyAlignment="1">
      <alignment horizontal="center" vertical="center"/>
    </xf>
    <xf numFmtId="0" fontId="14" fillId="0" borderId="32" xfId="16" applyFont="1" applyFill="1" applyBorder="1" applyAlignment="1">
      <alignment horizontal="center" vertical="center"/>
    </xf>
    <xf numFmtId="49" fontId="14" fillId="0" borderId="31" xfId="16" applyNumberFormat="1" applyFont="1" applyFill="1" applyBorder="1" applyAlignment="1">
      <alignment horizontal="center" vertical="center"/>
    </xf>
    <xf numFmtId="0" fontId="14" fillId="0" borderId="31" xfId="16" applyFont="1" applyFill="1" applyBorder="1" applyAlignment="1">
      <alignment horizontal="center"/>
    </xf>
    <xf numFmtId="0" fontId="7" fillId="0" borderId="0" xfId="16" applyFont="1" applyAlignment="1">
      <alignment horizontal="center"/>
    </xf>
    <xf numFmtId="0" fontId="0" fillId="25" borderId="0" xfId="16" applyFont="1" applyFill="1" applyAlignment="1">
      <alignment horizontal="center"/>
    </xf>
    <xf numFmtId="0" fontId="0" fillId="24" borderId="0" xfId="16" applyFont="1" applyFill="1" applyAlignment="1">
      <alignment horizontal="center"/>
    </xf>
    <xf numFmtId="0" fontId="0" fillId="0" borderId="0" xfId="16" applyFont="1" applyFill="1" applyAlignment="1">
      <alignment wrapText="1"/>
    </xf>
    <xf numFmtId="0" fontId="7" fillId="0" borderId="3" xfId="16" applyFont="1" applyFill="1" applyBorder="1" applyAlignment="1">
      <alignment wrapText="1"/>
    </xf>
    <xf numFmtId="0" fontId="0" fillId="0" borderId="10" xfId="16" applyFont="1" applyFill="1" applyBorder="1" applyAlignment="1">
      <alignment wrapText="1"/>
    </xf>
    <xf numFmtId="0" fontId="7" fillId="0" borderId="0" xfId="16" applyFont="1" applyFill="1" applyAlignment="1">
      <alignment wrapText="1"/>
    </xf>
    <xf numFmtId="49" fontId="0" fillId="0" borderId="10" xfId="16" applyNumberFormat="1" applyFont="1" applyFill="1" applyBorder="1" applyAlignment="1">
      <alignment wrapText="1"/>
    </xf>
    <xf numFmtId="49" fontId="0" fillId="0" borderId="0" xfId="16" applyNumberFormat="1" applyFont="1" applyFill="1" applyAlignment="1">
      <alignment wrapText="1"/>
    </xf>
    <xf numFmtId="0" fontId="14" fillId="3" borderId="14" xfId="16" applyFont="1" applyFill="1" applyBorder="1" applyAlignment="1">
      <alignment vertical="top"/>
    </xf>
    <xf numFmtId="0" fontId="7" fillId="3" borderId="14" xfId="16" applyFont="1" applyFill="1" applyBorder="1"/>
    <xf numFmtId="0" fontId="14" fillId="3" borderId="14" xfId="16" applyFont="1" applyFill="1" applyBorder="1"/>
    <xf numFmtId="0" fontId="14" fillId="0" borderId="8" xfId="16" applyFont="1" applyBorder="1"/>
    <xf numFmtId="0" fontId="14" fillId="0" borderId="9" xfId="16" applyFont="1" applyBorder="1"/>
    <xf numFmtId="0" fontId="23" fillId="0" borderId="11" xfId="16" applyFont="1" applyFill="1" applyBorder="1" applyAlignment="1">
      <alignment horizontal="left"/>
    </xf>
    <xf numFmtId="0" fontId="23" fillId="0" borderId="0" xfId="16" applyFont="1" applyFill="1" applyAlignment="1">
      <alignment horizontal="left"/>
    </xf>
    <xf numFmtId="0" fontId="0" fillId="3" borderId="1" xfId="8" applyFont="1" applyFill="1" applyBorder="1" applyAlignment="1">
      <alignment wrapText="1"/>
    </xf>
    <xf numFmtId="0" fontId="0" fillId="4" borderId="1" xfId="8" applyFont="1" applyFill="1" applyBorder="1" applyAlignment="1">
      <alignment wrapText="1"/>
    </xf>
    <xf numFmtId="0" fontId="0" fillId="0" borderId="1" xfId="8" applyFont="1" applyFill="1" applyBorder="1" applyAlignment="1">
      <alignment wrapText="1"/>
    </xf>
    <xf numFmtId="0" fontId="14" fillId="0" borderId="1" xfId="8" applyFont="1" applyBorder="1" applyAlignment="1">
      <alignment horizontal="center" vertical="center"/>
    </xf>
    <xf numFmtId="49" fontId="14" fillId="0" borderId="1" xfId="8" applyNumberFormat="1" applyFont="1" applyBorder="1" applyAlignment="1">
      <alignment horizontal="center" vertical="center"/>
    </xf>
    <xf numFmtId="0" fontId="14" fillId="12" borderId="0" xfId="6" applyFont="1" applyFill="1" applyAlignment="1"/>
    <xf numFmtId="0" fontId="0" fillId="12" borderId="0" xfId="0" applyFont="1" applyFill="1"/>
    <xf numFmtId="0" fontId="14" fillId="12" borderId="0" xfId="6" applyFont="1" applyFill="1" applyAlignment="1">
      <alignment horizontal="center"/>
    </xf>
    <xf numFmtId="0" fontId="7" fillId="12" borderId="0" xfId="0" applyFont="1" applyFill="1"/>
    <xf numFmtId="0" fontId="14" fillId="12" borderId="0" xfId="0" applyFont="1" applyFill="1" applyAlignment="1">
      <alignment horizontal="center"/>
    </xf>
    <xf numFmtId="0" fontId="14" fillId="0" borderId="0" xfId="6" applyFont="1" applyAlignment="1">
      <alignment horizontal="right"/>
    </xf>
    <xf numFmtId="0" fontId="7" fillId="0" borderId="1" xfId="11" applyFont="1" applyBorder="1" applyAlignment="1"/>
    <xf numFmtId="0" fontId="7" fillId="0" borderId="1" xfId="6" applyFont="1" applyBorder="1" applyAlignment="1">
      <alignment horizontal="center"/>
    </xf>
    <xf numFmtId="0" fontId="7" fillId="0" borderId="54" xfId="6" applyFont="1" applyBorder="1" applyAlignment="1">
      <alignment horizontal="center"/>
    </xf>
    <xf numFmtId="49" fontId="0" fillId="0" borderId="43" xfId="6" applyNumberFormat="1" applyFont="1" applyBorder="1" applyAlignment="1">
      <alignment horizontal="center"/>
    </xf>
    <xf numFmtId="0" fontId="7" fillId="0" borderId="46" xfId="6" applyFont="1" applyBorder="1" applyAlignment="1">
      <alignment horizontal="center"/>
    </xf>
    <xf numFmtId="0" fontId="0" fillId="0" borderId="1" xfId="6" applyFont="1" applyBorder="1"/>
    <xf numFmtId="0" fontId="7" fillId="0" borderId="1" xfId="11" applyFont="1" applyFill="1" applyBorder="1" applyAlignment="1"/>
    <xf numFmtId="0" fontId="0" fillId="0" borderId="1" xfId="0" applyFont="1" applyBorder="1"/>
    <xf numFmtId="0" fontId="7" fillId="0" borderId="0" xfId="6" applyFont="1" applyBorder="1" applyAlignment="1">
      <alignment horizontal="center"/>
    </xf>
    <xf numFmtId="49" fontId="7" fillId="0" borderId="0" xfId="6" applyNumberFormat="1" applyFont="1" applyBorder="1" applyAlignment="1">
      <alignment horizontal="center"/>
    </xf>
    <xf numFmtId="0" fontId="7" fillId="0" borderId="0" xfId="11" applyFont="1" applyFill="1" applyBorder="1" applyAlignment="1"/>
    <xf numFmtId="0" fontId="14" fillId="12" borderId="0" xfId="6" applyFont="1" applyFill="1"/>
    <xf numFmtId="0" fontId="14" fillId="0" borderId="46" xfId="6" applyFont="1" applyBorder="1" applyAlignment="1">
      <alignment horizontal="center"/>
    </xf>
    <xf numFmtId="0" fontId="14" fillId="0" borderId="0" xfId="6" applyFont="1" applyFill="1" applyAlignment="1">
      <alignment horizontal="right"/>
    </xf>
    <xf numFmtId="0" fontId="14" fillId="0" borderId="54" xfId="6" applyFont="1" applyBorder="1" applyAlignment="1">
      <alignment horizontal="center"/>
    </xf>
    <xf numFmtId="0" fontId="0" fillId="0" borderId="1" xfId="11" applyFont="1" applyFill="1" applyBorder="1" applyAlignment="1"/>
    <xf numFmtId="0" fontId="19" fillId="0" borderId="0" xfId="6" applyFont="1" applyAlignment="1"/>
    <xf numFmtId="0" fontId="7" fillId="0" borderId="0" xfId="0" applyFont="1" applyBorder="1"/>
    <xf numFmtId="0" fontId="14" fillId="0" borderId="1" xfId="6" applyFont="1" applyBorder="1" applyAlignment="1">
      <alignment horizontal="center"/>
    </xf>
    <xf numFmtId="0" fontId="14" fillId="0" borderId="11" xfId="0" applyFont="1" applyBorder="1"/>
    <xf numFmtId="0" fontId="14" fillId="0" borderId="54" xfId="6" applyFont="1" applyBorder="1" applyAlignment="1"/>
    <xf numFmtId="0" fontId="14" fillId="0" borderId="46" xfId="0" applyFont="1" applyBorder="1" applyAlignment="1">
      <alignment horizontal="right"/>
    </xf>
    <xf numFmtId="49" fontId="7" fillId="0" borderId="11" xfId="6" applyNumberFormat="1" applyFont="1" applyBorder="1" applyAlignment="1"/>
    <xf numFmtId="0" fontId="14" fillId="0" borderId="0" xfId="6" applyFont="1" applyBorder="1" applyAlignment="1">
      <alignment horizontal="right"/>
    </xf>
    <xf numFmtId="0" fontId="7" fillId="0" borderId="1" xfId="6" applyFont="1" applyFill="1" applyBorder="1" applyAlignment="1">
      <alignment horizontal="center"/>
    </xf>
    <xf numFmtId="0" fontId="7" fillId="0" borderId="0" xfId="6" applyFont="1" applyFill="1" applyBorder="1"/>
    <xf numFmtId="0" fontId="7" fillId="0" borderId="0" xfId="6" applyFont="1" applyFill="1" applyBorder="1" applyAlignment="1">
      <alignment horizontal="center"/>
    </xf>
    <xf numFmtId="0" fontId="7" fillId="0" borderId="0" xfId="6" applyNumberFormat="1" applyFont="1" applyFill="1" applyBorder="1" applyAlignment="1">
      <alignment horizontal="center"/>
    </xf>
    <xf numFmtId="0" fontId="7" fillId="0" borderId="43" xfId="6" applyFont="1" applyBorder="1"/>
    <xf numFmtId="0" fontId="7" fillId="0" borderId="43" xfId="6" applyFont="1" applyFill="1" applyBorder="1" applyAlignment="1">
      <alignment horizontal="center"/>
    </xf>
    <xf numFmtId="0" fontId="7" fillId="0" borderId="43" xfId="6" applyNumberFormat="1" applyFont="1" applyFill="1" applyBorder="1" applyAlignment="1">
      <alignment horizontal="center"/>
    </xf>
    <xf numFmtId="0" fontId="7" fillId="0" borderId="43" xfId="0" applyFont="1" applyFill="1" applyBorder="1"/>
    <xf numFmtId="49" fontId="7" fillId="0" borderId="0" xfId="6" applyNumberFormat="1" applyFont="1" applyBorder="1" applyAlignment="1"/>
    <xf numFmtId="0" fontId="0" fillId="0" borderId="11" xfId="16" applyFont="1" applyBorder="1"/>
    <xf numFmtId="0" fontId="7" fillId="0" borderId="52" xfId="16" applyFont="1" applyBorder="1" applyAlignment="1">
      <alignment horizontal="left"/>
    </xf>
    <xf numFmtId="0" fontId="7" fillId="0" borderId="53" xfId="16" applyFont="1" applyBorder="1" applyAlignment="1">
      <alignment horizontal="left"/>
    </xf>
    <xf numFmtId="0" fontId="0" fillId="0" borderId="0" xfId="0" applyFont="1" applyAlignment="1">
      <alignment horizontal="right"/>
    </xf>
    <xf numFmtId="0" fontId="14" fillId="0" borderId="0" xfId="6" applyFont="1"/>
    <xf numFmtId="0" fontId="0" fillId="17" borderId="1" xfId="13" applyFont="1" applyFill="1" applyBorder="1" applyAlignment="1">
      <alignment horizontal="center"/>
    </xf>
    <xf numFmtId="0" fontId="7" fillId="17" borderId="1" xfId="13" applyFont="1" applyFill="1" applyBorder="1" applyAlignment="1"/>
    <xf numFmtId="0" fontId="7" fillId="17" borderId="1" xfId="13" applyNumberFormat="1" applyFont="1" applyFill="1" applyBorder="1" applyAlignment="1">
      <alignment horizontal="center"/>
    </xf>
    <xf numFmtId="0" fontId="0" fillId="17" borderId="1" xfId="13" applyNumberFormat="1" applyFont="1" applyFill="1" applyBorder="1" applyAlignment="1">
      <alignment horizontal="center"/>
    </xf>
    <xf numFmtId="49" fontId="0" fillId="0" borderId="11" xfId="6" applyNumberFormat="1" applyFont="1" applyBorder="1" applyAlignment="1"/>
    <xf numFmtId="0" fontId="0" fillId="0" borderId="1" xfId="0" quotePrefix="1" applyFont="1" applyBorder="1"/>
    <xf numFmtId="0" fontId="0" fillId="0" borderId="1" xfId="0" quotePrefix="1" applyFont="1" applyFill="1" applyBorder="1"/>
    <xf numFmtId="49" fontId="0" fillId="0" borderId="11" xfId="6" applyNumberFormat="1" applyFont="1" applyFill="1" applyBorder="1" applyAlignment="1"/>
    <xf numFmtId="0" fontId="0" fillId="11" borderId="1" xfId="0" quotePrefix="1" applyFont="1" applyFill="1" applyBorder="1"/>
    <xf numFmtId="0" fontId="0" fillId="8" borderId="1" xfId="0" quotePrefix="1" applyFont="1" applyFill="1" applyBorder="1"/>
    <xf numFmtId="0" fontId="7" fillId="2" borderId="1" xfId="6" applyFont="1" applyFill="1" applyBorder="1" applyAlignment="1">
      <alignment horizontal="center"/>
    </xf>
    <xf numFmtId="0" fontId="0" fillId="0" borderId="1" xfId="13" applyFont="1" applyFill="1" applyBorder="1" applyAlignment="1"/>
    <xf numFmtId="0" fontId="0" fillId="0" borderId="1" xfId="11" applyFont="1" applyBorder="1" applyAlignment="1"/>
    <xf numFmtId="0" fontId="7" fillId="0" borderId="51" xfId="16" applyFont="1" applyBorder="1" applyAlignment="1">
      <alignment horizontal="left"/>
    </xf>
    <xf numFmtId="0" fontId="7" fillId="0" borderId="51" xfId="6" applyFont="1" applyBorder="1"/>
    <xf numFmtId="0" fontId="14" fillId="0" borderId="51" xfId="16" applyFont="1" applyBorder="1" applyAlignment="1">
      <alignment horizontal="right"/>
    </xf>
    <xf numFmtId="0" fontId="7" fillId="0" borderId="53" xfId="6" applyFont="1" applyBorder="1"/>
    <xf numFmtId="0" fontId="7" fillId="0" borderId="9" xfId="6" applyFont="1" applyBorder="1"/>
    <xf numFmtId="0" fontId="14" fillId="0" borderId="9" xfId="16" applyFont="1" applyBorder="1" applyAlignment="1">
      <alignment horizontal="right"/>
    </xf>
    <xf numFmtId="0" fontId="7" fillId="0" borderId="10" xfId="6" applyFont="1" applyBorder="1"/>
    <xf numFmtId="0" fontId="0" fillId="0" borderId="55" xfId="16" applyFont="1" applyBorder="1"/>
    <xf numFmtId="0" fontId="0" fillId="0" borderId="1" xfId="0" quotePrefix="1" applyFont="1" applyBorder="1" applyAlignment="1">
      <alignment horizontal="right"/>
    </xf>
    <xf numFmtId="0" fontId="0" fillId="0" borderId="1" xfId="0" quotePrefix="1" applyFont="1" applyFill="1" applyBorder="1" applyAlignment="1">
      <alignment horizontal="right"/>
    </xf>
    <xf numFmtId="0" fontId="7" fillId="0" borderId="43" xfId="0" applyFont="1" applyFill="1" applyBorder="1" applyAlignment="1">
      <alignment horizontal="right"/>
    </xf>
    <xf numFmtId="0" fontId="7" fillId="0" borderId="0" xfId="0" applyFont="1" applyBorder="1" applyAlignment="1">
      <alignment horizontal="right"/>
    </xf>
    <xf numFmtId="0" fontId="7" fillId="23" borderId="1" xfId="6" applyFont="1" applyFill="1" applyBorder="1" applyAlignment="1">
      <alignment horizontal="center"/>
    </xf>
    <xf numFmtId="0" fontId="0" fillId="24" borderId="1" xfId="0" quotePrefix="1" applyFont="1" applyFill="1" applyBorder="1" applyAlignment="1">
      <alignment horizontal="right"/>
    </xf>
    <xf numFmtId="0" fontId="7" fillId="13" borderId="40" xfId="14" applyFont="1" applyFill="1" applyBorder="1" applyAlignment="1"/>
    <xf numFmtId="0" fontId="7" fillId="0" borderId="45" xfId="9" applyFont="1" applyBorder="1" applyAlignment="1">
      <alignment horizontal="center"/>
    </xf>
    <xf numFmtId="0" fontId="7" fillId="0" borderId="1" xfId="14" applyFont="1" applyBorder="1" applyAlignment="1"/>
    <xf numFmtId="0" fontId="0" fillId="0" borderId="1" xfId="9" applyFont="1" applyBorder="1" applyAlignment="1">
      <alignment horizontal="center"/>
    </xf>
    <xf numFmtId="0" fontId="0" fillId="13" borderId="16" xfId="9" applyFont="1" applyFill="1" applyBorder="1" applyAlignment="1">
      <alignment horizontal="center"/>
    </xf>
    <xf numFmtId="0" fontId="0" fillId="13" borderId="35" xfId="14" applyFont="1" applyFill="1" applyBorder="1" applyAlignment="1"/>
    <xf numFmtId="0" fontId="0" fillId="7" borderId="0" xfId="14" applyFont="1" applyFill="1" applyBorder="1" applyAlignment="1">
      <alignment horizontal="left"/>
    </xf>
    <xf numFmtId="0" fontId="0" fillId="11" borderId="32" xfId="14" applyFont="1" applyFill="1" applyBorder="1" applyAlignment="1">
      <alignment horizontal="left"/>
    </xf>
    <xf numFmtId="0" fontId="0" fillId="8" borderId="32" xfId="9" applyFont="1" applyFill="1" applyBorder="1" applyAlignment="1">
      <alignment horizontal="left"/>
    </xf>
    <xf numFmtId="0" fontId="15" fillId="0" borderId="31" xfId="9" applyFont="1" applyBorder="1" applyAlignment="1"/>
    <xf numFmtId="0" fontId="15" fillId="0" borderId="33" xfId="14" applyFont="1" applyFill="1" applyBorder="1" applyAlignment="1"/>
    <xf numFmtId="0" fontId="15" fillId="0" borderId="32" xfId="14" applyFont="1" applyFill="1" applyBorder="1" applyAlignment="1">
      <alignment horizontal="center"/>
    </xf>
    <xf numFmtId="0" fontId="15" fillId="0" borderId="1" xfId="14" applyFont="1" applyFill="1" applyBorder="1" applyAlignment="1">
      <alignment horizontal="center"/>
    </xf>
    <xf numFmtId="0" fontId="15" fillId="0" borderId="16" xfId="14" applyFont="1" applyFill="1" applyBorder="1" applyAlignment="1">
      <alignment horizontal="center"/>
    </xf>
    <xf numFmtId="0" fontId="15" fillId="0" borderId="31" xfId="14" applyFont="1" applyFill="1" applyBorder="1" applyAlignment="1">
      <alignment horizontal="center"/>
    </xf>
    <xf numFmtId="0" fontId="15" fillId="27" borderId="1" xfId="1" applyFont="1" applyFill="1" applyBorder="1" applyAlignment="1"/>
    <xf numFmtId="0" fontId="43" fillId="27" borderId="1" xfId="1" applyFont="1" applyFill="1" applyBorder="1" applyAlignment="1"/>
    <xf numFmtId="0" fontId="7" fillId="27" borderId="1" xfId="1" applyFont="1" applyFill="1" applyBorder="1" applyAlignment="1"/>
    <xf numFmtId="0" fontId="15" fillId="12" borderId="31" xfId="14" applyFont="1" applyFill="1" applyBorder="1" applyAlignment="1">
      <alignment horizontal="center"/>
    </xf>
    <xf numFmtId="0" fontId="7" fillId="3" borderId="1" xfId="16" applyFont="1" applyFill="1" applyBorder="1" applyAlignment="1"/>
    <xf numFmtId="0" fontId="7" fillId="4" borderId="1" xfId="16" applyFont="1" applyFill="1" applyBorder="1" applyAlignment="1"/>
    <xf numFmtId="0" fontId="7" fillId="0" borderId="56" xfId="9" applyFont="1" applyBorder="1" applyAlignment="1">
      <alignment horizontal="center"/>
    </xf>
    <xf numFmtId="0" fontId="7" fillId="0" borderId="14" xfId="9" applyFont="1" applyBorder="1" applyAlignment="1">
      <alignment horizontal="center"/>
    </xf>
    <xf numFmtId="0" fontId="7" fillId="13" borderId="27" xfId="9" applyFont="1" applyFill="1" applyBorder="1" applyAlignment="1"/>
    <xf numFmtId="0" fontId="0" fillId="13" borderId="14" xfId="14" applyFont="1" applyFill="1" applyBorder="1"/>
    <xf numFmtId="0" fontId="7" fillId="13" borderId="28" xfId="14" applyFont="1" applyFill="1" applyBorder="1" applyAlignment="1">
      <alignment horizontal="center"/>
    </xf>
    <xf numFmtId="0" fontId="7" fillId="13" borderId="29" xfId="14" applyFont="1" applyFill="1" applyBorder="1" applyAlignment="1">
      <alignment horizontal="center"/>
    </xf>
    <xf numFmtId="0" fontId="7" fillId="13" borderId="30" xfId="14" applyFont="1" applyFill="1" applyBorder="1" applyAlignment="1">
      <alignment horizontal="center"/>
    </xf>
    <xf numFmtId="0" fontId="7" fillId="13" borderId="27" xfId="14" applyFont="1" applyFill="1" applyBorder="1" applyAlignment="1">
      <alignment horizontal="center"/>
    </xf>
    <xf numFmtId="0" fontId="0" fillId="13" borderId="0" xfId="14" applyFont="1" applyFill="1" applyBorder="1"/>
    <xf numFmtId="0" fontId="7" fillId="13" borderId="59" xfId="9" applyFont="1" applyFill="1" applyBorder="1" applyAlignment="1"/>
    <xf numFmtId="0" fontId="7" fillId="13" borderId="60" xfId="14" applyFont="1" applyFill="1" applyBorder="1" applyAlignment="1"/>
    <xf numFmtId="0" fontId="7" fillId="13" borderId="60" xfId="14" applyFont="1" applyFill="1" applyBorder="1" applyAlignment="1">
      <alignment horizontal="center"/>
    </xf>
    <xf numFmtId="0" fontId="7" fillId="12" borderId="5" xfId="14" applyFont="1" applyFill="1" applyBorder="1" applyAlignment="1">
      <alignment horizontal="center"/>
    </xf>
    <xf numFmtId="0" fontId="7" fillId="13" borderId="5" xfId="14" applyFont="1" applyFill="1" applyBorder="1" applyAlignment="1">
      <alignment horizontal="center"/>
    </xf>
    <xf numFmtId="0" fontId="7" fillId="13" borderId="2" xfId="14" applyFont="1" applyFill="1" applyBorder="1" applyAlignment="1">
      <alignment horizontal="center"/>
    </xf>
    <xf numFmtId="0" fontId="7" fillId="12" borderId="59" xfId="14" applyFont="1" applyFill="1" applyBorder="1" applyAlignment="1">
      <alignment horizontal="center"/>
    </xf>
    <xf numFmtId="0" fontId="7" fillId="13" borderId="59" xfId="14" applyFont="1" applyFill="1" applyBorder="1" applyAlignment="1">
      <alignment horizontal="center"/>
    </xf>
    <xf numFmtId="0" fontId="7" fillId="0" borderId="61" xfId="14" applyFont="1" applyBorder="1" applyAlignment="1"/>
    <xf numFmtId="0" fontId="7" fillId="0" borderId="28" xfId="14" applyFont="1" applyFill="1" applyBorder="1" applyAlignment="1">
      <alignment horizontal="center"/>
    </xf>
    <xf numFmtId="0" fontId="7" fillId="3" borderId="29" xfId="14" applyFont="1" applyFill="1" applyBorder="1" applyAlignment="1">
      <alignment horizontal="center"/>
    </xf>
    <xf numFmtId="0" fontId="7" fillId="0" borderId="29" xfId="14" applyFont="1" applyFill="1" applyBorder="1" applyAlignment="1">
      <alignment horizontal="center"/>
    </xf>
    <xf numFmtId="0" fontId="7" fillId="0" borderId="30" xfId="14" applyFont="1" applyFill="1" applyBorder="1" applyAlignment="1">
      <alignment horizontal="center"/>
    </xf>
    <xf numFmtId="0" fontId="14" fillId="0" borderId="42" xfId="9" applyFont="1" applyFill="1" applyBorder="1" applyAlignment="1">
      <alignment horizontal="center"/>
    </xf>
    <xf numFmtId="0" fontId="7" fillId="13" borderId="27" xfId="14" applyFont="1" applyFill="1" applyBorder="1" applyAlignment="1"/>
    <xf numFmtId="0" fontId="7" fillId="13" borderId="62" xfId="14" applyFont="1" applyFill="1" applyBorder="1" applyAlignment="1"/>
    <xf numFmtId="0" fontId="7" fillId="13" borderId="28" xfId="9" applyFont="1" applyFill="1" applyBorder="1" applyAlignment="1">
      <alignment horizontal="center"/>
    </xf>
    <xf numFmtId="0" fontId="7" fillId="13" borderId="29" xfId="9" applyFont="1" applyFill="1" applyBorder="1" applyAlignment="1">
      <alignment horizontal="center"/>
    </xf>
    <xf numFmtId="0" fontId="7" fillId="13" borderId="30" xfId="9" applyFont="1" applyFill="1" applyBorder="1" applyAlignment="1">
      <alignment horizontal="center"/>
    </xf>
    <xf numFmtId="0" fontId="0" fillId="13" borderId="62" xfId="14" applyFont="1" applyFill="1" applyBorder="1" applyAlignment="1"/>
    <xf numFmtId="0" fontId="7" fillId="13" borderId="27" xfId="9" applyFont="1" applyFill="1" applyBorder="1" applyAlignment="1">
      <alignment horizontal="center"/>
    </xf>
    <xf numFmtId="0" fontId="0" fillId="13" borderId="28" xfId="9" applyFont="1" applyFill="1" applyBorder="1" applyAlignment="1">
      <alignment horizontal="left"/>
    </xf>
    <xf numFmtId="0" fontId="0" fillId="13" borderId="29" xfId="9" applyFont="1" applyFill="1" applyBorder="1" applyAlignment="1">
      <alignment horizontal="center"/>
    </xf>
    <xf numFmtId="0" fontId="0" fillId="13" borderId="30" xfId="9" applyFont="1" applyFill="1" applyBorder="1" applyAlignment="1">
      <alignment horizontal="center"/>
    </xf>
    <xf numFmtId="0" fontId="7" fillId="0" borderId="28" xfId="9" applyFont="1" applyFill="1" applyBorder="1" applyAlignment="1"/>
    <xf numFmtId="0" fontId="7" fillId="0" borderId="28" xfId="14" applyFont="1" applyBorder="1" applyAlignment="1">
      <alignment horizontal="left"/>
    </xf>
    <xf numFmtId="0" fontId="7" fillId="0" borderId="63" xfId="14" applyFont="1" applyBorder="1"/>
    <xf numFmtId="0" fontId="0" fillId="0" borderId="14" xfId="9" applyFont="1" applyBorder="1" applyAlignment="1"/>
    <xf numFmtId="0" fontId="14" fillId="0" borderId="14" xfId="9" applyFont="1" applyBorder="1" applyAlignment="1"/>
    <xf numFmtId="0" fontId="7" fillId="0" borderId="14" xfId="9" applyFont="1" applyFill="1" applyBorder="1" applyAlignment="1">
      <alignment horizontal="center"/>
    </xf>
    <xf numFmtId="0" fontId="7" fillId="0" borderId="56" xfId="14" applyFont="1" applyBorder="1" applyAlignment="1"/>
    <xf numFmtId="0" fontId="14" fillId="0" borderId="56" xfId="9" applyFont="1" applyBorder="1" applyAlignment="1"/>
    <xf numFmtId="0" fontId="7" fillId="0" borderId="56" xfId="9" applyFont="1" applyFill="1" applyBorder="1" applyAlignment="1">
      <alignment horizontal="center"/>
    </xf>
    <xf numFmtId="0" fontId="0" fillId="0" borderId="14" xfId="14" applyFont="1" applyBorder="1" applyAlignment="1"/>
    <xf numFmtId="0" fontId="7" fillId="0" borderId="14" xfId="14" applyFont="1" applyBorder="1" applyAlignment="1"/>
    <xf numFmtId="0" fontId="7" fillId="0" borderId="64" xfId="9" applyFont="1" applyBorder="1" applyAlignment="1"/>
    <xf numFmtId="0" fontId="0" fillId="0" borderId="65" xfId="14" applyFont="1" applyFill="1" applyBorder="1" applyAlignment="1"/>
    <xf numFmtId="0" fontId="0" fillId="0" borderId="65" xfId="14" applyFont="1" applyFill="1" applyBorder="1" applyAlignment="1">
      <alignment horizontal="center"/>
    </xf>
    <xf numFmtId="0" fontId="0" fillId="0" borderId="7" xfId="14" applyFont="1" applyFill="1" applyBorder="1" applyAlignment="1">
      <alignment horizontal="center"/>
    </xf>
    <xf numFmtId="0" fontId="0" fillId="0" borderId="8" xfId="14" applyFont="1" applyFill="1" applyBorder="1" applyAlignment="1">
      <alignment horizontal="center"/>
    </xf>
    <xf numFmtId="0" fontId="14" fillId="12" borderId="64" xfId="14" applyFont="1" applyFill="1" applyBorder="1" applyAlignment="1">
      <alignment horizontal="center"/>
    </xf>
    <xf numFmtId="0" fontId="7" fillId="0" borderId="64" xfId="14" applyFont="1" applyFill="1" applyBorder="1" applyAlignment="1">
      <alignment horizontal="center"/>
    </xf>
    <xf numFmtId="0" fontId="7" fillId="8" borderId="27" xfId="9" applyFont="1" applyFill="1" applyBorder="1" applyAlignment="1"/>
    <xf numFmtId="0" fontId="0" fillId="8" borderId="14" xfId="9" applyFont="1" applyFill="1" applyBorder="1" applyAlignment="1">
      <alignment horizontal="left"/>
    </xf>
    <xf numFmtId="0" fontId="7" fillId="8" borderId="28" xfId="14" applyFont="1" applyFill="1" applyBorder="1" applyAlignment="1">
      <alignment horizontal="center"/>
    </xf>
    <xf numFmtId="0" fontId="7" fillId="8" borderId="29" xfId="14" applyFont="1" applyFill="1" applyBorder="1" applyAlignment="1">
      <alignment horizontal="center"/>
    </xf>
    <xf numFmtId="0" fontId="7" fillId="14" borderId="27" xfId="14" applyFont="1" applyFill="1" applyBorder="1" applyAlignment="1">
      <alignment horizontal="center"/>
    </xf>
    <xf numFmtId="0" fontId="7" fillId="8" borderId="27" xfId="14" applyFont="1" applyFill="1" applyBorder="1" applyAlignment="1">
      <alignment horizontal="center"/>
    </xf>
    <xf numFmtId="0" fontId="0" fillId="0" borderId="21" xfId="9" applyFont="1" applyBorder="1" applyAlignment="1"/>
    <xf numFmtId="0" fontId="14" fillId="0" borderId="21" xfId="9" applyFont="1" applyBorder="1" applyAlignment="1"/>
    <xf numFmtId="0" fontId="7" fillId="0" borderId="21" xfId="9" applyFont="1" applyBorder="1" applyAlignment="1">
      <alignment horizontal="center"/>
    </xf>
    <xf numFmtId="0" fontId="7" fillId="0" borderId="21" xfId="9" applyFont="1" applyFill="1" applyBorder="1" applyAlignment="1">
      <alignment horizontal="center"/>
    </xf>
    <xf numFmtId="0" fontId="0" fillId="0" borderId="14" xfId="9" applyFont="1" applyBorder="1" applyAlignment="1">
      <alignment horizontal="center"/>
    </xf>
    <xf numFmtId="0" fontId="0" fillId="0" borderId="58" xfId="9" applyFont="1" applyFill="1" applyBorder="1" applyAlignment="1">
      <alignment horizontal="center"/>
    </xf>
    <xf numFmtId="0" fontId="7" fillId="0" borderId="64" xfId="14" applyFont="1" applyBorder="1" applyAlignment="1"/>
    <xf numFmtId="0" fontId="14" fillId="0" borderId="64" xfId="9" applyFont="1" applyBorder="1" applyAlignment="1"/>
    <xf numFmtId="0" fontId="7" fillId="0" borderId="65" xfId="9" applyFont="1" applyBorder="1" applyAlignment="1">
      <alignment horizontal="center"/>
    </xf>
    <xf numFmtId="0" fontId="7" fillId="0" borderId="7" xfId="9" applyFont="1" applyBorder="1" applyAlignment="1">
      <alignment horizontal="center"/>
    </xf>
    <xf numFmtId="0" fontId="7" fillId="0" borderId="8" xfId="9" applyFont="1" applyBorder="1" applyAlignment="1">
      <alignment horizontal="center"/>
    </xf>
    <xf numFmtId="0" fontId="7" fillId="12" borderId="64" xfId="9" applyFont="1" applyFill="1" applyBorder="1" applyAlignment="1">
      <alignment horizontal="center"/>
    </xf>
    <xf numFmtId="0" fontId="7" fillId="0" borderId="64" xfId="9" applyFont="1" applyFill="1" applyBorder="1" applyAlignment="1">
      <alignment horizontal="center"/>
    </xf>
    <xf numFmtId="0" fontId="7" fillId="8" borderId="27" xfId="14" applyFont="1" applyFill="1" applyBorder="1" applyAlignment="1"/>
    <xf numFmtId="0" fontId="0" fillId="8" borderId="62" xfId="9" applyFont="1" applyFill="1" applyBorder="1" applyAlignment="1">
      <alignment horizontal="left"/>
    </xf>
    <xf numFmtId="0" fontId="7" fillId="8" borderId="28" xfId="9" applyFont="1" applyFill="1" applyBorder="1" applyAlignment="1">
      <alignment horizontal="center"/>
    </xf>
    <xf numFmtId="0" fontId="7" fillId="8" borderId="29" xfId="9" applyFont="1" applyFill="1" applyBorder="1" applyAlignment="1">
      <alignment horizontal="center"/>
    </xf>
    <xf numFmtId="0" fontId="7" fillId="8" borderId="30" xfId="9" applyFont="1" applyFill="1" applyBorder="1" applyAlignment="1">
      <alignment horizontal="center"/>
    </xf>
    <xf numFmtId="0" fontId="0" fillId="8" borderId="66" xfId="14" applyFont="1" applyFill="1" applyBorder="1" applyAlignment="1">
      <alignment horizontal="left"/>
    </xf>
    <xf numFmtId="0" fontId="0" fillId="11" borderId="35" xfId="14" applyFont="1" applyFill="1" applyBorder="1" applyAlignment="1"/>
    <xf numFmtId="0" fontId="7" fillId="0" borderId="67" xfId="14" applyFont="1" applyBorder="1"/>
    <xf numFmtId="0" fontId="7" fillId="0" borderId="14" xfId="14" applyFont="1" applyFill="1" applyBorder="1" applyAlignment="1">
      <alignment horizontal="center"/>
    </xf>
    <xf numFmtId="0" fontId="7" fillId="0" borderId="14" xfId="9" applyFont="1" applyFill="1" applyBorder="1" applyAlignment="1"/>
    <xf numFmtId="0" fontId="7" fillId="0" borderId="56" xfId="14" applyFont="1" applyFill="1" applyBorder="1" applyAlignment="1">
      <alignment horizontal="center"/>
    </xf>
    <xf numFmtId="0" fontId="0" fillId="0" borderId="14" xfId="9" applyFont="1" applyFill="1" applyBorder="1" applyAlignment="1">
      <alignment horizontal="center"/>
    </xf>
    <xf numFmtId="0" fontId="7" fillId="0" borderId="21" xfId="9" applyFont="1" applyFill="1" applyBorder="1" applyAlignment="1"/>
    <xf numFmtId="0" fontId="7" fillId="13" borderId="68" xfId="9" applyFont="1" applyFill="1" applyBorder="1" applyAlignment="1"/>
    <xf numFmtId="0" fontId="7" fillId="13" borderId="69" xfId="14" applyFont="1" applyFill="1" applyBorder="1" applyAlignment="1"/>
    <xf numFmtId="0" fontId="7" fillId="13" borderId="69" xfId="14" applyFont="1" applyFill="1" applyBorder="1" applyAlignment="1">
      <alignment horizontal="center"/>
    </xf>
    <xf numFmtId="0" fontId="7" fillId="12" borderId="70" xfId="14" applyFont="1" applyFill="1" applyBorder="1" applyAlignment="1">
      <alignment horizontal="center"/>
    </xf>
    <xf numFmtId="0" fontId="7" fillId="13" borderId="70" xfId="14" applyFont="1" applyFill="1" applyBorder="1" applyAlignment="1">
      <alignment horizontal="center"/>
    </xf>
    <xf numFmtId="0" fontId="7" fillId="13" borderId="71" xfId="14" applyFont="1" applyFill="1" applyBorder="1" applyAlignment="1">
      <alignment horizontal="center"/>
    </xf>
    <xf numFmtId="0" fontId="7" fillId="12" borderId="68" xfId="14" applyFont="1" applyFill="1" applyBorder="1" applyAlignment="1">
      <alignment horizontal="center"/>
    </xf>
    <xf numFmtId="0" fontId="7" fillId="13" borderId="68" xfId="14" applyFont="1" applyFill="1" applyBorder="1" applyAlignment="1">
      <alignment horizontal="center"/>
    </xf>
    <xf numFmtId="0" fontId="7" fillId="0" borderId="64" xfId="9" applyFont="1" applyFill="1" applyBorder="1" applyAlignment="1"/>
    <xf numFmtId="0" fontId="7" fillId="0" borderId="65" xfId="14" applyFont="1" applyFill="1" applyBorder="1" applyAlignment="1"/>
    <xf numFmtId="0" fontId="7" fillId="0" borderId="65" xfId="14" applyFont="1" applyFill="1" applyBorder="1" applyAlignment="1">
      <alignment horizontal="center"/>
    </xf>
    <xf numFmtId="0" fontId="7" fillId="3" borderId="7" xfId="14" applyFont="1" applyFill="1" applyBorder="1" applyAlignment="1">
      <alignment horizontal="center"/>
    </xf>
    <xf numFmtId="0" fontId="7" fillId="0" borderId="7" xfId="14" applyFont="1" applyFill="1" applyBorder="1" applyAlignment="1">
      <alignment horizontal="center"/>
    </xf>
    <xf numFmtId="0" fontId="7" fillId="0" borderId="8" xfId="14" applyFont="1" applyFill="1" applyBorder="1" applyAlignment="1">
      <alignment horizontal="center"/>
    </xf>
    <xf numFmtId="0" fontId="7" fillId="12" borderId="64" xfId="14" applyFont="1" applyFill="1" applyBorder="1" applyAlignment="1">
      <alignment horizontal="center"/>
    </xf>
    <xf numFmtId="0" fontId="7" fillId="0" borderId="34" xfId="9" applyFont="1" applyBorder="1" applyAlignment="1"/>
    <xf numFmtId="0" fontId="7" fillId="0" borderId="72" xfId="14" applyFont="1" applyBorder="1" applyAlignment="1"/>
    <xf numFmtId="0" fontId="0" fillId="8" borderId="73" xfId="14" applyFont="1" applyFill="1" applyBorder="1" applyAlignment="1">
      <alignment horizontal="left"/>
    </xf>
    <xf numFmtId="0" fontId="0" fillId="8" borderId="41" xfId="9" applyFont="1" applyFill="1" applyBorder="1" applyAlignment="1"/>
    <xf numFmtId="0" fontId="0" fillId="8" borderId="41" xfId="14" applyFont="1" applyFill="1" applyBorder="1" applyAlignment="1"/>
    <xf numFmtId="0" fontId="0" fillId="7" borderId="73" xfId="14" applyFont="1" applyFill="1" applyBorder="1" applyAlignment="1"/>
    <xf numFmtId="0" fontId="0" fillId="7" borderId="74" xfId="9" applyFont="1" applyFill="1" applyBorder="1" applyAlignment="1">
      <alignment horizontal="left"/>
    </xf>
    <xf numFmtId="0" fontId="0" fillId="7" borderId="74" xfId="14" applyFont="1" applyFill="1" applyBorder="1"/>
    <xf numFmtId="0" fontId="0" fillId="7" borderId="41" xfId="9" applyFont="1" applyFill="1" applyBorder="1" applyAlignment="1"/>
    <xf numFmtId="0" fontId="0" fillId="7" borderId="41" xfId="14" applyFont="1" applyFill="1" applyBorder="1"/>
    <xf numFmtId="0" fontId="7" fillId="11" borderId="41" xfId="14" applyFont="1" applyFill="1" applyBorder="1" applyAlignment="1"/>
    <xf numFmtId="0" fontId="0" fillId="11" borderId="41" xfId="14" applyFont="1" applyFill="1" applyBorder="1" applyAlignment="1">
      <alignment horizontal="left"/>
    </xf>
    <xf numFmtId="0" fontId="0" fillId="11" borderId="75" xfId="9" applyFont="1" applyFill="1" applyBorder="1" applyAlignment="1">
      <alignment horizontal="left"/>
    </xf>
    <xf numFmtId="0" fontId="7" fillId="14" borderId="57" xfId="14" applyFont="1" applyFill="1" applyBorder="1" applyAlignment="1">
      <alignment horizontal="center"/>
    </xf>
    <xf numFmtId="0" fontId="7" fillId="14" borderId="78" xfId="14" applyFont="1" applyFill="1" applyBorder="1" applyAlignment="1">
      <alignment horizontal="center"/>
    </xf>
    <xf numFmtId="0" fontId="7" fillId="2" borderId="78" xfId="14" applyFont="1" applyFill="1" applyBorder="1" applyAlignment="1">
      <alignment horizontal="center"/>
    </xf>
    <xf numFmtId="0" fontId="7" fillId="15" borderId="78" xfId="14" applyFont="1" applyFill="1" applyBorder="1" applyAlignment="1">
      <alignment horizontal="center"/>
    </xf>
    <xf numFmtId="0" fontId="7" fillId="15" borderId="79" xfId="14" applyFont="1" applyFill="1" applyBorder="1" applyAlignment="1">
      <alignment horizontal="center"/>
    </xf>
    <xf numFmtId="0" fontId="7" fillId="8" borderId="80" xfId="14" applyFont="1" applyFill="1" applyBorder="1" applyAlignment="1">
      <alignment horizontal="center"/>
    </xf>
    <xf numFmtId="0" fontId="7" fillId="8" borderId="45" xfId="14" applyFont="1" applyFill="1" applyBorder="1" applyAlignment="1">
      <alignment horizontal="center"/>
    </xf>
    <xf numFmtId="0" fontId="0" fillId="7" borderId="45" xfId="14" applyFont="1" applyFill="1" applyBorder="1" applyAlignment="1">
      <alignment horizontal="center"/>
    </xf>
    <xf numFmtId="0" fontId="7" fillId="7" borderId="45" xfId="14" applyFont="1" applyFill="1" applyBorder="1" applyAlignment="1">
      <alignment horizontal="center"/>
    </xf>
    <xf numFmtId="0" fontId="7" fillId="11" borderId="45" xfId="14" applyFont="1" applyFill="1" applyBorder="1" applyAlignment="1">
      <alignment horizontal="center"/>
    </xf>
    <xf numFmtId="0" fontId="7" fillId="11" borderId="81" xfId="14" applyFont="1" applyFill="1" applyBorder="1" applyAlignment="1">
      <alignment horizontal="center"/>
    </xf>
    <xf numFmtId="0" fontId="7" fillId="0" borderId="82" xfId="14" applyFont="1" applyFill="1" applyBorder="1" applyAlignment="1">
      <alignment horizontal="center"/>
    </xf>
    <xf numFmtId="0" fontId="7" fillId="0" borderId="77" xfId="14" applyFont="1" applyFill="1" applyBorder="1" applyAlignment="1">
      <alignment horizontal="center"/>
    </xf>
    <xf numFmtId="0" fontId="7" fillId="3" borderId="83" xfId="14" applyFont="1" applyFill="1" applyBorder="1" applyAlignment="1">
      <alignment horizontal="center"/>
    </xf>
    <xf numFmtId="0" fontId="7" fillId="8" borderId="80" xfId="9" applyFont="1" applyFill="1" applyBorder="1" applyAlignment="1">
      <alignment horizontal="center"/>
    </xf>
    <xf numFmtId="0" fontId="7" fillId="8" borderId="45" xfId="9" applyFont="1" applyFill="1" applyBorder="1" applyAlignment="1">
      <alignment horizontal="center"/>
    </xf>
    <xf numFmtId="0" fontId="7" fillId="11" borderId="45" xfId="9" applyFont="1" applyFill="1" applyBorder="1" applyAlignment="1">
      <alignment horizontal="center"/>
    </xf>
    <xf numFmtId="0" fontId="7" fillId="11" borderId="81" xfId="9" applyFont="1" applyFill="1" applyBorder="1" applyAlignment="1">
      <alignment horizontal="center"/>
    </xf>
    <xf numFmtId="0" fontId="0" fillId="13" borderId="41" xfId="9" applyFont="1" applyFill="1" applyBorder="1" applyAlignment="1"/>
    <xf numFmtId="0" fontId="7" fillId="0" borderId="41" xfId="14" applyFont="1" applyBorder="1" applyAlignment="1">
      <alignment horizontal="left"/>
    </xf>
    <xf numFmtId="0" fontId="0" fillId="0" borderId="41" xfId="9" applyFont="1" applyFill="1" applyBorder="1" applyAlignment="1">
      <alignment horizontal="left"/>
    </xf>
    <xf numFmtId="0" fontId="0" fillId="13" borderId="41" xfId="9" applyFont="1" applyFill="1" applyBorder="1" applyAlignment="1">
      <alignment horizontal="left"/>
    </xf>
    <xf numFmtId="0" fontId="0" fillId="0" borderId="41" xfId="14" applyFont="1" applyBorder="1" applyAlignment="1">
      <alignment horizontal="left"/>
    </xf>
    <xf numFmtId="0" fontId="0" fillId="0" borderId="82" xfId="14" applyFont="1" applyBorder="1" applyAlignment="1">
      <alignment horizontal="left"/>
    </xf>
    <xf numFmtId="0" fontId="7" fillId="13" borderId="17" xfId="9" applyFont="1" applyFill="1" applyBorder="1" applyAlignment="1">
      <alignment horizontal="center"/>
    </xf>
    <xf numFmtId="0" fontId="7" fillId="0" borderId="17" xfId="9" applyFont="1" applyBorder="1" applyAlignment="1">
      <alignment horizontal="center"/>
    </xf>
    <xf numFmtId="0" fontId="7" fillId="0" borderId="77" xfId="9" applyFont="1" applyBorder="1" applyAlignment="1">
      <alignment horizontal="center"/>
    </xf>
    <xf numFmtId="0" fontId="7" fillId="12" borderId="78" xfId="14" applyFont="1" applyFill="1" applyBorder="1" applyAlignment="1">
      <alignment horizontal="center"/>
    </xf>
    <xf numFmtId="0" fontId="7" fillId="12" borderId="79" xfId="14" applyFont="1" applyFill="1" applyBorder="1" applyAlignment="1">
      <alignment horizontal="center"/>
    </xf>
    <xf numFmtId="0" fontId="7" fillId="0" borderId="9" xfId="9" applyFont="1" applyBorder="1" applyAlignment="1">
      <alignment horizontal="center"/>
    </xf>
    <xf numFmtId="0" fontId="7" fillId="13" borderId="80" xfId="9" applyFont="1" applyFill="1" applyBorder="1" applyAlignment="1">
      <alignment horizontal="center"/>
    </xf>
    <xf numFmtId="0" fontId="7" fillId="13" borderId="45" xfId="9" applyFont="1" applyFill="1" applyBorder="1" applyAlignment="1">
      <alignment horizontal="center"/>
    </xf>
    <xf numFmtId="0" fontId="7" fillId="0" borderId="81" xfId="9" applyFont="1" applyBorder="1" applyAlignment="1">
      <alignment horizontal="center"/>
    </xf>
    <xf numFmtId="0" fontId="0" fillId="13" borderId="84" xfId="14" applyFont="1" applyFill="1" applyBorder="1" applyAlignment="1"/>
    <xf numFmtId="0" fontId="7" fillId="13" borderId="76" xfId="9" applyFont="1" applyFill="1" applyBorder="1" applyAlignment="1">
      <alignment horizontal="center"/>
    </xf>
    <xf numFmtId="0" fontId="7" fillId="12" borderId="57" xfId="14" applyFont="1" applyFill="1" applyBorder="1" applyAlignment="1">
      <alignment horizontal="center"/>
    </xf>
    <xf numFmtId="0" fontId="7" fillId="13" borderId="71" xfId="9" applyFont="1" applyFill="1" applyBorder="1" applyAlignment="1">
      <alignment horizontal="center"/>
    </xf>
    <xf numFmtId="0" fontId="7" fillId="0" borderId="55" xfId="9" applyFont="1" applyBorder="1" applyAlignment="1">
      <alignment horizontal="center"/>
    </xf>
    <xf numFmtId="0" fontId="0" fillId="13" borderId="39" xfId="9" applyFont="1" applyFill="1" applyBorder="1" applyAlignment="1">
      <alignment horizontal="left"/>
    </xf>
    <xf numFmtId="0" fontId="0" fillId="13" borderId="80" xfId="9" applyFont="1" applyFill="1" applyBorder="1" applyAlignment="1">
      <alignment horizontal="center"/>
    </xf>
    <xf numFmtId="0" fontId="0" fillId="13" borderId="45" xfId="9" applyFont="1" applyFill="1" applyBorder="1" applyAlignment="1">
      <alignment horizontal="center"/>
    </xf>
    <xf numFmtId="0" fontId="7" fillId="13" borderId="10" xfId="9" applyFont="1" applyFill="1" applyBorder="1" applyAlignment="1">
      <alignment horizontal="center"/>
    </xf>
    <xf numFmtId="0" fontId="7" fillId="0" borderId="80" xfId="9" applyFont="1" applyBorder="1" applyAlignment="1">
      <alignment horizontal="center"/>
    </xf>
    <xf numFmtId="0" fontId="7" fillId="0" borderId="82" xfId="9" applyFont="1" applyFill="1" applyBorder="1" applyAlignment="1">
      <alignment horizontal="left"/>
    </xf>
    <xf numFmtId="0" fontId="44" fillId="0" borderId="27" xfId="14" applyFont="1" applyFill="1" applyBorder="1" applyAlignment="1">
      <alignment horizontal="center"/>
    </xf>
    <xf numFmtId="0" fontId="44" fillId="0" borderId="34" xfId="14" applyFont="1" applyFill="1" applyBorder="1" applyAlignment="1">
      <alignment horizontal="center"/>
    </xf>
    <xf numFmtId="0" fontId="44" fillId="0" borderId="31" xfId="14" applyFont="1" applyFill="1" applyBorder="1" applyAlignment="1">
      <alignment horizontal="center"/>
    </xf>
    <xf numFmtId="0" fontId="7" fillId="25" borderId="1" xfId="6" applyFont="1" applyFill="1" applyBorder="1" applyAlignment="1">
      <alignment horizontal="center"/>
    </xf>
    <xf numFmtId="49" fontId="7" fillId="0" borderId="43" xfId="6" applyNumberFormat="1" applyFont="1" applyBorder="1" applyAlignment="1">
      <alignment horizontal="center"/>
    </xf>
    <xf numFmtId="0" fontId="0" fillId="12" borderId="0" xfId="0" applyFont="1" applyFill="1" applyAlignment="1">
      <alignment horizontal="center"/>
    </xf>
    <xf numFmtId="0" fontId="8" fillId="2" borderId="1" xfId="1" applyFill="1" applyBorder="1" applyAlignment="1"/>
    <xf numFmtId="0" fontId="14" fillId="0" borderId="6" xfId="16" applyFont="1" applyFill="1" applyBorder="1" applyAlignment="1">
      <alignment horizontal="center"/>
    </xf>
    <xf numFmtId="0" fontId="7" fillId="0" borderId="71" xfId="16" applyFont="1" applyBorder="1" applyAlignment="1">
      <alignment horizontal="left"/>
    </xf>
    <xf numFmtId="0" fontId="7" fillId="0" borderId="70" xfId="16" applyFont="1" applyBorder="1"/>
    <xf numFmtId="0" fontId="7" fillId="0" borderId="6" xfId="16" applyFont="1" applyBorder="1" applyAlignment="1">
      <alignment horizontal="left"/>
    </xf>
    <xf numFmtId="0" fontId="0" fillId="0" borderId="7" xfId="16" applyFont="1" applyBorder="1"/>
    <xf numFmtId="0" fontId="7" fillId="0" borderId="14" xfId="16" applyFont="1" applyBorder="1" applyAlignment="1">
      <alignment horizontal="left"/>
    </xf>
    <xf numFmtId="0" fontId="7" fillId="0" borderId="70" xfId="16" applyFont="1" applyBorder="1" applyAlignment="1">
      <alignment horizontal="left"/>
    </xf>
    <xf numFmtId="0" fontId="7" fillId="0" borderId="54" xfId="6" applyFont="1" applyFill="1" applyBorder="1" applyAlignment="1">
      <alignment horizontal="center"/>
    </xf>
    <xf numFmtId="49" fontId="7" fillId="0" borderId="43" xfId="6" applyNumberFormat="1" applyFont="1" applyFill="1" applyBorder="1" applyAlignment="1">
      <alignment horizontal="center"/>
    </xf>
    <xf numFmtId="0" fontId="7" fillId="0" borderId="46" xfId="6" applyFont="1" applyFill="1" applyBorder="1" applyAlignment="1">
      <alignment horizontal="center"/>
    </xf>
    <xf numFmtId="0" fontId="0" fillId="0" borderId="1" xfId="6" applyFont="1" applyFill="1" applyBorder="1"/>
    <xf numFmtId="0" fontId="7" fillId="24" borderId="1" xfId="6" applyFont="1" applyFill="1" applyBorder="1" applyAlignment="1">
      <alignment horizontal="center"/>
    </xf>
    <xf numFmtId="0" fontId="0" fillId="25" borderId="1" xfId="0" quotePrefix="1" applyFont="1" applyFill="1" applyBorder="1" applyAlignment="1">
      <alignment horizontal="right"/>
    </xf>
    <xf numFmtId="0" fontId="7" fillId="0" borderId="1" xfId="6" applyFont="1" applyFill="1" applyBorder="1"/>
    <xf numFmtId="0" fontId="14" fillId="0" borderId="46" xfId="6" applyFont="1" applyFill="1" applyBorder="1" applyAlignment="1">
      <alignment horizontal="center"/>
    </xf>
    <xf numFmtId="0" fontId="7" fillId="23" borderId="1" xfId="11" applyFont="1" applyFill="1" applyBorder="1" applyAlignment="1"/>
    <xf numFmtId="0" fontId="7" fillId="0" borderId="15" xfId="6" applyFont="1" applyBorder="1"/>
    <xf numFmtId="0" fontId="7" fillId="0" borderId="14" xfId="6" applyFont="1" applyBorder="1"/>
    <xf numFmtId="0" fontId="45" fillId="0" borderId="0" xfId="6" applyFont="1"/>
    <xf numFmtId="0" fontId="46" fillId="0" borderId="0" xfId="6" applyFont="1"/>
    <xf numFmtId="0" fontId="0" fillId="0" borderId="85" xfId="11" applyFont="1" applyFill="1" applyBorder="1" applyAlignment="1"/>
    <xf numFmtId="0" fontId="7" fillId="0" borderId="87" xfId="6" applyFont="1" applyBorder="1"/>
    <xf numFmtId="0" fontId="7" fillId="0" borderId="86" xfId="6" applyFont="1" applyBorder="1"/>
    <xf numFmtId="0" fontId="0" fillId="0" borderId="85" xfId="0" applyFont="1" applyFill="1" applyBorder="1"/>
    <xf numFmtId="0" fontId="0" fillId="0" borderId="85" xfId="6" applyFont="1" applyFill="1" applyBorder="1"/>
    <xf numFmtId="0" fontId="0" fillId="0" borderId="85" xfId="11" applyFont="1" applyBorder="1" applyAlignment="1"/>
    <xf numFmtId="164" fontId="7" fillId="0" borderId="88" xfId="7" applyNumberFormat="1" applyFont="1" applyFill="1" applyBorder="1" applyAlignment="1">
      <alignment horizontal="center"/>
    </xf>
    <xf numFmtId="164" fontId="7" fillId="0" borderId="89" xfId="7" applyNumberFormat="1" applyFont="1" applyFill="1" applyBorder="1" applyAlignment="1">
      <alignment horizontal="center"/>
    </xf>
    <xf numFmtId="164" fontId="7" fillId="0" borderId="90" xfId="7" applyNumberFormat="1" applyFont="1" applyFill="1" applyBorder="1" applyAlignment="1">
      <alignment horizontal="center"/>
    </xf>
    <xf numFmtId="164" fontId="7" fillId="0" borderId="91" xfId="7" applyNumberFormat="1" applyFont="1" applyFill="1" applyBorder="1" applyAlignment="1">
      <alignment horizontal="center"/>
    </xf>
    <xf numFmtId="0" fontId="8" fillId="0" borderId="0" xfId="1" applyNumberFormat="1" applyAlignment="1"/>
    <xf numFmtId="0" fontId="7" fillId="0" borderId="0" xfId="16" applyFont="1" applyFill="1" applyAlignment="1">
      <alignment horizontal="left"/>
    </xf>
    <xf numFmtId="0" fontId="7" fillId="0" borderId="11" xfId="16" applyFont="1" applyFill="1" applyBorder="1" applyAlignment="1">
      <alignment horizontal="left"/>
    </xf>
    <xf numFmtId="164" fontId="14" fillId="3" borderId="1" xfId="13" applyNumberFormat="1" applyFont="1" applyFill="1" applyBorder="1" applyAlignment="1">
      <alignment horizontal="center"/>
    </xf>
    <xf numFmtId="164" fontId="36" fillId="18" borderId="1" xfId="13" applyNumberFormat="1" applyFont="1" applyFill="1" applyBorder="1" applyAlignment="1">
      <alignment horizontal="center"/>
    </xf>
    <xf numFmtId="164" fontId="14" fillId="0" borderId="1" xfId="13" applyNumberFormat="1" applyFont="1" applyFill="1" applyBorder="1" applyAlignment="1">
      <alignment horizontal="center"/>
    </xf>
    <xf numFmtId="0" fontId="0" fillId="0" borderId="87" xfId="13" applyFont="1" applyFill="1" applyBorder="1" applyAlignment="1">
      <alignment horizontal="right"/>
    </xf>
    <xf numFmtId="0" fontId="7" fillId="0" borderId="86" xfId="7" applyFont="1" applyFill="1" applyBorder="1" applyAlignment="1"/>
    <xf numFmtId="0" fontId="7" fillId="2" borderId="1" xfId="13" applyFont="1" applyFill="1" applyBorder="1" applyAlignment="1"/>
    <xf numFmtId="0" fontId="0" fillId="3" borderId="1" xfId="0" applyFont="1" applyFill="1" applyBorder="1"/>
    <xf numFmtId="0" fontId="7" fillId="4" borderId="1" xfId="13" applyFont="1" applyFill="1" applyBorder="1" applyAlignment="1"/>
    <xf numFmtId="0" fontId="17" fillId="5" borderId="5" xfId="13" applyFont="1" applyFill="1" applyBorder="1" applyAlignment="1"/>
    <xf numFmtId="0" fontId="17" fillId="5" borderId="6" xfId="13" applyFont="1" applyFill="1" applyBorder="1" applyAlignment="1"/>
    <xf numFmtId="0" fontId="17" fillId="5" borderId="7" xfId="13" applyFont="1" applyFill="1" applyBorder="1" applyAlignment="1"/>
    <xf numFmtId="0" fontId="13" fillId="0" borderId="0" xfId="6" applyFont="1" applyAlignment="1">
      <alignment horizontal="right"/>
    </xf>
    <xf numFmtId="0" fontId="14" fillId="0" borderId="0" xfId="6" applyFont="1" applyBorder="1"/>
    <xf numFmtId="0" fontId="0" fillId="0" borderId="85" xfId="6" applyFont="1" applyBorder="1"/>
    <xf numFmtId="0" fontId="7" fillId="0" borderId="92" xfId="16" applyFont="1" applyBorder="1" applyAlignment="1"/>
    <xf numFmtId="0" fontId="7" fillId="0" borderId="92" xfId="6" applyFont="1" applyBorder="1"/>
    <xf numFmtId="0" fontId="21" fillId="0" borderId="0" xfId="6" applyFont="1"/>
    <xf numFmtId="0" fontId="14" fillId="0" borderId="1" xfId="6" applyFont="1" applyBorder="1"/>
    <xf numFmtId="0" fontId="14" fillId="3" borderId="1" xfId="6" applyFont="1" applyFill="1" applyBorder="1" applyAlignment="1">
      <alignment horizontal="center"/>
    </xf>
    <xf numFmtId="0" fontId="7" fillId="3" borderId="1" xfId="6" applyFont="1" applyFill="1" applyBorder="1"/>
    <xf numFmtId="0" fontId="0" fillId="0" borderId="1" xfId="6" applyFont="1" applyBorder="1" applyAlignment="1"/>
    <xf numFmtId="0" fontId="0" fillId="0" borderId="1" xfId="0" applyFont="1" applyBorder="1" applyAlignment="1">
      <alignment horizontal="center" vertical="center"/>
    </xf>
    <xf numFmtId="0" fontId="14" fillId="0" borderId="1" xfId="6" applyFont="1" applyBorder="1" applyAlignment="1">
      <alignment horizontal="right"/>
    </xf>
    <xf numFmtId="0" fontId="16" fillId="2" borderId="1" xfId="6" applyFont="1" applyFill="1" applyBorder="1"/>
    <xf numFmtId="0" fontId="17" fillId="4" borderId="1" xfId="6" applyFont="1" applyFill="1" applyBorder="1"/>
    <xf numFmtId="16" fontId="14" fillId="0" borderId="1" xfId="6" quotePrefix="1" applyNumberFormat="1" applyFont="1" applyBorder="1" applyAlignment="1">
      <alignment horizontal="right"/>
    </xf>
    <xf numFmtId="0" fontId="17" fillId="0" borderId="1" xfId="6" applyFont="1" applyBorder="1"/>
    <xf numFmtId="0" fontId="0" fillId="0" borderId="85" xfId="6" applyFont="1" applyBorder="1" applyAlignment="1"/>
    <xf numFmtId="0" fontId="0" fillId="0" borderId="92" xfId="6" applyFont="1" applyBorder="1" applyAlignment="1"/>
    <xf numFmtId="0" fontId="7" fillId="0" borderId="92" xfId="6" applyFont="1" applyBorder="1" applyAlignment="1"/>
    <xf numFmtId="0" fontId="7" fillId="0" borderId="85" xfId="6" applyFont="1" applyBorder="1" applyAlignment="1"/>
    <xf numFmtId="0" fontId="7" fillId="0" borderId="85" xfId="16" applyFont="1" applyBorder="1" applyAlignment="1"/>
    <xf numFmtId="0" fontId="7" fillId="0" borderId="85" xfId="6" applyFont="1" applyBorder="1"/>
    <xf numFmtId="0" fontId="14" fillId="0" borderId="85" xfId="6" applyFont="1" applyBorder="1" applyAlignment="1"/>
    <xf numFmtId="0" fontId="14" fillId="0" borderId="92" xfId="6" applyFont="1" applyBorder="1" applyAlignment="1"/>
    <xf numFmtId="0" fontId="7" fillId="0" borderId="92" xfId="6" applyFont="1" applyBorder="1" applyAlignment="1">
      <alignment horizontal="center"/>
    </xf>
    <xf numFmtId="0" fontId="0" fillId="0" borderId="12" xfId="6" applyFont="1" applyBorder="1" applyAlignment="1"/>
    <xf numFmtId="0" fontId="0" fillId="0" borderId="12" xfId="6" applyFont="1" applyBorder="1"/>
    <xf numFmtId="0" fontId="7" fillId="3" borderId="1" xfId="6" applyFont="1" applyFill="1" applyBorder="1" applyAlignment="1">
      <alignment horizontal="center"/>
    </xf>
    <xf numFmtId="0" fontId="7" fillId="3" borderId="1" xfId="16" applyFont="1" applyFill="1" applyBorder="1" applyAlignment="1">
      <alignment horizontal="center"/>
    </xf>
    <xf numFmtId="0" fontId="0" fillId="3" borderId="1" xfId="0" applyFont="1" applyFill="1" applyBorder="1" applyAlignment="1">
      <alignment horizontal="center" vertical="center"/>
    </xf>
    <xf numFmtId="0" fontId="14" fillId="0" borderId="1" xfId="6" applyNumberFormat="1" applyFont="1" applyFill="1" applyBorder="1" applyAlignment="1"/>
    <xf numFmtId="49" fontId="14" fillId="0" borderId="1" xfId="0" applyNumberFormat="1" applyFont="1" applyFill="1" applyBorder="1" applyAlignment="1"/>
    <xf numFmtId="0" fontId="19" fillId="0" borderId="1" xfId="1" applyNumberFormat="1" applyFont="1" applyFill="1" applyBorder="1" applyAlignment="1"/>
    <xf numFmtId="0" fontId="14" fillId="0" borderId="1" xfId="0" applyNumberFormat="1" applyFont="1" applyFill="1" applyBorder="1" applyAlignment="1"/>
    <xf numFmtId="0" fontId="7" fillId="27" borderId="1" xfId="6" applyNumberFormat="1" applyFont="1" applyFill="1" applyBorder="1" applyAlignment="1"/>
    <xf numFmtId="49" fontId="7" fillId="27" borderId="1" xfId="6" applyNumberFormat="1" applyFont="1" applyFill="1" applyBorder="1" applyAlignment="1"/>
    <xf numFmtId="0" fontId="21" fillId="27" borderId="1" xfId="1" applyNumberFormat="1" applyFont="1" applyFill="1" applyBorder="1" applyAlignment="1"/>
    <xf numFmtId="0" fontId="14" fillId="2" borderId="1" xfId="6" applyNumberFormat="1" applyFont="1" applyFill="1" applyBorder="1" applyAlignment="1"/>
    <xf numFmtId="49" fontId="14" fillId="2" borderId="1" xfId="0" applyNumberFormat="1" applyFont="1" applyFill="1" applyBorder="1" applyAlignment="1"/>
    <xf numFmtId="0" fontId="19" fillId="2" borderId="1" xfId="1" applyNumberFormat="1" applyFont="1" applyFill="1" applyBorder="1" applyAlignment="1"/>
    <xf numFmtId="0" fontId="14" fillId="2" borderId="1" xfId="0" applyNumberFormat="1" applyFont="1" applyFill="1" applyBorder="1" applyAlignment="1"/>
    <xf numFmtId="14" fontId="7" fillId="27" borderId="1" xfId="6" applyNumberFormat="1" applyFont="1" applyFill="1" applyBorder="1" applyAlignment="1"/>
    <xf numFmtId="49" fontId="14" fillId="2" borderId="1" xfId="6" applyNumberFormat="1" applyFont="1" applyFill="1" applyBorder="1" applyAlignment="1"/>
    <xf numFmtId="49" fontId="7" fillId="0" borderId="1" xfId="0" applyNumberFormat="1" applyFont="1" applyFill="1" applyBorder="1" applyAlignment="1"/>
    <xf numFmtId="0" fontId="21" fillId="0" borderId="1" xfId="1" applyNumberFormat="1" applyFont="1" applyFill="1" applyBorder="1" applyAlignment="1"/>
    <xf numFmtId="0" fontId="7" fillId="0" borderId="1" xfId="0" applyNumberFormat="1" applyFont="1" applyFill="1" applyBorder="1" applyAlignment="1"/>
    <xf numFmtId="49" fontId="14" fillId="0" borderId="1" xfId="6" applyNumberFormat="1" applyFont="1" applyFill="1" applyBorder="1" applyAlignment="1"/>
    <xf numFmtId="0" fontId="19" fillId="0" borderId="1" xfId="1" applyFont="1" applyFill="1" applyBorder="1" applyAlignment="1"/>
    <xf numFmtId="165" fontId="14" fillId="0" borderId="1" xfId="6" applyNumberFormat="1" applyFont="1" applyFill="1" applyBorder="1" applyAlignment="1">
      <alignment horizontal="center"/>
    </xf>
    <xf numFmtId="164" fontId="14" fillId="0" borderId="1" xfId="6" applyNumberFormat="1" applyFont="1" applyFill="1" applyBorder="1" applyAlignment="1">
      <alignment horizontal="center"/>
    </xf>
    <xf numFmtId="0" fontId="21" fillId="27" borderId="1" xfId="1" applyFont="1" applyFill="1" applyBorder="1" applyAlignment="1"/>
    <xf numFmtId="0" fontId="7" fillId="27" borderId="1" xfId="0" applyNumberFormat="1" applyFont="1" applyFill="1" applyBorder="1" applyAlignment="1"/>
    <xf numFmtId="165" fontId="7" fillId="27" borderId="1" xfId="6" applyNumberFormat="1" applyFont="1" applyFill="1" applyBorder="1" applyAlignment="1">
      <alignment horizontal="center"/>
    </xf>
    <xf numFmtId="164" fontId="7" fillId="27" borderId="1" xfId="6" applyNumberFormat="1" applyFont="1" applyFill="1" applyBorder="1" applyAlignment="1">
      <alignment horizontal="center"/>
    </xf>
    <xf numFmtId="0" fontId="19" fillId="2" borderId="1" xfId="1" applyFont="1" applyFill="1" applyBorder="1" applyAlignment="1"/>
    <xf numFmtId="165" fontId="14" fillId="2" borderId="1" xfId="6" applyNumberFormat="1" applyFont="1" applyFill="1" applyBorder="1" applyAlignment="1">
      <alignment horizontal="center"/>
    </xf>
    <xf numFmtId="164" fontId="14" fillId="2" borderId="1" xfId="6" applyNumberFormat="1" applyFont="1" applyFill="1" applyBorder="1" applyAlignment="1">
      <alignment horizontal="center"/>
    </xf>
    <xf numFmtId="0" fontId="7" fillId="11" borderId="1" xfId="0" applyNumberFormat="1" applyFont="1" applyFill="1" applyBorder="1" applyAlignment="1"/>
    <xf numFmtId="165" fontId="7" fillId="11" borderId="1" xfId="6" applyNumberFormat="1" applyFont="1" applyFill="1" applyBorder="1" applyAlignment="1">
      <alignment horizontal="center"/>
    </xf>
    <xf numFmtId="0" fontId="7" fillId="11" borderId="1" xfId="1" applyFont="1" applyFill="1" applyBorder="1" applyAlignment="1"/>
    <xf numFmtId="0" fontId="7" fillId="0" borderId="0" xfId="6" applyNumberFormat="1" applyFont="1" applyFill="1" applyAlignment="1">
      <alignment horizontal="center"/>
    </xf>
    <xf numFmtId="0" fontId="8" fillId="27" borderId="1" xfId="1" applyFill="1" applyBorder="1" applyAlignment="1"/>
    <xf numFmtId="0" fontId="0" fillId="0" borderId="93" xfId="0" applyBorder="1" applyAlignment="1">
      <alignment vertical="top" wrapText="1"/>
    </xf>
    <xf numFmtId="0" fontId="14" fillId="0" borderId="93" xfId="16" applyFont="1" applyBorder="1" applyAlignment="1">
      <alignment horizontal="center"/>
    </xf>
    <xf numFmtId="0" fontId="14" fillId="0" borderId="93" xfId="16" applyFont="1" applyFill="1" applyBorder="1" applyAlignment="1">
      <alignment horizontal="center"/>
    </xf>
    <xf numFmtId="49" fontId="0" fillId="0" borderId="93" xfId="16" applyNumberFormat="1" applyFont="1" applyFill="1" applyBorder="1" applyAlignment="1">
      <alignment horizontal="center" vertical="center"/>
    </xf>
    <xf numFmtId="0" fontId="14" fillId="0" borderId="93" xfId="16" applyFont="1" applyFill="1" applyBorder="1" applyAlignment="1">
      <alignment horizontal="center" vertical="center"/>
    </xf>
    <xf numFmtId="0" fontId="7" fillId="4" borderId="1" xfId="6" applyNumberFormat="1" applyFont="1" applyFill="1" applyBorder="1" applyAlignment="1"/>
    <xf numFmtId="49" fontId="7" fillId="4" borderId="1" xfId="0" applyNumberFormat="1" applyFont="1" applyFill="1" applyBorder="1" applyAlignment="1"/>
    <xf numFmtId="0" fontId="21" fillId="4" borderId="1" xfId="1" applyFont="1" applyFill="1" applyBorder="1" applyAlignment="1"/>
    <xf numFmtId="0" fontId="7" fillId="4" borderId="1" xfId="0" applyNumberFormat="1" applyFont="1" applyFill="1" applyBorder="1" applyAlignment="1"/>
    <xf numFmtId="0" fontId="8" fillId="4" borderId="1" xfId="1" applyFill="1" applyBorder="1" applyAlignment="1"/>
    <xf numFmtId="165" fontId="7" fillId="4" borderId="1" xfId="6" applyNumberFormat="1" applyFont="1" applyFill="1" applyBorder="1" applyAlignment="1">
      <alignment horizontal="center"/>
    </xf>
    <xf numFmtId="164" fontId="7" fillId="4" borderId="1" xfId="6" applyNumberFormat="1" applyFont="1" applyFill="1" applyBorder="1" applyAlignment="1">
      <alignment horizontal="center"/>
    </xf>
    <xf numFmtId="0" fontId="0" fillId="0" borderId="1" xfId="16" applyNumberFormat="1" applyFont="1" applyFill="1" applyBorder="1" applyAlignment="1">
      <alignment horizontal="center" vertical="center"/>
    </xf>
    <xf numFmtId="0" fontId="4" fillId="0" borderId="1" xfId="16"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23" borderId="1" xfId="16" applyNumberFormat="1" applyFont="1" applyFill="1" applyBorder="1" applyAlignment="1">
      <alignment horizontal="center" vertical="center"/>
    </xf>
    <xf numFmtId="0" fontId="0" fillId="23" borderId="1" xfId="0" applyNumberFormat="1" applyFont="1" applyFill="1" applyBorder="1" applyAlignment="1">
      <alignment horizontal="center" vertical="center"/>
    </xf>
    <xf numFmtId="49" fontId="0" fillId="22" borderId="93" xfId="16" applyNumberFormat="1" applyFont="1" applyFill="1" applyBorder="1" applyAlignment="1">
      <alignment horizontal="center" vertical="center"/>
    </xf>
    <xf numFmtId="49" fontId="0" fillId="22" borderId="93" xfId="0" applyNumberFormat="1" applyFill="1" applyBorder="1" applyAlignment="1">
      <alignment horizontal="center" vertical="center"/>
    </xf>
    <xf numFmtId="0" fontId="7" fillId="0" borderId="0" xfId="16" applyFont="1" applyAlignment="1">
      <alignment vertical="center"/>
    </xf>
    <xf numFmtId="49" fontId="0" fillId="24" borderId="93" xfId="16" applyNumberFormat="1" applyFont="1" applyFill="1" applyBorder="1" applyAlignment="1">
      <alignment horizontal="center" vertical="center"/>
    </xf>
    <xf numFmtId="0" fontId="0" fillId="26" borderId="1" xfId="16" applyNumberFormat="1" applyFont="1" applyFill="1" applyBorder="1" applyAlignment="1">
      <alignment horizontal="center" vertical="center"/>
    </xf>
    <xf numFmtId="0" fontId="0" fillId="24" borderId="0" xfId="16" applyFont="1" applyFill="1" applyAlignment="1">
      <alignment vertical="center"/>
    </xf>
    <xf numFmtId="0" fontId="0" fillId="22" borderId="0" xfId="16" applyFont="1" applyFill="1" applyAlignment="1">
      <alignment vertical="center"/>
    </xf>
    <xf numFmtId="0" fontId="0" fillId="2" borderId="93" xfId="0" applyFill="1" applyBorder="1" applyAlignment="1">
      <alignment vertical="top" wrapText="1"/>
    </xf>
    <xf numFmtId="0" fontId="0" fillId="3" borderId="93" xfId="0" applyFill="1" applyBorder="1" applyAlignment="1">
      <alignment vertical="top" wrapText="1"/>
    </xf>
    <xf numFmtId="0" fontId="0" fillId="4" borderId="93" xfId="0" applyFill="1" applyBorder="1" applyAlignment="1">
      <alignment vertical="top" wrapText="1"/>
    </xf>
    <xf numFmtId="49" fontId="0" fillId="0" borderId="0" xfId="16" applyNumberFormat="1" applyFont="1" applyFill="1" applyBorder="1" applyAlignment="1">
      <alignment horizontal="center"/>
    </xf>
    <xf numFmtId="0" fontId="0" fillId="24" borderId="0" xfId="16" applyFont="1" applyFill="1" applyAlignment="1"/>
    <xf numFmtId="0" fontId="0" fillId="25" borderId="0" xfId="16" applyFont="1" applyFill="1" applyAlignment="1"/>
    <xf numFmtId="0" fontId="21" fillId="27" borderId="33" xfId="1" applyFont="1" applyFill="1" applyBorder="1" applyAlignment="1">
      <alignment horizontal="left"/>
    </xf>
    <xf numFmtId="0" fontId="19" fillId="2" borderId="33" xfId="1" applyFont="1" applyFill="1" applyBorder="1" applyAlignment="1">
      <alignment horizontal="left"/>
    </xf>
    <xf numFmtId="0" fontId="19" fillId="0" borderId="33" xfId="1" applyFont="1" applyFill="1" applyBorder="1" applyAlignment="1">
      <alignment horizontal="left"/>
    </xf>
    <xf numFmtId="0" fontId="14" fillId="8" borderId="1" xfId="13" applyNumberFormat="1" applyFont="1" applyFill="1" applyBorder="1" applyAlignment="1">
      <alignment horizontal="center"/>
    </xf>
    <xf numFmtId="0" fontId="30" fillId="0" borderId="1" xfId="13" applyNumberFormat="1" applyFont="1" applyFill="1" applyBorder="1" applyAlignment="1">
      <alignment horizontal="center"/>
    </xf>
    <xf numFmtId="0" fontId="30" fillId="2" borderId="1" xfId="13" applyNumberFormat="1" applyFont="1" applyFill="1" applyBorder="1" applyAlignment="1">
      <alignment horizontal="center"/>
    </xf>
    <xf numFmtId="0" fontId="7" fillId="3" borderId="87" xfId="13" applyFont="1" applyFill="1" applyBorder="1" applyAlignment="1"/>
    <xf numFmtId="0" fontId="14" fillId="3" borderId="87" xfId="13" applyFont="1" applyFill="1" applyBorder="1" applyAlignment="1"/>
    <xf numFmtId="0" fontId="7" fillId="3" borderId="92" xfId="13" applyFont="1" applyFill="1" applyBorder="1" applyAlignment="1"/>
    <xf numFmtId="0" fontId="14" fillId="3" borderId="85" xfId="13" applyFont="1" applyFill="1" applyBorder="1" applyAlignment="1"/>
    <xf numFmtId="0" fontId="7" fillId="0" borderId="93" xfId="13" applyFont="1" applyFill="1" applyBorder="1" applyAlignment="1"/>
    <xf numFmtId="0" fontId="7" fillId="0" borderId="93" xfId="13" applyFont="1" applyBorder="1" applyAlignment="1"/>
    <xf numFmtId="0" fontId="15" fillId="3" borderId="92" xfId="13" applyFont="1" applyFill="1" applyBorder="1" applyAlignment="1"/>
    <xf numFmtId="0" fontId="0" fillId="0" borderId="0" xfId="16" applyFont="1" applyBorder="1" applyAlignment="1">
      <alignment wrapText="1"/>
    </xf>
    <xf numFmtId="0" fontId="7" fillId="0" borderId="0" xfId="16" applyFont="1" applyAlignment="1">
      <alignment wrapText="1"/>
    </xf>
    <xf numFmtId="0" fontId="7" fillId="0" borderId="1" xfId="6" applyNumberFormat="1" applyFont="1" applyFill="1" applyBorder="1" applyAlignment="1">
      <alignment horizontal="center"/>
    </xf>
    <xf numFmtId="49" fontId="14" fillId="0" borderId="1" xfId="6" applyNumberFormat="1" applyFont="1" applyBorder="1" applyAlignment="1">
      <alignment horizontal="center"/>
    </xf>
    <xf numFmtId="49" fontId="14" fillId="0" borderId="54" xfId="6" applyNumberFormat="1" applyFont="1" applyBorder="1" applyAlignment="1">
      <alignment horizontal="center"/>
    </xf>
    <xf numFmtId="49" fontId="14" fillId="0" borderId="46" xfId="6" applyNumberFormat="1" applyFont="1" applyBorder="1" applyAlignment="1">
      <alignment horizontal="center"/>
    </xf>
    <xf numFmtId="0" fontId="7" fillId="8" borderId="1" xfId="6" applyNumberFormat="1" applyFont="1" applyFill="1" applyBorder="1" applyAlignment="1">
      <alignment horizontal="center"/>
    </xf>
    <xf numFmtId="0" fontId="7" fillId="11" borderId="1" xfId="6" applyNumberFormat="1" applyFont="1" applyFill="1" applyBorder="1" applyAlignment="1">
      <alignment horizontal="center"/>
    </xf>
    <xf numFmtId="0" fontId="7" fillId="24" borderId="1" xfId="6" applyNumberFormat="1" applyFont="1" applyFill="1" applyBorder="1" applyAlignment="1">
      <alignment horizontal="center"/>
    </xf>
    <xf numFmtId="0" fontId="7" fillId="23" borderId="1" xfId="6" applyNumberFormat="1" applyFont="1" applyFill="1" applyBorder="1" applyAlignment="1">
      <alignment horizontal="center"/>
    </xf>
    <xf numFmtId="0" fontId="7" fillId="0" borderId="41" xfId="9" applyFont="1" applyBorder="1" applyAlignment="1">
      <alignment horizontal="center"/>
    </xf>
    <xf numFmtId="0" fontId="7" fillId="0" borderId="43" xfId="9" applyFont="1" applyBorder="1" applyAlignment="1">
      <alignment horizontal="center"/>
    </xf>
    <xf numFmtId="0" fontId="7" fillId="0" borderId="44" xfId="9" applyFont="1" applyBorder="1" applyAlignment="1">
      <alignment horizontal="center"/>
    </xf>
    <xf numFmtId="0" fontId="7" fillId="25" borderId="1" xfId="6" applyNumberFormat="1" applyFont="1" applyFill="1" applyBorder="1" applyAlignment="1">
      <alignment horizontal="center"/>
    </xf>
    <xf numFmtId="0" fontId="7" fillId="0" borderId="1" xfId="6" applyFont="1" applyBorder="1" applyAlignment="1">
      <alignment horizontal="center"/>
    </xf>
    <xf numFmtId="0" fontId="14" fillId="0" borderId="1" xfId="6" applyFont="1" applyBorder="1" applyAlignment="1">
      <alignment horizontal="center"/>
    </xf>
  </cellXfs>
  <cellStyles count="24">
    <cellStyle name="Hyperlink" xfId="1" builtinId="8"/>
    <cellStyle name="Hyperlink 2" xfId="2"/>
    <cellStyle name="Hyperlink 2 2" xfId="3"/>
    <cellStyle name="Hyperlink 3" xfId="4"/>
    <cellStyle name="Hyperlink 3 2" xfId="5"/>
    <cellStyle name="Normal" xfId="0" builtinId="0"/>
    <cellStyle name="Normal 2" xfId="6"/>
    <cellStyle name="Normal 2 2" xfId="7"/>
    <cellStyle name="Normal 2 2 2" xfId="8"/>
    <cellStyle name="Normal 2 2 2 2" xfId="9"/>
    <cellStyle name="Normal 2 2 3" xfId="10"/>
    <cellStyle name="Normal 2 3" xfId="11"/>
    <cellStyle name="Normal 2 4" xfId="12"/>
    <cellStyle name="Normal 2 5" xfId="23"/>
    <cellStyle name="Normal 3" xfId="13"/>
    <cellStyle name="Normal 3 2" xfId="14"/>
    <cellStyle name="Normal 4" xfId="15"/>
    <cellStyle name="Normal 5" xfId="16"/>
    <cellStyle name="Normal 6" xfId="17"/>
    <cellStyle name="Normal 6 2" xfId="18"/>
    <cellStyle name="Normal 7" xfId="19"/>
    <cellStyle name="Normal 8" xfId="20"/>
    <cellStyle name="Normal 9" xfId="21"/>
    <cellStyle name="WinCalendar_BlankCells_35" xfId="22"/>
  </cellStyles>
  <dxfs count="1902">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ill>
        <patternFill patternType="none">
          <bgColor auto="1"/>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color rgb="FFFF0000"/>
      </font>
    </dxf>
    <dxf>
      <font>
        <b/>
        <i val="0"/>
        <color rgb="FFFF0000"/>
      </font>
    </dxf>
    <dxf>
      <font>
        <color rgb="FF00B050"/>
      </font>
    </dxf>
    <dxf>
      <font>
        <b/>
        <i val="0"/>
        <color rgb="FFFF0000"/>
      </font>
    </dxf>
    <dxf>
      <font>
        <b/>
        <i val="0"/>
        <color rgb="FFFF0000"/>
      </font>
    </dxf>
    <dxf>
      <font>
        <b/>
        <i val="0"/>
        <color rgb="FFFF000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b/>
        <i val="0"/>
        <color rgb="FFFF0000"/>
      </font>
    </dxf>
    <dxf>
      <font>
        <b/>
        <i val="0"/>
        <color rgb="FFFF0000"/>
      </font>
    </dxf>
    <dxf>
      <font>
        <color rgb="FF00B05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b/>
        <i val="0"/>
      </font>
    </dxf>
    <dxf>
      <font>
        <color rgb="FF33CC33"/>
      </font>
    </dxf>
    <dxf>
      <font>
        <color rgb="FF33CC33"/>
      </font>
    </dxf>
    <dxf>
      <font>
        <color rgb="FFFF9900"/>
      </font>
    </dxf>
    <dxf>
      <font>
        <b/>
        <i val="0"/>
      </font>
    </dxf>
    <dxf>
      <font>
        <b/>
        <i val="0"/>
        <color rgb="FFFF0000"/>
      </font>
    </dxf>
    <dxf>
      <font>
        <color rgb="FFFF0000"/>
      </font>
    </dxf>
    <dxf>
      <font>
        <b/>
        <i val="0"/>
      </font>
    </dxf>
    <dxf>
      <font>
        <b/>
        <i val="0"/>
      </font>
    </dxf>
    <dxf>
      <font>
        <color rgb="FFFF0000"/>
      </font>
    </dxf>
    <dxf>
      <font>
        <color rgb="FF33CC33"/>
      </font>
    </dxf>
    <dxf>
      <font>
        <color rgb="FF9C0006"/>
      </font>
      <fill>
        <patternFill>
          <bgColor rgb="FFFFC7CE"/>
        </patternFill>
      </fill>
    </dxf>
    <dxf>
      <font>
        <b/>
        <i val="0"/>
      </font>
    </dxf>
    <dxf>
      <font>
        <color rgb="FFFF0000"/>
      </font>
    </dxf>
    <dxf>
      <font>
        <color rgb="FF9C0006"/>
      </font>
      <fill>
        <patternFill>
          <bgColor rgb="FFFFC7CE"/>
        </patternFill>
      </fill>
    </dxf>
    <dxf>
      <font>
        <b/>
        <i val="0"/>
      </font>
    </dxf>
    <dxf>
      <font>
        <color rgb="FFFF0000"/>
      </font>
    </dxf>
    <dxf>
      <font>
        <b/>
        <i val="0"/>
      </font>
    </dxf>
    <dxf>
      <font>
        <b/>
        <i val="0"/>
      </font>
    </dxf>
    <dxf>
      <font>
        <color rgb="FFFF0000"/>
      </font>
    </dxf>
    <dxf>
      <font>
        <color rgb="FF33CC33"/>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color rgb="FFFF0000"/>
      </font>
    </dxf>
    <dxf>
      <font>
        <color rgb="FFFF0000"/>
      </font>
    </dxf>
    <dxf>
      <font>
        <b/>
        <i val="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b/>
        <i val="0"/>
      </font>
    </dxf>
    <dxf>
      <font>
        <color rgb="FFFF0000"/>
      </font>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theme="1"/>
      </font>
      <fill>
        <patternFill patternType="none">
          <bgColor auto="1"/>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ont>
        <b/>
        <i val="0"/>
      </font>
    </dxf>
    <dxf>
      <font>
        <b/>
        <i val="0"/>
      </font>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b/>
        <i val="0"/>
      </font>
    </dxf>
    <dxf>
      <font>
        <b/>
        <i val="0"/>
      </font>
    </dxf>
    <dxf>
      <font>
        <b/>
        <i val="0"/>
      </font>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b/>
        <i val="0"/>
        <color rgb="FFFF0000"/>
      </font>
    </dxf>
    <dxf>
      <font>
        <color rgb="FF00B050"/>
      </font>
    </dxf>
    <dxf>
      <font>
        <b/>
        <i val="0"/>
        <color rgb="FFFF0000"/>
      </font>
    </dxf>
    <dxf>
      <font>
        <b/>
        <i val="0"/>
        <color rgb="FFFF0000"/>
      </font>
    </dxf>
    <dxf>
      <font>
        <b/>
        <i val="0"/>
        <color rgb="FFFF0000"/>
      </font>
    </dxf>
    <dxf>
      <font>
        <color rgb="FF9C0006"/>
      </font>
      <fill>
        <patternFill>
          <bgColor rgb="FFFFC7CE"/>
        </patternFill>
      </fill>
    </dxf>
    <dxf>
      <fill>
        <patternFill patternType="none">
          <bgColor auto="1"/>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color theme="0" tint="-0.14996795556505021"/>
      </font>
    </dxf>
    <dxf>
      <font>
        <b/>
        <i val="0"/>
      </font>
    </dxf>
    <dxf>
      <font>
        <b/>
        <i val="0"/>
      </font>
    </dxf>
    <dxf>
      <font>
        <b/>
        <i val="0"/>
      </font>
    </dxf>
    <dxf>
      <font>
        <b/>
        <i val="0"/>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ont>
        <b/>
        <i val="0"/>
      </font>
    </dxf>
    <dxf>
      <font>
        <color theme="0" tint="-0.14996795556505021"/>
      </font>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ont>
        <b/>
        <i val="0"/>
      </font>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4.9989318521683403E-2"/>
        </patternFill>
      </fill>
    </dxf>
    <dxf>
      <font>
        <b/>
        <i val="0"/>
      </font>
    </dxf>
    <dxf>
      <font>
        <color rgb="FF9C0006"/>
      </font>
      <fill>
        <patternFill>
          <bgColor rgb="FFFFC7CE"/>
        </patternFill>
      </fill>
    </dxf>
    <dxf>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ont>
        <b/>
        <i val="0"/>
      </font>
    </dxf>
    <dxf>
      <font>
        <color rgb="FF9C0006"/>
      </font>
      <fill>
        <patternFill>
          <bgColor rgb="FFFFC7CE"/>
        </patternFill>
      </fill>
    </dxf>
    <dxf>
      <font>
        <color theme="0" tint="-0.14996795556505021"/>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color rgb="FFFF0000"/>
      </font>
    </dxf>
    <dxf>
      <font>
        <b/>
        <i val="0"/>
        <color rgb="FFFF0000"/>
      </font>
    </dxf>
    <dxf>
      <font>
        <b/>
        <i val="0"/>
        <color rgb="FFFF0000"/>
      </font>
    </dxf>
    <dxf>
      <font>
        <b/>
        <i val="0"/>
        <color rgb="FFFF0000"/>
      </font>
    </dxf>
    <dxf>
      <font>
        <b/>
        <i val="0"/>
        <color rgb="FFFF0000"/>
      </font>
    </dxf>
    <dxf>
      <font>
        <color rgb="FF00B05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val="0"/>
        <i val="0"/>
      </font>
      <fill>
        <patternFill>
          <bgColor rgb="FFCCFFCC"/>
        </patternFill>
      </fill>
    </dxf>
    <dxf>
      <font>
        <b val="0"/>
        <i val="0"/>
      </font>
      <fill>
        <patternFill>
          <bgColor rgb="FFCCFFCC"/>
        </patternFill>
      </fill>
    </dxf>
    <dxf>
      <font>
        <b val="0"/>
        <i val="0"/>
      </font>
      <fill>
        <patternFill>
          <bgColor rgb="FFCCFFCC"/>
        </patternFill>
      </fill>
    </dxf>
    <dxf>
      <font>
        <b val="0"/>
        <i val="0"/>
      </font>
      <fill>
        <patternFill>
          <bgColor rgb="FFCCFFCC"/>
        </patternFill>
      </fill>
    </dxf>
    <dxf>
      <font>
        <b/>
        <i val="0"/>
      </font>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ont>
        <b/>
        <i val="0"/>
      </font>
    </dxf>
    <dxf>
      <fill>
        <patternFill>
          <bgColor rgb="FFFFCCCC"/>
        </patternFill>
      </fill>
    </dxf>
    <dxf>
      <fill>
        <patternFill>
          <bgColor rgb="FFFFCCCC"/>
        </patternFill>
      </fill>
    </dxf>
    <dxf>
      <fill>
        <patternFill>
          <bgColor rgb="FFFFCCCC"/>
        </patternFill>
      </fill>
    </dxf>
    <dxf>
      <fill>
        <patternFill>
          <bgColor rgb="FFFFCCCC"/>
        </patternFill>
      </fill>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ont>
        <b/>
        <i val="0"/>
      </font>
    </dxf>
    <dxf>
      <font>
        <b/>
        <i val="0"/>
      </font>
    </dxf>
    <dxf>
      <font>
        <color theme="0" tint="-0.14996795556505021"/>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70C0"/>
      </font>
    </dxf>
    <dxf>
      <font>
        <color rgb="FF9C0006"/>
      </font>
      <fill>
        <patternFill>
          <bgColor rgb="FFFFC7CE"/>
        </patternFill>
      </fill>
    </dxf>
    <dxf>
      <font>
        <color rgb="FFCC0000"/>
      </font>
    </dxf>
    <dxf>
      <fill>
        <patternFill>
          <bgColor rgb="FFCCFFCC"/>
        </patternFill>
      </fill>
    </dxf>
    <dxf>
      <font>
        <b/>
        <i val="0"/>
      </font>
    </dxf>
    <dxf>
      <font>
        <b val="0"/>
        <i/>
      </font>
    </dxf>
    <dxf>
      <font>
        <b/>
        <i val="0"/>
      </font>
    </dxf>
    <dxf>
      <font>
        <color rgb="FF9C0006"/>
      </font>
      <fill>
        <patternFill>
          <bgColor rgb="FFFFC7CE"/>
        </patternFill>
      </fill>
    </dxf>
    <dxf>
      <font>
        <color theme="9" tint="0.39994506668294322"/>
      </font>
    </dxf>
    <dxf>
      <font>
        <color theme="0"/>
      </font>
    </dxf>
    <dxf>
      <font>
        <color theme="9" tint="0.39994506668294322"/>
      </font>
    </dxf>
    <dxf>
      <font>
        <b/>
        <i val="0"/>
        <color rgb="FFCC0000"/>
      </font>
    </dxf>
    <dxf>
      <font>
        <b/>
        <i val="0"/>
      </font>
    </dxf>
    <dxf>
      <font>
        <b/>
        <i val="0"/>
      </font>
    </dxf>
    <dxf>
      <font>
        <strike/>
        <color rgb="FF00B0F0"/>
      </font>
    </dxf>
    <dxf>
      <font>
        <b val="0"/>
        <i val="0"/>
        <strike/>
        <color rgb="FF00B0F0"/>
      </font>
    </dxf>
    <dxf>
      <font>
        <strike/>
        <color rgb="FF00B0F0"/>
      </font>
    </dxf>
    <dxf>
      <font>
        <b/>
        <i val="0"/>
      </font>
    </dxf>
    <dxf>
      <font>
        <color rgb="FF0070C0"/>
      </font>
    </dxf>
    <dxf>
      <fill>
        <patternFill>
          <bgColor theme="2" tint="-9.9948118533890809E-2"/>
        </patternFill>
      </fill>
    </dxf>
    <dxf>
      <fill>
        <patternFill>
          <bgColor theme="7" tint="0.79998168889431442"/>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
      <font>
        <b/>
        <i val="0"/>
        <color rgb="FFFF0000"/>
      </font>
    </dxf>
    <dxf>
      <font>
        <b/>
        <i val="0"/>
        <color rgb="FFFF0000"/>
      </font>
    </dxf>
  </dxfs>
  <tableStyles count="0" defaultTableStyle="TableStyleMedium2" defaultPivotStyle="PivotStyleLight16"/>
  <colors>
    <mruColors>
      <color rgb="FFFFFF99"/>
      <color rgb="FFCCFFCC"/>
      <color rgb="FFFFCC99"/>
      <color rgb="FFFFCC66"/>
      <color rgb="FFCCECFF"/>
      <color rgb="FFFFCCFF"/>
      <color rgb="FFFFCCCC"/>
      <color rgb="FFCC0000"/>
      <color rgb="FFFFFFCC"/>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400050</xdr:colOff>
      <xdr:row>2</xdr:row>
      <xdr:rowOff>152400</xdr:rowOff>
    </xdr:to>
    <xdr:pic>
      <xdr:nvPicPr>
        <xdr:cNvPr id="1849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81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34</xdr:row>
      <xdr:rowOff>114300</xdr:rowOff>
    </xdr:from>
    <xdr:to>
      <xdr:col>2</xdr:col>
      <xdr:colOff>1848485</xdr:colOff>
      <xdr:row>36</xdr:row>
      <xdr:rowOff>51766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1775" y="4972050"/>
          <a:ext cx="400685" cy="261316"/>
        </a:xfrm>
        <a:prstGeom prst="rect">
          <a:avLst/>
        </a:prstGeom>
      </xdr:spPr>
    </xdr:pic>
    <xdr:clientData/>
  </xdr:twoCellAnchor>
  <xdr:twoCellAnchor editAs="oneCell">
    <xdr:from>
      <xdr:col>2</xdr:col>
      <xdr:colOff>714376</xdr:colOff>
      <xdr:row>33</xdr:row>
      <xdr:rowOff>66674</xdr:rowOff>
    </xdr:from>
    <xdr:to>
      <xdr:col>2</xdr:col>
      <xdr:colOff>952500</xdr:colOff>
      <xdr:row>35</xdr:row>
      <xdr:rowOff>16528</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38351" y="4762499"/>
          <a:ext cx="238124" cy="273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7</xdr:col>
      <xdr:colOff>73435</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2" name="Group 1"/>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5" name="Group 4"/>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0" name="Group 9"/>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4" name="Group 13"/>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7" name="Group 16"/>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103821</xdr:colOff>
      <xdr:row>0</xdr:row>
      <xdr:rowOff>19050</xdr:rowOff>
    </xdr:from>
    <xdr:to>
      <xdr:col>4</xdr:col>
      <xdr:colOff>361950</xdr:colOff>
      <xdr:row>1</xdr:row>
      <xdr:rowOff>153823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1746" y="19050"/>
          <a:ext cx="258129" cy="2966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9526</xdr:colOff>
      <xdr:row>0</xdr:row>
      <xdr:rowOff>9525</xdr:rowOff>
    </xdr:from>
    <xdr:to>
      <xdr:col>3</xdr:col>
      <xdr:colOff>162561</xdr:colOff>
      <xdr:row>1</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1" y="9525"/>
          <a:ext cx="46736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39"/>
  <sheetViews>
    <sheetView showGridLines="0" showRowColHeaders="0" workbookViewId="0">
      <pane ySplit="4" topLeftCell="A5" activePane="bottomLeft" state="frozen"/>
      <selection activeCell="I1" sqref="I1"/>
      <selection pane="bottomLeft" activeCell="I1" sqref="I1"/>
    </sheetView>
  </sheetViews>
  <sheetFormatPr defaultRowHeight="12.75" x14ac:dyDescent="0.2"/>
  <cols>
    <col min="1" max="1" width="13.140625" style="99" customWidth="1"/>
    <col min="2" max="2" width="6.7109375" style="99" bestFit="1" customWidth="1"/>
    <col min="3" max="3" width="37" style="99" bestFit="1" customWidth="1"/>
    <col min="4" max="4" width="13.7109375" style="99" bestFit="1" customWidth="1"/>
    <col min="5" max="5" width="6.7109375" style="99" bestFit="1" customWidth="1"/>
    <col min="6" max="6" width="18.42578125" style="99" bestFit="1" customWidth="1"/>
    <col min="7" max="7" width="17.7109375" style="99" bestFit="1" customWidth="1"/>
    <col min="8" max="8" width="4.5703125" style="99" customWidth="1"/>
    <col min="9" max="9" width="5" style="99" bestFit="1" customWidth="1"/>
    <col min="10" max="16384" width="9.140625" style="99"/>
  </cols>
  <sheetData>
    <row r="1" spans="1:15" x14ac:dyDescent="0.2">
      <c r="B1" s="121" t="s">
        <v>234</v>
      </c>
      <c r="F1" s="797" t="str">
        <f>HYPERLINK("","")</f>
        <v/>
      </c>
      <c r="G1" s="306" t="s">
        <v>926</v>
      </c>
    </row>
    <row r="2" spans="1:15" x14ac:dyDescent="0.2">
      <c r="A2" s="100"/>
      <c r="F2" s="101"/>
    </row>
    <row r="4" spans="1:15" x14ac:dyDescent="0.2">
      <c r="A4" s="102" t="s">
        <v>152</v>
      </c>
      <c r="B4" s="102" t="s">
        <v>153</v>
      </c>
      <c r="C4" s="102" t="s">
        <v>154</v>
      </c>
      <c r="D4" s="102" t="s">
        <v>155</v>
      </c>
      <c r="E4" s="102" t="s">
        <v>156</v>
      </c>
      <c r="F4" s="102" t="s">
        <v>157</v>
      </c>
      <c r="G4" s="102" t="s">
        <v>158</v>
      </c>
      <c r="H4" s="102" t="s">
        <v>159</v>
      </c>
      <c r="I4" s="102" t="s">
        <v>160</v>
      </c>
    </row>
    <row r="5" spans="1:15" x14ac:dyDescent="0.2">
      <c r="A5" s="332" t="s">
        <v>564</v>
      </c>
      <c r="B5" s="333"/>
      <c r="H5" s="103"/>
    </row>
    <row r="6" spans="1:15" x14ac:dyDescent="0.2">
      <c r="A6" s="841" t="s">
        <v>604</v>
      </c>
      <c r="B6" s="842" t="s">
        <v>163</v>
      </c>
      <c r="C6" s="843" t="str">
        <f>HYPERLINK("http://www.petanque.ee/index.php?id=103768&amp;cid=549","Eesti reitinguvõistlus")</f>
        <v>Eesti reitinguvõistlus</v>
      </c>
      <c r="D6" s="844" t="s">
        <v>162</v>
      </c>
      <c r="E6" s="120" t="str">
        <f>HYPERLINK("#1!G1","1")</f>
        <v>1</v>
      </c>
      <c r="F6" s="858" t="str">
        <f>HYPERLINK("http://kaart.delfi.ee/?bookmark=0807568cf7d8a03cedbb545921254497","Tallinn, Algi 38")</f>
        <v>Tallinn, Algi 38</v>
      </c>
      <c r="G6" s="844" t="s">
        <v>165</v>
      </c>
      <c r="H6" s="859">
        <v>8</v>
      </c>
      <c r="I6" s="860">
        <f>Üldreiting!V108</f>
        <v>33</v>
      </c>
    </row>
    <row r="7" spans="1:15" x14ac:dyDescent="0.2">
      <c r="A7" s="332" t="s">
        <v>565</v>
      </c>
      <c r="B7" s="333"/>
      <c r="H7" s="103"/>
    </row>
    <row r="8" spans="1:15" x14ac:dyDescent="0.2">
      <c r="A8" s="845" t="s">
        <v>239</v>
      </c>
      <c r="B8" s="846" t="s">
        <v>163</v>
      </c>
      <c r="C8" s="847" t="str">
        <f>HYPERLINK("http://www.petanque.ee/index.php?id=103768&amp;cid=531","Regioonide karika 1.etapp - põhja regioon")</f>
        <v>Regioonide karika 1.etapp - põhja regioon</v>
      </c>
      <c r="D8" s="845" t="s">
        <v>162</v>
      </c>
      <c r="E8" s="599"/>
      <c r="F8" s="861" t="str">
        <f>HYPERLINK("http://kaart.delfi.ee/?bookmark=0807568cf7d8a03cedbb545921254497","Tallinn, Algi 38")</f>
        <v>Tallinn, Algi 38</v>
      </c>
      <c r="G8" s="862" t="s">
        <v>165</v>
      </c>
      <c r="H8" s="863">
        <v>5</v>
      </c>
      <c r="I8" s="864"/>
    </row>
    <row r="9" spans="1:15" x14ac:dyDescent="0.2">
      <c r="A9" s="848" t="s">
        <v>240</v>
      </c>
      <c r="B9" s="849" t="s">
        <v>163</v>
      </c>
      <c r="C9" s="850" t="str">
        <f>HYPERLINK("http://www.petanque.ee/index.php?id=103768&amp;cid=532'","Eesti sise-MV")</f>
        <v>Eesti sise-MV</v>
      </c>
      <c r="D9" s="851" t="s">
        <v>166</v>
      </c>
      <c r="E9" s="335" t="str">
        <f>HYPERLINK("#2!G1","2")</f>
        <v>2</v>
      </c>
      <c r="F9" s="865" t="str">
        <f>HYPERLINK("http://kaart.delfi.ee/?bookmark=0807568cf7d8a03cedbb545921254497","Tallinn, Algi 38")</f>
        <v>Tallinn, Algi 38</v>
      </c>
      <c r="G9" s="848" t="s">
        <v>165</v>
      </c>
      <c r="H9" s="866">
        <v>8</v>
      </c>
      <c r="I9" s="867">
        <f>Üldreiting!W108</f>
        <v>53</v>
      </c>
    </row>
    <row r="10" spans="1:15" x14ac:dyDescent="0.2">
      <c r="A10" s="841" t="s">
        <v>241</v>
      </c>
      <c r="B10" s="842" t="s">
        <v>163</v>
      </c>
      <c r="C10" s="843" t="str">
        <f>HYPERLINK("http://www.petanque.ee/index.php?id=103768&amp;cid=533","Eesti reitinguvõistlus")</f>
        <v>Eesti reitinguvõistlus</v>
      </c>
      <c r="D10" s="844" t="s">
        <v>164</v>
      </c>
      <c r="E10" s="120" t="str">
        <f>HYPERLINK("#3!I1","3")</f>
        <v>3</v>
      </c>
      <c r="F10" s="858" t="str">
        <f>HYPERLINK("http://kaart.delfi.ee/?bookmark=0807568cf7d8a03cedbb545921254497","Tallinn, Algi 38")</f>
        <v>Tallinn, Algi 38</v>
      </c>
      <c r="G10" s="844" t="s">
        <v>165</v>
      </c>
      <c r="H10" s="859">
        <v>8</v>
      </c>
      <c r="I10" s="860">
        <f>Üldreiting!X108</f>
        <v>40</v>
      </c>
    </row>
    <row r="11" spans="1:15" x14ac:dyDescent="0.2">
      <c r="A11" s="334" t="s">
        <v>566</v>
      </c>
      <c r="B11" s="333"/>
      <c r="E11" s="118"/>
      <c r="H11" s="103"/>
      <c r="I11" s="446"/>
    </row>
    <row r="12" spans="1:15" s="107" customFormat="1" x14ac:dyDescent="0.2">
      <c r="A12" s="852" t="s">
        <v>242</v>
      </c>
      <c r="B12" s="846" t="s">
        <v>161</v>
      </c>
      <c r="C12" s="847" t="str">
        <f>HYPERLINK("http://www.petanque.ee/index.php?id=103768&amp;cid=558","Regioonide karika 1.etapp - ida regioon")</f>
        <v>Regioonide karika 1.etapp - ida regioon</v>
      </c>
      <c r="D12" s="845" t="s">
        <v>162</v>
      </c>
      <c r="E12" s="599"/>
      <c r="F12" s="903" t="str">
        <f>HYPERLINK("http://kaart.delfi.ee//?bookmark=6b5c09ba779b7b4f0086773fab39d161","K-Järve petangihall")</f>
        <v>K-Järve petangihall</v>
      </c>
      <c r="G12" s="862" t="s">
        <v>559</v>
      </c>
      <c r="H12" s="863">
        <v>0</v>
      </c>
      <c r="I12" s="864"/>
      <c r="J12" s="99"/>
      <c r="K12" s="99"/>
      <c r="L12" s="99"/>
      <c r="M12" s="99"/>
      <c r="N12" s="99"/>
      <c r="O12" s="99"/>
    </row>
    <row r="13" spans="1:15" s="107" customFormat="1" x14ac:dyDescent="0.2">
      <c r="A13" s="848" t="s">
        <v>599</v>
      </c>
      <c r="B13" s="853" t="s">
        <v>163</v>
      </c>
      <c r="C13" s="850" t="str">
        <f>HYPERLINK("http://www.petanque.ee/index.php?id=103768&amp;cid=5348","Eesti sise-MV")</f>
        <v>Eesti sise-MV</v>
      </c>
      <c r="D13" s="848" t="s">
        <v>172</v>
      </c>
      <c r="E13" s="335" t="str">
        <f>HYPERLINK("#4!H1","4")</f>
        <v>4</v>
      </c>
      <c r="F13" s="865" t="str">
        <f>HYPERLINK("http://kaart.delfi.ee/?bookmark=0807568cf7d8a03cedbb545921254497","Tallinn, Algi 38")</f>
        <v>Tallinn, Algi 38</v>
      </c>
      <c r="G13" s="851" t="s">
        <v>165</v>
      </c>
      <c r="H13" s="866">
        <v>8</v>
      </c>
      <c r="I13" s="867">
        <f>Üldreiting!Y108</f>
        <v>37</v>
      </c>
      <c r="J13" s="99"/>
      <c r="K13" s="99"/>
      <c r="L13" s="99"/>
      <c r="M13" s="99"/>
    </row>
    <row r="14" spans="1:15" s="107" customFormat="1" x14ac:dyDescent="0.2">
      <c r="A14" s="852" t="s">
        <v>773</v>
      </c>
      <c r="B14" s="846" t="s">
        <v>163</v>
      </c>
      <c r="C14" s="847" t="str">
        <f>HYPERLINK("http://www.petanque.ee/index.php?id=103589&amp;cid=560","Regioonide karika 1.etapp - lõuna regioon")</f>
        <v>Regioonide karika 1.etapp - lõuna regioon</v>
      </c>
      <c r="D14" s="845" t="s">
        <v>162</v>
      </c>
      <c r="E14" s="599"/>
      <c r="F14" s="601" t="s">
        <v>205</v>
      </c>
      <c r="G14" s="862" t="s">
        <v>230</v>
      </c>
      <c r="H14" s="863"/>
      <c r="I14" s="864"/>
      <c r="J14" s="99"/>
      <c r="K14" s="99"/>
      <c r="L14" s="99"/>
      <c r="M14" s="99"/>
    </row>
    <row r="15" spans="1:15" x14ac:dyDescent="0.2">
      <c r="A15" s="334" t="s">
        <v>567</v>
      </c>
      <c r="B15" s="333"/>
      <c r="C15" s="111"/>
      <c r="D15" s="111"/>
      <c r="E15" s="118"/>
      <c r="F15" s="111"/>
      <c r="G15" s="111"/>
      <c r="H15" s="116"/>
      <c r="I15" s="448"/>
    </row>
    <row r="16" spans="1:15" x14ac:dyDescent="0.2">
      <c r="A16" s="848" t="s">
        <v>243</v>
      </c>
      <c r="B16" s="853" t="s">
        <v>161</v>
      </c>
      <c r="C16" s="850" t="str">
        <f>HYPERLINK("http://www.petanque.ee/index.php?id=103768&amp;cid=535","Eesti sise-MV")</f>
        <v>Eesti sise-MV</v>
      </c>
      <c r="D16" s="848" t="s">
        <v>164</v>
      </c>
      <c r="E16" s="766" t="str">
        <f>HYPERLINK("#5!I1","5")</f>
        <v>5</v>
      </c>
      <c r="F16" s="904" t="str">
        <f t="shared" ref="F16:F17" si="0">HYPERLINK("http://kaart.delfi.ee//?bookmark=6b5c09ba779b7b4f0086773fab39d161","K-Järve petangihall")</f>
        <v>K-Järve petangihall</v>
      </c>
      <c r="G16" s="851" t="s">
        <v>559</v>
      </c>
      <c r="H16" s="866">
        <v>8</v>
      </c>
      <c r="I16" s="867">
        <f>Üldreiting!Z108</f>
        <v>38</v>
      </c>
    </row>
    <row r="17" spans="1:15" s="107" customFormat="1" x14ac:dyDescent="0.2">
      <c r="A17" s="841" t="s">
        <v>244</v>
      </c>
      <c r="B17" s="842" t="s">
        <v>163</v>
      </c>
      <c r="C17" s="843" t="str">
        <f>HYPERLINK("http://www.petanque.ee/index.php?id=103768&amp;cid=536","Eesti reitinguvõistlus")</f>
        <v>Eesti reitinguvõistlus</v>
      </c>
      <c r="D17" s="844" t="s">
        <v>162</v>
      </c>
      <c r="E17" s="440" t="str">
        <f>HYPERLINK("#6!H1","6")</f>
        <v>6</v>
      </c>
      <c r="F17" s="905" t="str">
        <f t="shared" si="0"/>
        <v>K-Järve petangihall</v>
      </c>
      <c r="G17" s="844" t="s">
        <v>559</v>
      </c>
      <c r="H17" s="859">
        <v>8</v>
      </c>
      <c r="I17" s="860">
        <f>Üldreiting!AA108</f>
        <v>39</v>
      </c>
      <c r="J17" s="99"/>
      <c r="K17" s="99"/>
      <c r="L17" s="99"/>
      <c r="M17" s="99"/>
    </row>
    <row r="18" spans="1:15" s="107" customFormat="1" x14ac:dyDescent="0.2">
      <c r="A18" s="104" t="s">
        <v>710</v>
      </c>
      <c r="B18" s="854" t="s">
        <v>163</v>
      </c>
      <c r="C18" s="855" t="str">
        <f>HYPERLINK("http://www.petanque.ee/index.php?id=103768&amp;cid=537","Klubide sari")</f>
        <v>Klubide sari</v>
      </c>
      <c r="D18" s="856" t="s">
        <v>749</v>
      </c>
      <c r="E18" s="440" t="str">
        <f>HYPERLINK("#'Kl-S'!H1","Kl-S")</f>
        <v>Kl-S</v>
      </c>
      <c r="F18" s="456" t="str">
        <f>HYPERLINK("http://kaart.delfi.ee/?bookmark=0807568cf7d8a03cedbb545921254497","Tallinn, Algi 38")</f>
        <v>Tallinn, Algi 38</v>
      </c>
      <c r="G18" s="856" t="s">
        <v>165</v>
      </c>
      <c r="H18" s="105">
        <v>10</v>
      </c>
      <c r="I18" s="106">
        <v>46</v>
      </c>
      <c r="J18" s="99"/>
      <c r="K18" s="99"/>
      <c r="L18" s="99"/>
      <c r="M18" s="99"/>
    </row>
    <row r="19" spans="1:15" s="107" customFormat="1" x14ac:dyDescent="0.2">
      <c r="A19" s="104" t="s">
        <v>710</v>
      </c>
      <c r="B19" s="854" t="s">
        <v>163</v>
      </c>
      <c r="C19" s="855" t="str">
        <f>HYPERLINK("http://www.petanque.ee/index.php?id=103768&amp;cid=538","Klubide sari")</f>
        <v>Klubide sari</v>
      </c>
      <c r="D19" s="856" t="s">
        <v>749</v>
      </c>
      <c r="E19" s="456"/>
      <c r="F19" s="456" t="str">
        <f>HYPERLINK("http://kaart.delfi.ee/?bookmark=0807568cf7d8a03cedbb545921254497","Tallinn, Algi 38")</f>
        <v>Tallinn, Algi 38</v>
      </c>
      <c r="G19" s="856" t="s">
        <v>165</v>
      </c>
      <c r="H19" s="105">
        <v>10</v>
      </c>
      <c r="I19" s="106"/>
      <c r="J19" s="99"/>
      <c r="K19" s="99"/>
      <c r="L19" s="99"/>
      <c r="M19" s="99"/>
    </row>
    <row r="20" spans="1:15" hidden="1" x14ac:dyDescent="0.2">
      <c r="A20" s="299" t="s">
        <v>235</v>
      </c>
      <c r="B20" s="300" t="s">
        <v>163</v>
      </c>
      <c r="C20" s="301" t="str">
        <f>HYPERLINK("http://www.petanque.ee/index.php?id=103589&amp;cid=494","Regioonide karika 2.etapp - põhja regioon")</f>
        <v>Regioonide karika 2.etapp - põhja regioon</v>
      </c>
      <c r="D20" s="299" t="s">
        <v>162</v>
      </c>
      <c r="E20" s="185"/>
      <c r="F20" s="297" t="str">
        <f>HYPERLINK("http://kaart.delfi.ee/?bookmark=0807568cf7d8a03cedbb545921254497","Tallinn, Algi 38")</f>
        <v>Tallinn, Algi 38</v>
      </c>
      <c r="G20" s="868" t="s">
        <v>165</v>
      </c>
      <c r="H20" s="869">
        <v>5</v>
      </c>
      <c r="I20" s="447"/>
    </row>
    <row r="21" spans="1:15" hidden="1" x14ac:dyDescent="0.2">
      <c r="A21" s="299" t="s">
        <v>235</v>
      </c>
      <c r="B21" s="300"/>
      <c r="C21" s="301" t="str">
        <f>HYPERLINK("http://www.petanque.ee/index.php?id=103589&amp;cid=501","Regioonide karika 2.etapp - lõuna regioon")</f>
        <v>Regioonide karika 2.etapp - lõuna regioon</v>
      </c>
      <c r="D21" s="299" t="s">
        <v>162</v>
      </c>
      <c r="E21" s="185"/>
      <c r="F21" s="870" t="s">
        <v>205</v>
      </c>
      <c r="G21" s="868" t="s">
        <v>204</v>
      </c>
      <c r="H21" s="869"/>
      <c r="I21" s="447"/>
    </row>
    <row r="22" spans="1:15" hidden="1" x14ac:dyDescent="0.2">
      <c r="A22" s="299" t="s">
        <v>236</v>
      </c>
      <c r="B22" s="300" t="s">
        <v>161</v>
      </c>
      <c r="C22" s="301" t="str">
        <f>HYPERLINK("http://www.petanque.ee/index.php?id=103589&amp;cid=499","Regioonide karika 2.etapp - ida regioon")</f>
        <v>Regioonide karika 2.etapp - ida regioon</v>
      </c>
      <c r="D22" s="299" t="s">
        <v>162</v>
      </c>
      <c r="E22" s="185"/>
      <c r="F22" s="870" t="s">
        <v>169</v>
      </c>
      <c r="G22" s="868" t="s">
        <v>171</v>
      </c>
      <c r="H22" s="869">
        <v>0</v>
      </c>
      <c r="I22" s="447"/>
    </row>
    <row r="23" spans="1:15" hidden="1" x14ac:dyDescent="0.2">
      <c r="A23" s="299" t="s">
        <v>237</v>
      </c>
      <c r="B23" s="300"/>
      <c r="C23" s="301" t="str">
        <f>HYPERLINK("http://www.petanque.ee/index.php?id=103589&amp;cid=502","Regioonide karika 2.etapp - lääne regioon")</f>
        <v>Regioonide karika 2.etapp - lääne regioon</v>
      </c>
      <c r="D23" s="299" t="s">
        <v>162</v>
      </c>
      <c r="E23" s="185"/>
      <c r="F23" s="298" t="str">
        <f>HYPERLINK("http://kaart.delfi.ee/?bookmark=cda1a90728898d6a841fffc33e06fd12","Haapsalu, Niine 17")</f>
        <v>Haapsalu, Niine 17</v>
      </c>
      <c r="G23" s="868" t="s">
        <v>170</v>
      </c>
      <c r="H23" s="869"/>
      <c r="I23" s="447"/>
    </row>
    <row r="24" spans="1:15" x14ac:dyDescent="0.2">
      <c r="A24" s="334" t="s">
        <v>568</v>
      </c>
      <c r="B24" s="333"/>
      <c r="C24" s="111"/>
      <c r="D24" s="111"/>
      <c r="E24" s="118"/>
      <c r="F24" s="111"/>
      <c r="G24" s="111"/>
      <c r="H24" s="116"/>
      <c r="I24" s="448"/>
    </row>
    <row r="25" spans="1:15" x14ac:dyDescent="0.2">
      <c r="A25" s="845" t="s">
        <v>774</v>
      </c>
      <c r="B25" s="846" t="s">
        <v>792</v>
      </c>
      <c r="C25" s="847" t="str">
        <f>HYPERLINK("http://www.petanque.ee/index.php?id=103768&amp;cid=539","Regioonide karika 2.etapp - põhja regioon")</f>
        <v>Regioonide karika 2.etapp - põhja regioon</v>
      </c>
      <c r="D25" s="845" t="s">
        <v>162</v>
      </c>
      <c r="E25" s="601"/>
      <c r="F25" s="861" t="str">
        <f>HYPERLINK("http://kaart.delfi.ee/?bookmark=0807568cf7d8a03cedbb545921254497","Tallinn, Algi 38")</f>
        <v>Tallinn, Algi 38</v>
      </c>
      <c r="G25" s="862" t="s">
        <v>165</v>
      </c>
      <c r="H25" s="863">
        <v>5</v>
      </c>
      <c r="I25" s="864"/>
    </row>
    <row r="26" spans="1:15" x14ac:dyDescent="0.2">
      <c r="A26" s="841" t="s">
        <v>776</v>
      </c>
      <c r="B26" s="857" t="s">
        <v>163</v>
      </c>
      <c r="C26" s="843" t="str">
        <f>HYPERLINK("http://www.petanque.ee/index.php?id=103768&amp;cid=540","Eesti reitinguvõistlus")</f>
        <v>Eesti reitinguvõistlus</v>
      </c>
      <c r="D26" s="841" t="s">
        <v>162</v>
      </c>
      <c r="E26" s="120" t="str">
        <f>HYPERLINK("#7!G1","7")</f>
        <v>7</v>
      </c>
      <c r="F26" s="858" t="str">
        <f t="shared" ref="F26:F28" si="1">HYPERLINK("http://kaart.delfi.ee/?bookmark=0807568cf7d8a03cedbb545921254497","Tallinn, Algi 38")</f>
        <v>Tallinn, Algi 38</v>
      </c>
      <c r="G26" s="844" t="s">
        <v>165</v>
      </c>
      <c r="H26" s="859">
        <v>8</v>
      </c>
      <c r="I26" s="860">
        <f>Üldreiting!AB108</f>
        <v>30</v>
      </c>
    </row>
    <row r="27" spans="1:15" x14ac:dyDescent="0.2">
      <c r="A27" s="852" t="s">
        <v>775</v>
      </c>
      <c r="B27" s="846" t="s">
        <v>163</v>
      </c>
      <c r="C27" s="847" t="str">
        <f>HYPERLINK("http://www.petanque.ee/index.php?id=103589&amp;cid=561","Regioonide karika 2.etapp - lõuna regioon")</f>
        <v>Regioonide karika 2.etapp - lõuna regioon</v>
      </c>
      <c r="D27" s="845" t="s">
        <v>162</v>
      </c>
      <c r="E27" s="601"/>
      <c r="F27" s="601" t="s">
        <v>205</v>
      </c>
      <c r="G27" s="862" t="s">
        <v>230</v>
      </c>
      <c r="H27" s="863"/>
      <c r="I27" s="864"/>
    </row>
    <row r="28" spans="1:15" s="107" customFormat="1" x14ac:dyDescent="0.2">
      <c r="A28" s="841" t="s">
        <v>252</v>
      </c>
      <c r="B28" s="842" t="s">
        <v>163</v>
      </c>
      <c r="C28" s="843" t="str">
        <f>HYPERLINK("http://www.petanque.ee/index.php?id=103768&amp;cid=541","Eesti reitinguvõistlus")</f>
        <v>Eesti reitinguvõistlus</v>
      </c>
      <c r="D28" s="844" t="s">
        <v>164</v>
      </c>
      <c r="E28" s="120" t="str">
        <f>HYPERLINK("#8!J1","8")</f>
        <v>8</v>
      </c>
      <c r="F28" s="858" t="str">
        <f t="shared" si="1"/>
        <v>Tallinn, Algi 38</v>
      </c>
      <c r="G28" s="844" t="s">
        <v>165</v>
      </c>
      <c r="H28" s="859">
        <v>8</v>
      </c>
      <c r="I28" s="860">
        <f>Üldreiting!AC108</f>
        <v>22</v>
      </c>
      <c r="J28" s="99"/>
      <c r="K28" s="99"/>
      <c r="L28" s="99"/>
      <c r="M28" s="99"/>
    </row>
    <row r="29" spans="1:15" x14ac:dyDescent="0.2">
      <c r="A29" s="848" t="s">
        <v>251</v>
      </c>
      <c r="B29" s="849" t="s">
        <v>163</v>
      </c>
      <c r="C29" s="850" t="str">
        <f>HYPERLINK("http://www.petanque.ee/index.php?id=103768&amp;cid=542","Eesti sise-MV")</f>
        <v>Eesti sise-MV</v>
      </c>
      <c r="D29" s="851" t="s">
        <v>167</v>
      </c>
      <c r="E29" s="335" t="str">
        <f>HYPERLINK("#9!W1","9")</f>
        <v>9</v>
      </c>
      <c r="F29" s="865" t="str">
        <f>HYPERLINK("http://kaart.delfi.ee/?bookmark=0807568cf7d8a03cedbb545921254497","Tallinn, Algi 38")</f>
        <v>Tallinn, Algi 38</v>
      </c>
      <c r="G29" s="851" t="s">
        <v>165</v>
      </c>
      <c r="H29" s="866">
        <v>8</v>
      </c>
      <c r="I29" s="867">
        <f ca="1">Üldreiting!AD108</f>
        <v>16</v>
      </c>
    </row>
    <row r="30" spans="1:15" s="107" customFormat="1" x14ac:dyDescent="0.2">
      <c r="A30" s="852" t="s">
        <v>711</v>
      </c>
      <c r="B30" s="846" t="s">
        <v>161</v>
      </c>
      <c r="C30" s="847" t="str">
        <f>HYPERLINK("","Regioonide karika 2.etapp - ida regioon")</f>
        <v>Regioonide karika 2.etapp - ida regioon</v>
      </c>
      <c r="D30" s="845" t="s">
        <v>162</v>
      </c>
      <c r="E30" s="600"/>
      <c r="F30" s="903" t="str">
        <f>HYPERLINK("http://kaart.delfi.ee//?bookmark=6b5c09ba779b7b4f0086773fab39d161","K-Järve petangihall")</f>
        <v>K-Järve petangihall</v>
      </c>
      <c r="G30" s="862" t="s">
        <v>559</v>
      </c>
      <c r="H30" s="863">
        <v>0</v>
      </c>
      <c r="I30" s="864"/>
      <c r="J30" s="99"/>
      <c r="K30" s="99"/>
      <c r="L30" s="99"/>
      <c r="M30" s="99"/>
      <c r="N30" s="99"/>
      <c r="O30" s="99"/>
    </row>
    <row r="31" spans="1:15" x14ac:dyDescent="0.2">
      <c r="A31" s="334" t="s">
        <v>569</v>
      </c>
      <c r="B31" s="333"/>
      <c r="C31" s="107"/>
      <c r="D31" s="107"/>
      <c r="E31" s="119"/>
      <c r="F31" s="107"/>
      <c r="G31" s="107"/>
      <c r="H31" s="871"/>
      <c r="I31" s="448"/>
    </row>
    <row r="32" spans="1:15" x14ac:dyDescent="0.2">
      <c r="A32" s="841" t="s">
        <v>253</v>
      </c>
      <c r="B32" s="857" t="s">
        <v>163</v>
      </c>
      <c r="C32" s="843" t="str">
        <f>HYPERLINK("http://www.petanque.ee/index.php?id=103768&amp;cid=543","Eesti reitinguvõistlus")</f>
        <v>Eesti reitinguvõistlus</v>
      </c>
      <c r="D32" s="841" t="s">
        <v>164</v>
      </c>
      <c r="E32" s="120" t="str">
        <f>HYPERLINK("#10!J1","10")</f>
        <v>10</v>
      </c>
      <c r="F32" s="858" t="str">
        <f t="shared" ref="F32:F33" si="2">HYPERLINK("http://kaart.delfi.ee/?bookmark=0807568cf7d8a03cedbb545921254497","Tallinn, Algi 38")</f>
        <v>Tallinn, Algi 38</v>
      </c>
      <c r="G32" s="844" t="s">
        <v>165</v>
      </c>
      <c r="H32" s="859">
        <v>8</v>
      </c>
      <c r="I32" s="860">
        <f>Üldreiting!AE108</f>
        <v>22</v>
      </c>
    </row>
    <row r="33" spans="1:10" x14ac:dyDescent="0.2">
      <c r="A33" s="848" t="s">
        <v>254</v>
      </c>
      <c r="B33" s="853" t="s">
        <v>163</v>
      </c>
      <c r="C33" s="850" t="str">
        <f>HYPERLINK("http://www.petanque.ee/index.php?id=103768&amp;cid=544","Eesti sise-MV")</f>
        <v>Eesti sise-MV</v>
      </c>
      <c r="D33" s="848" t="s">
        <v>162</v>
      </c>
      <c r="E33" s="335" t="str">
        <f>HYPERLINK("#11!J1","11")</f>
        <v>11</v>
      </c>
      <c r="F33" s="865" t="str">
        <f t="shared" si="2"/>
        <v>Tallinn, Algi 38</v>
      </c>
      <c r="G33" s="851" t="s">
        <v>165</v>
      </c>
      <c r="H33" s="866">
        <v>8</v>
      </c>
      <c r="I33" s="867">
        <f>Üldreiting!AF108</f>
        <v>39</v>
      </c>
      <c r="J33" s="107"/>
    </row>
    <row r="34" spans="1:10" x14ac:dyDescent="0.2">
      <c r="A34" s="334" t="s">
        <v>570</v>
      </c>
      <c r="B34" s="333"/>
      <c r="C34" s="107"/>
      <c r="D34" s="107"/>
      <c r="E34" s="119"/>
      <c r="F34" s="107"/>
      <c r="G34" s="107"/>
      <c r="H34" s="871"/>
      <c r="I34" s="448"/>
      <c r="J34" s="107"/>
    </row>
    <row r="35" spans="1:10" x14ac:dyDescent="0.2">
      <c r="A35" s="878" t="s">
        <v>238</v>
      </c>
      <c r="B35" s="879" t="s">
        <v>163</v>
      </c>
      <c r="C35" s="880" t="str">
        <f>HYPERLINK("http://www.petanque.ee/index.php?id=103768&amp;cid=547","Naljaturniir")</f>
        <v>Naljaturniir</v>
      </c>
      <c r="D35" s="881" t="s">
        <v>909</v>
      </c>
      <c r="E35" s="882" t="str">
        <f>HYPERLINK("#nalja!J1","nalja")</f>
        <v>nalja</v>
      </c>
      <c r="F35" s="880" t="str">
        <f>HYPERLINK("http://kaart.delfi.ee/?bookmark=0807568cf7d8a03cedbb545921254497","Tallinn, Algi 38")</f>
        <v>Tallinn, Algi 38</v>
      </c>
      <c r="G35" s="878" t="s">
        <v>165</v>
      </c>
      <c r="H35" s="883">
        <v>5</v>
      </c>
      <c r="I35" s="884">
        <v>28</v>
      </c>
      <c r="J35" s="107"/>
    </row>
    <row r="36" spans="1:10" x14ac:dyDescent="0.2">
      <c r="A36" s="845" t="s">
        <v>255</v>
      </c>
      <c r="B36" s="846" t="s">
        <v>161</v>
      </c>
      <c r="C36" s="847" t="str">
        <f>HYPERLINK("http://www.petanque.ee/index.php?id=103768&amp;cid=548","Regioonide karika finaal")</f>
        <v>Regioonide karika finaal</v>
      </c>
      <c r="D36" s="845" t="s">
        <v>162</v>
      </c>
      <c r="E36" s="872" t="str">
        <f>HYPERLINK("#'Reg-Fin'!I1","Reg-Fin")</f>
        <v>Reg-Fin</v>
      </c>
      <c r="F36" s="861" t="str">
        <f>HYPERLINK("http://kaart.delfi.ee/?bookmark=0807568cf7d8a03cedbb545921254497","Tallinn, Algi 38")</f>
        <v>Tallinn, Algi 38</v>
      </c>
      <c r="G36" s="862" t="s">
        <v>165</v>
      </c>
      <c r="H36" s="863">
        <v>30</v>
      </c>
      <c r="I36" s="864"/>
    </row>
    <row r="37" spans="1:10" x14ac:dyDescent="0.2">
      <c r="A37" s="111"/>
      <c r="B37" s="112"/>
      <c r="C37" s="111"/>
      <c r="D37" s="111"/>
      <c r="E37" s="113"/>
      <c r="F37" s="114"/>
      <c r="G37" s="115"/>
      <c r="H37" s="116"/>
      <c r="I37" s="117"/>
      <c r="J37" s="107"/>
    </row>
    <row r="38" spans="1:10" s="107" customFormat="1" x14ac:dyDescent="0.2">
      <c r="A38" s="373" t="s">
        <v>256</v>
      </c>
      <c r="B38" s="108"/>
      <c r="C38" s="108"/>
      <c r="H38" s="109"/>
    </row>
    <row r="39" spans="1:10" x14ac:dyDescent="0.2">
      <c r="A39" s="110" t="s">
        <v>168</v>
      </c>
      <c r="I39" s="292" t="s">
        <v>219</v>
      </c>
    </row>
  </sheetData>
  <autoFilter ref="A4:H35"/>
  <conditionalFormatting sqref="I6:I13 I15:I26 I28:I36">
    <cfRule type="expression" dxfId="1901" priority="7201">
      <formula>I6=MAX($I$6:$I$36)</formula>
    </cfRule>
  </conditionalFormatting>
  <conditionalFormatting sqref="I14">
    <cfRule type="expression" dxfId="1900" priority="2">
      <formula>I14=MAX($I$6:$I$36)</formula>
    </cfRule>
  </conditionalFormatting>
  <conditionalFormatting sqref="I27">
    <cfRule type="expression" dxfId="1899" priority="1">
      <formula>I27=MAX($I$6:$I$36)</formula>
    </cfRule>
  </conditionalFormatting>
  <printOptions horizontalCentered="1"/>
  <pageMargins left="0.39370078740157483" right="0.39370078740157483" top="0.98425196850393704" bottom="0.39370078740157483" header="0.78740157480314965" footer="0"/>
  <pageSetup paperSize="9" fitToHeight="0" orientation="landscape" horizontalDpi="180" verticalDpi="180" r:id="rId1"/>
  <headerFooter>
    <oddHeader>&amp;R&amp;"Arial,Regular"&amp;9Page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N109"/>
  <sheetViews>
    <sheetView showGridLines="0" tabSelected="1" topLeftCell="D1" zoomScaleNormal="100" workbookViewId="0">
      <pane ySplit="8" topLeftCell="A9" activePane="bottomLeft" state="frozen"/>
      <selection pane="bottomLeft" activeCell="Y1" sqref="Y1"/>
    </sheetView>
  </sheetViews>
  <sheetFormatPr defaultRowHeight="12.75" x14ac:dyDescent="0.2"/>
  <cols>
    <col min="1" max="2" width="4" style="74" hidden="1" customWidth="1"/>
    <col min="3" max="3" width="22.5703125" style="74" hidden="1" customWidth="1"/>
    <col min="4" max="4" width="4.42578125" style="74" customWidth="1"/>
    <col min="5" max="5" width="4" style="74" hidden="1" customWidth="1"/>
    <col min="6" max="6" width="21.85546875" style="74" hidden="1" customWidth="1"/>
    <col min="7" max="7" width="4" style="27" hidden="1" customWidth="1"/>
    <col min="8" max="8" width="6.140625" style="27" bestFit="1" customWidth="1"/>
    <col min="9" max="9" width="20.5703125" style="27" customWidth="1"/>
    <col min="10" max="10" width="6.5703125" style="27" bestFit="1" customWidth="1"/>
    <col min="11" max="11" width="5.85546875" style="27" customWidth="1"/>
    <col min="12" max="12" width="16.7109375" style="27" hidden="1" customWidth="1"/>
    <col min="13" max="13" width="22.140625" style="27" hidden="1" customWidth="1"/>
    <col min="14" max="14" width="11" style="27" hidden="1" customWidth="1"/>
    <col min="15" max="15" width="8.5703125" style="27" hidden="1" customWidth="1"/>
    <col min="16" max="16" width="25.85546875" style="27" hidden="1" customWidth="1"/>
    <col min="17" max="17" width="10.7109375" style="27" hidden="1" customWidth="1"/>
    <col min="18" max="18" width="2.28515625" style="27" hidden="1" customWidth="1"/>
    <col min="19" max="19" width="1.85546875" style="27" hidden="1" customWidth="1"/>
    <col min="20" max="20" width="2.28515625" style="27" hidden="1" customWidth="1"/>
    <col min="21" max="21" width="2.28515625" style="74" hidden="1" customWidth="1"/>
    <col min="22" max="32" width="6.28515625" style="27" customWidth="1"/>
    <col min="33" max="35" width="3.7109375" style="27" customWidth="1"/>
    <col min="36" max="36" width="5.28515625" style="27" customWidth="1"/>
    <col min="37" max="37" width="15.140625" style="27" hidden="1" customWidth="1"/>
    <col min="38" max="38" width="14.85546875" style="27" hidden="1" customWidth="1"/>
    <col min="39" max="39" width="14.42578125" style="27" hidden="1" customWidth="1"/>
    <col min="40" max="40" width="16.7109375" style="27" hidden="1" customWidth="1"/>
    <col min="41" max="16384" width="9.140625" style="27"/>
  </cols>
  <sheetData>
    <row r="1" spans="1:40" x14ac:dyDescent="0.2">
      <c r="A1" s="71"/>
      <c r="B1" s="411"/>
      <c r="C1" s="411"/>
      <c r="E1" s="411"/>
      <c r="F1" s="411"/>
      <c r="I1" s="71" t="s">
        <v>274</v>
      </c>
      <c r="L1" s="410"/>
      <c r="M1" s="429" t="s">
        <v>669</v>
      </c>
      <c r="N1" s="410"/>
      <c r="O1" s="410"/>
      <c r="P1" s="410"/>
      <c r="Q1" s="410"/>
      <c r="R1" s="410"/>
      <c r="S1" s="410"/>
      <c r="T1" s="410"/>
      <c r="U1" s="410"/>
      <c r="AB1" s="364" t="s">
        <v>0</v>
      </c>
      <c r="AC1" s="365"/>
      <c r="AD1" s="366" t="s">
        <v>179</v>
      </c>
      <c r="AE1" s="367"/>
      <c r="AF1" s="803" t="s">
        <v>7</v>
      </c>
      <c r="AG1" s="804"/>
      <c r="AH1" s="4" t="s">
        <v>2</v>
      </c>
      <c r="AI1" s="4"/>
      <c r="AK1" s="429" t="s">
        <v>669</v>
      </c>
      <c r="AL1" s="410"/>
      <c r="AM1" s="410"/>
      <c r="AN1" s="410"/>
    </row>
    <row r="2" spans="1:40" x14ac:dyDescent="0.2">
      <c r="A2" s="1"/>
      <c r="B2" s="1"/>
      <c r="C2" s="1"/>
      <c r="E2" s="1"/>
      <c r="F2" s="1"/>
      <c r="I2" s="1" t="s">
        <v>256</v>
      </c>
      <c r="N2" s="408" t="s">
        <v>661</v>
      </c>
      <c r="P2" s="74"/>
      <c r="Q2" s="74"/>
      <c r="R2" s="74"/>
      <c r="S2" s="74"/>
      <c r="T2" s="74"/>
      <c r="V2" s="74"/>
      <c r="AB2" s="361" t="s">
        <v>594</v>
      </c>
      <c r="AC2" s="362"/>
      <c r="AD2" s="363"/>
      <c r="AE2" s="368"/>
      <c r="AF2" s="315"/>
      <c r="AG2" s="369"/>
      <c r="AH2" s="6" t="s">
        <v>3</v>
      </c>
      <c r="AI2" s="6"/>
      <c r="AM2" s="27" t="s">
        <v>709</v>
      </c>
    </row>
    <row r="3" spans="1:40" x14ac:dyDescent="0.2">
      <c r="I3" s="128" t="s">
        <v>571</v>
      </c>
      <c r="J3" s="304"/>
      <c r="K3" s="409"/>
      <c r="M3" s="407" t="s">
        <v>662</v>
      </c>
      <c r="W3" s="2"/>
      <c r="X3" s="2"/>
      <c r="Y3" s="2"/>
      <c r="Z3" s="2"/>
      <c r="AA3" s="2"/>
      <c r="AB3" s="2"/>
      <c r="AC3" s="2"/>
      <c r="AD3" s="2"/>
      <c r="AE3" s="2"/>
      <c r="AF3" s="2"/>
      <c r="AG3" s="3"/>
      <c r="AH3" s="7" t="s">
        <v>4</v>
      </c>
      <c r="AI3" s="7"/>
      <c r="AK3" s="404" t="s">
        <v>665</v>
      </c>
      <c r="AM3" s="404" t="s">
        <v>681</v>
      </c>
    </row>
    <row r="4" spans="1:40" s="2" customFormat="1" x14ac:dyDescent="0.2">
      <c r="A4" s="98"/>
      <c r="B4" s="98"/>
      <c r="C4" s="98"/>
      <c r="D4" s="913"/>
      <c r="E4" s="913"/>
      <c r="F4" s="913"/>
      <c r="G4" s="913"/>
      <c r="H4" s="913" t="s">
        <v>5</v>
      </c>
      <c r="I4" s="8"/>
      <c r="J4" s="77" t="s">
        <v>5</v>
      </c>
      <c r="K4" s="77" t="s">
        <v>5</v>
      </c>
      <c r="L4" s="383" t="s">
        <v>620</v>
      </c>
      <c r="M4" s="384" t="s">
        <v>658</v>
      </c>
      <c r="N4" s="386" t="s">
        <v>657</v>
      </c>
      <c r="O4" s="384" t="s">
        <v>642</v>
      </c>
      <c r="P4" s="384" t="s">
        <v>628</v>
      </c>
      <c r="Q4" s="388" t="s">
        <v>686</v>
      </c>
      <c r="R4" s="77"/>
      <c r="S4" s="77"/>
      <c r="T4" s="77"/>
      <c r="U4" s="77"/>
      <c r="V4" s="87" t="str">
        <f t="shared" ref="V4:AD4" si="0">HYPERLINK("http://kaart.delfi.ee/?bookmark=0807568cf7d8a03cedbb545921254497","Tallinn")</f>
        <v>Tallinn</v>
      </c>
      <c r="W4" s="73" t="str">
        <f t="shared" si="0"/>
        <v>Tallinn</v>
      </c>
      <c r="X4" s="87" t="str">
        <f t="shared" si="0"/>
        <v>Tallinn</v>
      </c>
      <c r="Y4" s="73" t="str">
        <f t="shared" si="0"/>
        <v>Tallinn</v>
      </c>
      <c r="Z4" s="89" t="s">
        <v>139</v>
      </c>
      <c r="AA4" s="90" t="s">
        <v>139</v>
      </c>
      <c r="AB4" s="87" t="str">
        <f t="shared" si="0"/>
        <v>Tallinn</v>
      </c>
      <c r="AC4" s="87" t="str">
        <f t="shared" si="0"/>
        <v>Tallinn</v>
      </c>
      <c r="AD4" s="394" t="str">
        <f t="shared" si="0"/>
        <v>Tallinn</v>
      </c>
      <c r="AE4" s="87" t="str">
        <f>HYPERLINK("http://kaart.delfi.ee/?bookmark=0807568cf7d8a03cedbb545921254497","Tallinn")</f>
        <v>Tallinn</v>
      </c>
      <c r="AF4" s="73" t="str">
        <f>HYPERLINK("http://kaart.delfi.ee/?bookmark=0807568cf7d8a03cedbb545921254497","Tallinn")</f>
        <v>Tallinn</v>
      </c>
      <c r="AG4" s="9" t="s">
        <v>6</v>
      </c>
      <c r="AH4" s="10"/>
      <c r="AI4" s="11"/>
      <c r="AJ4" s="808"/>
      <c r="AK4" s="404" t="s">
        <v>653</v>
      </c>
      <c r="AM4" s="404" t="s">
        <v>682</v>
      </c>
    </row>
    <row r="5" spans="1:40" s="2" customFormat="1" ht="13.5" thickBot="1" x14ac:dyDescent="0.25">
      <c r="A5" s="98"/>
      <c r="B5" s="98"/>
      <c r="C5" s="98"/>
      <c r="D5" s="913"/>
      <c r="E5" s="913"/>
      <c r="F5" s="913"/>
      <c r="G5" s="913"/>
      <c r="H5" s="913" t="s">
        <v>5</v>
      </c>
      <c r="I5" s="8" t="s">
        <v>103</v>
      </c>
      <c r="J5" s="77" t="s">
        <v>5</v>
      </c>
      <c r="K5" s="77" t="s">
        <v>5</v>
      </c>
      <c r="L5" s="384" t="s">
        <v>621</v>
      </c>
      <c r="M5" s="384" t="s">
        <v>659</v>
      </c>
      <c r="N5" s="386" t="s">
        <v>623</v>
      </c>
      <c r="O5" s="384" t="s">
        <v>625</v>
      </c>
      <c r="P5" s="384" t="s">
        <v>629</v>
      </c>
      <c r="Q5" s="388" t="s">
        <v>687</v>
      </c>
      <c r="R5" s="77"/>
      <c r="S5" s="77"/>
      <c r="T5" s="77"/>
      <c r="U5" s="77"/>
      <c r="V5" s="77" t="s">
        <v>7</v>
      </c>
      <c r="W5" s="339" t="s">
        <v>1</v>
      </c>
      <c r="X5" s="340" t="s">
        <v>7</v>
      </c>
      <c r="Y5" s="12" t="s">
        <v>1</v>
      </c>
      <c r="Z5" s="339" t="s">
        <v>1</v>
      </c>
      <c r="AA5" s="340" t="s">
        <v>7</v>
      </c>
      <c r="AB5" s="77" t="s">
        <v>7</v>
      </c>
      <c r="AC5" s="340" t="s">
        <v>7</v>
      </c>
      <c r="AD5" s="395" t="s">
        <v>1</v>
      </c>
      <c r="AE5" s="77" t="s">
        <v>7</v>
      </c>
      <c r="AF5" s="12" t="s">
        <v>1</v>
      </c>
      <c r="AG5" s="13" t="s">
        <v>5</v>
      </c>
      <c r="AH5" s="10" t="s">
        <v>8</v>
      </c>
      <c r="AI5" s="11"/>
      <c r="AJ5" s="809" t="s">
        <v>9</v>
      </c>
      <c r="AK5" s="308" t="s">
        <v>655</v>
      </c>
      <c r="AM5" s="5" t="s">
        <v>683</v>
      </c>
    </row>
    <row r="6" spans="1:40" s="2" customFormat="1" x14ac:dyDescent="0.2">
      <c r="A6" s="374"/>
      <c r="B6" s="374"/>
      <c r="C6" s="327"/>
      <c r="D6" s="914"/>
      <c r="E6" s="914"/>
      <c r="F6" s="914"/>
      <c r="G6" s="914"/>
      <c r="H6" s="914"/>
      <c r="I6" s="77" t="s">
        <v>5</v>
      </c>
      <c r="J6" s="77" t="s">
        <v>5</v>
      </c>
      <c r="K6" s="77" t="s">
        <v>5</v>
      </c>
      <c r="L6" s="77" t="s">
        <v>619</v>
      </c>
      <c r="M6" s="384" t="s">
        <v>660</v>
      </c>
      <c r="N6" s="386" t="s">
        <v>624</v>
      </c>
      <c r="O6" s="384" t="s">
        <v>626</v>
      </c>
      <c r="P6" s="384" t="s">
        <v>630</v>
      </c>
      <c r="Q6" s="388" t="s">
        <v>688</v>
      </c>
      <c r="R6" s="77"/>
      <c r="S6" s="77"/>
      <c r="T6" s="77"/>
      <c r="U6" s="77"/>
      <c r="V6" s="91" t="str">
        <f>HYPERLINK("http://www.petanque.ee/index.php?id=103589&amp;cid=472",MID(Kalend!A6,4,5))</f>
        <v>29.10</v>
      </c>
      <c r="W6" s="337" t="str">
        <f>HYPERLINK("http://www.petanque.ee/index.php?id=103589&amp;cid=473",MID(Kalend!A9,4,5))</f>
        <v>25.11</v>
      </c>
      <c r="X6" s="338" t="str">
        <f>HYPERLINK("http://www.petanque.ee/index.php?id=103589&amp;cid=474",MID(Kalend!A10,4,5))</f>
        <v>26.11</v>
      </c>
      <c r="Y6" s="92" t="str">
        <f>HYPERLINK("http://www.petanque.ee/index.php?id=103589&amp;cid=476",MID(Kalend!A13,4,5))</f>
        <v>10.12</v>
      </c>
      <c r="Z6" s="337" t="str">
        <f>HYPERLINK("http://www.petanque.ee/index.php?id=103589&amp;cid=477",MID(Kalend!A16,4,5))</f>
        <v>06.01</v>
      </c>
      <c r="AA6" s="338" t="str">
        <f>HYPERLINK("http://www.petanque.ee/index.php?id=103589&amp;cid=478",MID(Kalend!A17,4,5))</f>
        <v>07.01</v>
      </c>
      <c r="AB6" s="91" t="str">
        <f>HYPERLINK("http://www.petanque.ee/index.php?id=103589&amp;cid=479",MID(Kalend!A26,4,5))</f>
        <v>04.02</v>
      </c>
      <c r="AC6" s="338" t="str">
        <f>HYPERLINK("http://www.petanque.ee/index.php?id=103589&amp;cid=482",MID(Kalend!A28,4,5))</f>
        <v>17.02</v>
      </c>
      <c r="AD6" s="396" t="str">
        <f>HYPERLINK("http://www.petanque.ee/index.php?id=103589&amp;cid=492",MID(Kalend!A29,4,5))</f>
        <v>18.02</v>
      </c>
      <c r="AE6" s="91" t="str">
        <f>HYPERLINK("http://www.petanque.ee/index.php?id=103589&amp;cid=483",MID(Kalend!A32,4,5))</f>
        <v>03.03</v>
      </c>
      <c r="AF6" s="92" t="str">
        <f>HYPERLINK("http://www.petanque.ee/index.php?id=103589&amp;cid=487",MID(Kalend!A33,4,5))</f>
        <v>04.03</v>
      </c>
      <c r="AG6" s="14" t="s">
        <v>5</v>
      </c>
      <c r="AH6" s="3" t="s">
        <v>10</v>
      </c>
      <c r="AI6" s="15" t="s">
        <v>11</v>
      </c>
      <c r="AJ6" s="809" t="s">
        <v>12</v>
      </c>
      <c r="AK6" s="308" t="s">
        <v>654</v>
      </c>
      <c r="AM6" s="308" t="s">
        <v>684</v>
      </c>
    </row>
    <row r="7" spans="1:40" s="2" customFormat="1" x14ac:dyDescent="0.2">
      <c r="A7" s="325" t="s">
        <v>560</v>
      </c>
      <c r="B7" s="17" t="s">
        <v>561</v>
      </c>
      <c r="C7" s="375" t="s">
        <v>560</v>
      </c>
      <c r="D7" s="912" t="s">
        <v>935</v>
      </c>
      <c r="E7" s="909"/>
      <c r="F7" s="909"/>
      <c r="G7" s="910" t="s">
        <v>19</v>
      </c>
      <c r="H7" s="911"/>
      <c r="I7" s="8" t="s">
        <v>5</v>
      </c>
      <c r="J7" s="912" t="s">
        <v>916</v>
      </c>
      <c r="K7" s="915"/>
      <c r="L7" s="384" t="s">
        <v>622</v>
      </c>
      <c r="M7" s="16"/>
      <c r="N7" s="386" t="s">
        <v>712</v>
      </c>
      <c r="O7" s="384" t="s">
        <v>633</v>
      </c>
      <c r="P7" s="384"/>
      <c r="Q7" s="389" t="s">
        <v>689</v>
      </c>
      <c r="R7" s="375" t="s">
        <v>560</v>
      </c>
      <c r="S7" s="379" t="s">
        <v>195</v>
      </c>
      <c r="T7" s="398" t="s">
        <v>87</v>
      </c>
      <c r="U7" s="557" t="s">
        <v>613</v>
      </c>
      <c r="V7" s="28" t="s">
        <v>13</v>
      </c>
      <c r="W7" s="29" t="s">
        <v>16</v>
      </c>
      <c r="X7" s="28" t="s">
        <v>14</v>
      </c>
      <c r="Y7" s="29" t="s">
        <v>15</v>
      </c>
      <c r="Z7" s="29" t="s">
        <v>14</v>
      </c>
      <c r="AA7" s="28" t="s">
        <v>13</v>
      </c>
      <c r="AB7" s="28" t="s">
        <v>13</v>
      </c>
      <c r="AC7" s="28" t="s">
        <v>14</v>
      </c>
      <c r="AD7" s="29" t="s">
        <v>138</v>
      </c>
      <c r="AE7" s="28" t="s">
        <v>14</v>
      </c>
      <c r="AF7" s="29" t="s">
        <v>13</v>
      </c>
      <c r="AG7" s="13" t="s">
        <v>5</v>
      </c>
      <c r="AH7" s="14" t="s">
        <v>5</v>
      </c>
      <c r="AI7" s="14" t="s">
        <v>17</v>
      </c>
      <c r="AJ7" s="809" t="s">
        <v>18</v>
      </c>
      <c r="AM7" s="308" t="s">
        <v>676</v>
      </c>
    </row>
    <row r="8" spans="1:40" s="2" customFormat="1" x14ac:dyDescent="0.2">
      <c r="A8" s="326"/>
      <c r="B8" s="326"/>
      <c r="C8" s="20"/>
      <c r="D8" s="205" t="s">
        <v>195</v>
      </c>
      <c r="E8" s="16" t="s">
        <v>561</v>
      </c>
      <c r="F8" s="16" t="s">
        <v>195</v>
      </c>
      <c r="G8" s="307" t="s">
        <v>180</v>
      </c>
      <c r="H8" s="80" t="s">
        <v>233</v>
      </c>
      <c r="I8" s="8" t="s">
        <v>20</v>
      </c>
      <c r="J8" s="80" t="s">
        <v>233</v>
      </c>
      <c r="K8" s="307" t="s">
        <v>606</v>
      </c>
      <c r="L8" s="17" t="s">
        <v>632</v>
      </c>
      <c r="M8" s="382" t="s">
        <v>618</v>
      </c>
      <c r="N8" s="385" t="s">
        <v>640</v>
      </c>
      <c r="O8" s="385" t="s">
        <v>631</v>
      </c>
      <c r="P8" s="382" t="s">
        <v>627</v>
      </c>
      <c r="Q8" s="385" t="s">
        <v>641</v>
      </c>
      <c r="R8" s="16"/>
      <c r="S8" s="93"/>
      <c r="T8" s="399"/>
      <c r="U8" s="558"/>
      <c r="V8" s="438" t="str">
        <f>HYPERLINK("#1!G1","  1  ")</f>
        <v xml:space="preserve">  1  </v>
      </c>
      <c r="W8" s="439" t="str">
        <f>HYPERLINK("#2!G1","  2  ")</f>
        <v xml:space="preserve">  2  </v>
      </c>
      <c r="X8" s="438" t="str">
        <f>HYPERLINK("#3!I1","  3  ")</f>
        <v xml:space="preserve">  3  </v>
      </c>
      <c r="Y8" s="439" t="str">
        <f>HYPERLINK("#4!H1","  4  ")</f>
        <v xml:space="preserve">  4  </v>
      </c>
      <c r="Z8" s="439" t="str">
        <f>HYPERLINK("#5!I1","  5  ")</f>
        <v xml:space="preserve">  5  </v>
      </c>
      <c r="AA8" s="88" t="str">
        <f>HYPERLINK("#6!H1","  6  ")</f>
        <v xml:space="preserve">  6  </v>
      </c>
      <c r="AB8" s="440" t="str">
        <f>HYPERLINK("#7!J1","  7  ")</f>
        <v xml:space="preserve">  7  </v>
      </c>
      <c r="AC8" s="440" t="str">
        <f>HYPERLINK("#8!J1","  8  ")</f>
        <v xml:space="preserve">  8  </v>
      </c>
      <c r="AD8" s="439" t="str">
        <f>HYPERLINK("#9!W1","  9  ")</f>
        <v xml:space="preserve">  9  </v>
      </c>
      <c r="AE8" s="440" t="str">
        <f>HYPERLINK("#10!J1"," 10 ")</f>
        <v xml:space="preserve"> 10 </v>
      </c>
      <c r="AF8" s="439" t="str">
        <f>HYPERLINK("#11!J1"," 11 ")</f>
        <v xml:space="preserve"> 11 </v>
      </c>
      <c r="AG8" s="18" t="s">
        <v>5</v>
      </c>
      <c r="AH8" s="19" t="s">
        <v>5</v>
      </c>
      <c r="AI8" s="19" t="s">
        <v>5</v>
      </c>
      <c r="AJ8" s="810" t="s">
        <v>5</v>
      </c>
      <c r="AK8" s="406" t="s">
        <v>936</v>
      </c>
      <c r="AL8" s="406" t="s">
        <v>685</v>
      </c>
      <c r="AM8" s="445" t="s">
        <v>685</v>
      </c>
      <c r="AN8" s="406" t="s">
        <v>937</v>
      </c>
    </row>
    <row r="9" spans="1:40" s="2" customFormat="1" x14ac:dyDescent="0.2">
      <c r="A9" s="328">
        <v>1</v>
      </c>
      <c r="B9" s="331">
        <f t="shared" ref="B9:B40" ca="1" si="1">IF(C9="","",COUNTIF(C$9:C$107,"&gt;="&amp;C9))</f>
        <v>1</v>
      </c>
      <c r="C9" s="329" t="str">
        <f t="shared" ref="C9:C40" ca="1" si="2">IF(R9="n",M9,"")</f>
        <v>108,0-0DAA000000000E</v>
      </c>
      <c r="D9" s="907" t="s">
        <v>257</v>
      </c>
      <c r="E9" s="331" t="str">
        <f t="shared" ref="E9:E40" si="3">IF(F9="","",COUNTIF(F$9:F$107,"&gt;="&amp;F9))</f>
        <v/>
      </c>
      <c r="F9" s="330" t="str">
        <f t="shared" ref="F9:F40" si="4">IF(S9="j",M9,"")</f>
        <v/>
      </c>
      <c r="G9" s="390">
        <f t="shared" ref="G9:G40" ca="1" si="5">RANK(N9,N$9:N$107,1)</f>
        <v>1</v>
      </c>
      <c r="H9" s="76">
        <v>1</v>
      </c>
      <c r="I9" s="805" t="s">
        <v>51</v>
      </c>
      <c r="J9" s="800">
        <v>108</v>
      </c>
      <c r="K9" s="801">
        <f t="array" aca="1" ref="K9" ca="1">(IF(COUNT(V9,X9,AA9,AB9,AC9,AE9)&lt;4,SUM(V9,X9,AA9,AB9,AC9,AE9),SUM(LARGE((V9,X9,AA9,AB9,AC9,AE9),{1;2;3;4}))))+(IF(COUNT(W9,Y9,Z9,AD9,AF9)&lt;4,SUM(W9,Y9,Z9,AD9,AF9),SUM(LARGE((W9,Y9,Z9,AD9,AF9),{1;2;3;4}))))</f>
        <v>108</v>
      </c>
      <c r="L9" s="397" t="str">
        <f ca="1">INDEX(ETAPP!B$1:B$32,MATCH(COUNTIF(V9:AF9,PUNKTID!A$1),ETAPP!A$1:A$32,0))&amp;INDEX(ETAPP!B$1:B$32,MATCH(COUNTIF(V9:AF9,PUNKTID!A$2),ETAPP!A$1:A$32,0))&amp;INDEX(ETAPP!B$1:B$32,MATCH(COUNTIF(V9:AF9,PUNKTID!A$3),ETAPP!A$1:A$32,0))&amp;INDEX(ETAPP!B$1:B$32,MATCH(COUNTIF(V9:AF9,PUNKTID!A$4),ETAPP!A$1:A$32,0))&amp;INDEX(ETAPP!B$1:B$32,MATCH(COUNTIF(V9:AF9,PUNKTID!A$5),ETAPP!A$1:A$32,0))&amp;INDEX(ETAPP!B$1:B$32,MATCH(COUNTIF(V9:AF9,PUNKTID!A$6),ETAPP!A$1:A$32,0))&amp;INDEX(ETAPP!B$1:B$32,MATCH(COUNTIF(V9:AF9,PUNKTID!A$7),ETAPP!A$1:A$32,0))&amp;INDEX(ETAPP!B$1:B$32,MATCH(COUNTIF(V9:AF9,PUNKTID!A$8),ETAPP!A$1:A$32,0))&amp;INDEX(ETAPP!B$1:B$32,MATCH(COUNTIF(V9:AF9,PUNKTID!A$9),ETAPP!A$1:A$32,0))&amp;INDEX(ETAPP!B$1:B$32,MATCH(COUNTIF(V9:AF9,PUNKTID!A$10),ETAPP!A$1:A$32,0))&amp;INDEX(ETAPP!B$1:B$32,MATCH(COUNTIF(V9:AF9,PUNKTID!A$11),ETAPP!A$1:A$32,0))&amp;INDEX(ETAPP!B$1:B$32,MATCH(COUNTIF(V9:AF9,PUNKTID!A$12),ETAPP!A$1:A$32,0))&amp;INDEX(ETAPP!B$1:B$32,MATCH(COUNTIF(V9:AF9,PUNKTID!A$13),ETAPP!A$1:A$32,0))&amp;INDEX(ETAPP!B$1:B$32,MATCH(COUNTIF(V9:AF9,PUNKTID!A$14),ETAPP!A$1:A$32,0))</f>
        <v>0DAA000000000E</v>
      </c>
      <c r="M9" s="397" t="str">
        <f t="shared" ref="M9:M40" ca="1" si="6">TEXT(K9,"000,0")&amp;"-"&amp;L9</f>
        <v>108,0-0DAA000000000E</v>
      </c>
      <c r="N9" s="320">
        <f t="shared" ref="N9:N40" ca="1" si="7">COUNTIF(M$9:M$107,"&gt;="&amp;M9)</f>
        <v>1</v>
      </c>
      <c r="O9" s="320">
        <f t="shared" ref="O9:O40" si="8">COUNTIF(I$9:I$107,"&gt;="&amp;I9)</f>
        <v>79</v>
      </c>
      <c r="P9" s="397" t="str">
        <f t="shared" ref="P9:P40" ca="1" si="9">TEXT(K9,"000,0")&amp;"-"&amp;L9&amp;"-"&amp;TEXT(O9,"000")</f>
        <v>108,0-0DAA000000000E-079</v>
      </c>
      <c r="Q9" s="320">
        <f t="shared" ref="Q9:Q40" ca="1" si="10">COUNTIF(P$9:P$107,"&lt;="&amp;P9)</f>
        <v>99</v>
      </c>
      <c r="R9" s="328" t="s">
        <v>562</v>
      </c>
      <c r="S9" s="380"/>
      <c r="T9" s="400"/>
      <c r="U9" s="559"/>
      <c r="V9" s="97">
        <f>IFERROR(INDEX('1'!C$300:C$400,MATCH("*"&amp;I9&amp;"*",'1'!B$300:B$400,0)),"  ")</f>
        <v>20</v>
      </c>
      <c r="W9" s="97" t="str">
        <f>IFERROR(INDEX('2'!C$300:C$400,MATCH("*"&amp;I9&amp;"*",'2'!B$300:B$400,0)),"  ")</f>
        <v xml:space="preserve">  </v>
      </c>
      <c r="X9" s="97">
        <f>IFERROR(INDEX('3'!C$300:C$400,MATCH("*"&amp;I9&amp;"*",'3'!B$300:B$400,0)),"  ")</f>
        <v>16</v>
      </c>
      <c r="Y9" s="97">
        <f>IFERROR(INDEX('4'!C$300:C$400,MATCH("*"&amp;I9&amp;"*",'4'!B$300:B$400,0)),"  ")</f>
        <v>20</v>
      </c>
      <c r="Z9" s="97" t="str">
        <f>IFERROR(INDEX('5'!C$300:C$400,MATCH("*"&amp;I9&amp;"*",'5'!B$300:B$400,0)),"  ")</f>
        <v xml:space="preserve">  </v>
      </c>
      <c r="AA9" s="97" t="str">
        <f>IFERROR(INDEX('6'!C$300:C$400,MATCH("*"&amp;I9&amp;"*",'6'!B$300:B$400,0)),"  ")</f>
        <v xml:space="preserve">  </v>
      </c>
      <c r="AB9" s="97" t="str">
        <f>IFERROR(INDEX('7'!C$300:C$400,MATCH("*"&amp;I9&amp;"*",'7'!B$300:B$400,0)),"  ")</f>
        <v xml:space="preserve">  </v>
      </c>
      <c r="AC9" s="97">
        <f>IFERROR(INDEX('8'!C$300:C$400,MATCH("*"&amp;I9&amp;"*",'8'!B$300:B$400,0)),"  ")</f>
        <v>12</v>
      </c>
      <c r="AD9" s="97" t="str">
        <f ca="1">IFERROR(INDEX('9'!C$300:C$400,MATCH("*"&amp;I9&amp;"*",'9'!B$300:B$400,0)),"  ")</f>
        <v xml:space="preserve">  </v>
      </c>
      <c r="AE9" s="97">
        <f>IFERROR(INDEX('10'!C$300:C$400,MATCH("*"&amp;I9&amp;"*",'10'!B$300:B$400,0)),"  ")</f>
        <v>20</v>
      </c>
      <c r="AF9" s="97">
        <f>IFERROR(INDEX('11'!C$300:C$400,MATCH("*"&amp;I9&amp;"*",'11'!B$300:B$400,0)),"  ")</f>
        <v>20</v>
      </c>
      <c r="AG9" s="293">
        <f t="shared" ref="AG9:AG40" ca="1" si="11">COUNTIF(V9:AF9,"&gt;=0")</f>
        <v>6</v>
      </c>
      <c r="AH9" s="793">
        <f t="shared" ref="AH9:AH40" ca="1" si="12">COUNTIF(V9,"&gt;=12")+COUNTIF(X9,"&gt;=12")+COUNTIF(AA9:AC9,"&gt;=12")+COUNTIF(AE9,"&gt;=12")+COUNTIF(W9,"&gt;=16")+COUNTIF(Y9:Z9,"&gt;=16")+COUNTIF(AD9,"&gt;=16")+COUNTIF(AF9,"&gt;=16")</f>
        <v>6</v>
      </c>
      <c r="AI9" s="795">
        <f t="shared" ref="AI9:AI40" ca="1" si="13">COUNTIF(V9,"=20")+COUNTIF(X9,"=20")+COUNTIF(AA9:AC9,"=20")+COUNTIF(AE9,"=20")+COUNTIF(V9:AF9,"=25")</f>
        <v>2</v>
      </c>
      <c r="AJ9" s="302">
        <f t="shared" ref="AJ9:AJ40" ca="1" si="14">COUNTIF(V9:AF9,"=25")</f>
        <v>0</v>
      </c>
      <c r="AK9" s="405">
        <f t="shared" ref="AK9:AK40" si="15">MIN(IF($V9="  ",FALSE,$V9)+$V$8/10000,IF($X9="  ",FALSE,$X9)+$X$8/10000,IF($AA9="  ",FALSE,$AA9)+$AA$8/10000,IF($AB9="  ",FALSE,$AB9)+$AB$8/10000,IF($AC9="  ",FALSE,$AC9)+$AC$8/10000,IF($AE9="  ",FALSE,$AE9)+$AE$8/10000)</f>
        <v>5.9999999999999995E-4</v>
      </c>
      <c r="AL9" s="405">
        <f t="shared" ref="AL9:AL40" ca="1" si="16">MIN(IF($W9="  ",FALSE,$W9)+$W$8/10000,IF($Y9="  ",FALSE,$Y9)+$Y$8/10000,IF($Z9="  ",FALSE,$Z9)+$Z$8/10000,IF($AD9="  ",FALSE,$AD9)+$AD$8/10000,IF($AF9="  ",FALSE,$AF9)+$AF$8/10000)</f>
        <v>2.0000000000000001E-4</v>
      </c>
      <c r="AM9" s="442">
        <f t="array" aca="1" ref="AM9" ca="1">MIN(IF(V$5:AF$5="ESMV",IF(V9:AF9="  ",FALSE,V9:AF9)+COLUMN(V:AF)/10000))</f>
        <v>2.3E-3</v>
      </c>
      <c r="AN9" s="405">
        <f>MIN(IF((IF($V9="  ",FALSE,$V9)+$V$8/10000)=AK9,333,IF($V9="  ",FALSE,$V9)+$V$8/10000),IF((IF($X9="  ",FALSE,$X9)+$X$8/10000)=AK9,333,IF($X9="  ",FALSE,$X9)+$X$8/10000),IF((IF($AA9="  ",FALSE,$AA9)+$AA$8/10000)=AK9,333,IF($AA9="  ",FALSE,$AA9)+$AA$8/10000),IF((IF($AB9="  ",FALSE,$AB9)+$AB$8/10000)=AK9,333,IF($AB9="  ",FALSE,$AB9)+$AB$8/10000),IF((IF($AC9="  ",FALSE,$AC9)+$AC$8/10000)=AK9,333,IF($AC9="  ",FALSE,$AC9)+$AC$8/10000),IF((IF($AE9="  ",FALSE,$AE9)+$AE$8/10000)=AK9,333,IF($AE9="  ",FALSE,$AE9)+$AE$8/10000))</f>
        <v>6.9999999999999999E-4</v>
      </c>
    </row>
    <row r="10" spans="1:40" s="2" customFormat="1" x14ac:dyDescent="0.2">
      <c r="A10" s="328" t="s">
        <v>257</v>
      </c>
      <c r="B10" s="331" t="str">
        <f t="shared" si="1"/>
        <v/>
      </c>
      <c r="C10" s="329" t="str">
        <f t="shared" si="2"/>
        <v/>
      </c>
      <c r="D10" s="907" t="s">
        <v>257</v>
      </c>
      <c r="E10" s="331" t="str">
        <f t="shared" si="3"/>
        <v/>
      </c>
      <c r="F10" s="330" t="str">
        <f t="shared" si="4"/>
        <v/>
      </c>
      <c r="G10" s="390">
        <f t="shared" ca="1" si="5"/>
        <v>2</v>
      </c>
      <c r="H10" s="76">
        <v>2</v>
      </c>
      <c r="I10" s="806" t="s">
        <v>53</v>
      </c>
      <c r="J10" s="800">
        <v>107</v>
      </c>
      <c r="K10" s="801">
        <f t="array" aca="1" ref="K10" ca="1">(IF(COUNT(V10,X10,AA10,AB10,AC10,AE10)&lt;4,SUM(V10,X10,AA10,AB10,AC10,AE10),SUM(LARGE((V10,X10,AA10,AB10,AC10,AE10),{1;2;3;4}))))+(IF(COUNT(W10,Y10,Z10,AD10,AF10)&lt;4,SUM(W10,Y10,Z10,AD10,AF10),SUM(LARGE((W10,Y10,Z10,AD10,AF10),{1;2;3;4}))))</f>
        <v>107</v>
      </c>
      <c r="L10" s="397" t="str">
        <f ca="1">INDEX(ETAPP!B$1:B$32,MATCH(COUNTIF(V10:AF10,PUNKTID!A$1),ETAPP!A$1:A$32,0))&amp;INDEX(ETAPP!B$1:B$32,MATCH(COUNTIF(V10:AF10,PUNKTID!A$2),ETAPP!A$1:A$32,0))&amp;INDEX(ETAPP!B$1:B$32,MATCH(COUNTIF(V10:AF10,PUNKTID!A$3),ETAPP!A$1:A$32,0))&amp;INDEX(ETAPP!B$1:B$32,MATCH(COUNTIF(V10:AF10,PUNKTID!A$4),ETAPP!A$1:A$32,0))&amp;INDEX(ETAPP!B$1:B$32,MATCH(COUNTIF(V10:AF10,PUNKTID!A$5),ETAPP!A$1:A$32,0))&amp;INDEX(ETAPP!B$1:B$32,MATCH(COUNTIF(V10:AF10,PUNKTID!A$6),ETAPP!A$1:A$32,0))&amp;INDEX(ETAPP!B$1:B$32,MATCH(COUNTIF(V10:AF10,PUNKTID!A$7),ETAPP!A$1:A$32,0))&amp;INDEX(ETAPP!B$1:B$32,MATCH(COUNTIF(V10:AF10,PUNKTID!A$8),ETAPP!A$1:A$32,0))&amp;INDEX(ETAPP!B$1:B$32,MATCH(COUNTIF(V10:AF10,PUNKTID!A$9),ETAPP!A$1:A$32,0))&amp;INDEX(ETAPP!B$1:B$32,MATCH(COUNTIF(V10:AF10,PUNKTID!A$10),ETAPP!A$1:A$32,0))&amp;INDEX(ETAPP!B$1:B$32,MATCH(COUNTIF(V10:AF10,PUNKTID!A$11),ETAPP!A$1:A$32,0))&amp;INDEX(ETAPP!B$1:B$32,MATCH(COUNTIF(V10:AF10,PUNKTID!A$12),ETAPP!A$1:A$32,0))&amp;INDEX(ETAPP!B$1:B$32,MATCH(COUNTIF(V10:AF10,PUNKTID!A$13),ETAPP!A$1:A$32,0))&amp;INDEX(ETAPP!B$1:B$32,MATCH(COUNTIF(V10:AF10,PUNKTID!A$14),ETAPP!A$1:A$32,0))</f>
        <v>0BCA0A0A00000C</v>
      </c>
      <c r="M10" s="397" t="str">
        <f t="shared" ca="1" si="6"/>
        <v>107,0-0BCA0A0A00000C</v>
      </c>
      <c r="N10" s="320">
        <f t="shared" ca="1" si="7"/>
        <v>2</v>
      </c>
      <c r="O10" s="320">
        <f t="shared" si="8"/>
        <v>61</v>
      </c>
      <c r="P10" s="397" t="str">
        <f t="shared" ca="1" si="9"/>
        <v>107,0-0BCA0A0A00000C-061</v>
      </c>
      <c r="Q10" s="320">
        <f t="shared" ca="1" si="10"/>
        <v>98</v>
      </c>
      <c r="R10" s="328"/>
      <c r="S10" s="380"/>
      <c r="T10" s="400"/>
      <c r="U10" s="559"/>
      <c r="V10" s="97">
        <f>IFERROR(INDEX('1'!C$300:C$400,MATCH("*"&amp;I10&amp;"*",'1'!B$300:B$400,0)),"  ")</f>
        <v>20</v>
      </c>
      <c r="W10" s="97">
        <f>IFERROR(INDEX('2'!C$300:C$400,MATCH("*"&amp;I10&amp;"*",'2'!B$300:B$400,0)),"  ")</f>
        <v>16</v>
      </c>
      <c r="X10" s="97">
        <f>IFERROR(INDEX('3'!C$300:C$400,MATCH("*"&amp;I10&amp;"*",'3'!B$300:B$400,0)),"  ")</f>
        <v>12</v>
      </c>
      <c r="Y10" s="97">
        <f>IFERROR(INDEX('4'!C$300:C$400,MATCH("*"&amp;I10&amp;"*",'4'!B$300:B$400,0)),"  ")</f>
        <v>20</v>
      </c>
      <c r="Z10" s="97" t="str">
        <f>IFERROR(INDEX('5'!C$300:C$400,MATCH("*"&amp;I10&amp;"*",'5'!B$300:B$400,0)),"  ")</f>
        <v xml:space="preserve">  </v>
      </c>
      <c r="AA10" s="97">
        <f>IFERROR(INDEX('6'!C$300:C$400,MATCH("*"&amp;I10&amp;"*",'6'!B$300:B$400,0)),"  ")</f>
        <v>4</v>
      </c>
      <c r="AB10" s="97">
        <f>IFERROR(INDEX('7'!C$300:C$400,MATCH("*"&amp;I10&amp;"*",'7'!B$300:B$400,0)),"  ")</f>
        <v>16</v>
      </c>
      <c r="AC10" s="97">
        <f>IFERROR(INDEX('8'!C$300:C$400,MATCH("*"&amp;I10&amp;"*",'8'!B$300:B$400,0)),"  ")</f>
        <v>7</v>
      </c>
      <c r="AD10" s="97">
        <f ca="1">IFERROR(INDEX('9'!C$300:C$400,MATCH("*"&amp;I10&amp;"*",'9'!B$300:B$400,0)),"  ")</f>
        <v>16</v>
      </c>
      <c r="AE10" s="97" t="str">
        <f>IFERROR(INDEX('10'!C$300:C$400,MATCH("*"&amp;I10&amp;"*",'10'!B$300:B$400,0)),"  ")</f>
        <v xml:space="preserve">  </v>
      </c>
      <c r="AF10" s="97" t="str">
        <f>IFERROR(INDEX('11'!C$300:C$400,MATCH("*"&amp;I10&amp;"*",'11'!B$300:B$400,0)),"  ")</f>
        <v xml:space="preserve">  </v>
      </c>
      <c r="AG10" s="294">
        <f t="shared" ca="1" si="11"/>
        <v>8</v>
      </c>
      <c r="AH10" s="794">
        <f t="shared" ca="1" si="12"/>
        <v>6</v>
      </c>
      <c r="AI10" s="796">
        <f t="shared" ca="1" si="13"/>
        <v>1</v>
      </c>
      <c r="AJ10" s="303">
        <f t="shared" ca="1" si="14"/>
        <v>0</v>
      </c>
      <c r="AK10" s="405">
        <f t="shared" si="15"/>
        <v>1E-3</v>
      </c>
      <c r="AL10" s="405">
        <f t="shared" ca="1" si="16"/>
        <v>5.0000000000000001E-4</v>
      </c>
      <c r="AM10" s="442">
        <f t="array" aca="1" ref="AM10" ca="1">MIN(IF(V$5:AF$5="ESMV",IF(V10:AF10="  ",FALSE,V10:AF10)+COLUMN(V:AF)/10000))</f>
        <v>2.5999999999999999E-3</v>
      </c>
      <c r="AN10" s="405">
        <f t="shared" ref="AN10:AN73" si="17">MIN(IF((IF($V10="  ",FALSE,$V10)+$V$8/10000)=AK10,333,IF($V10="  ",FALSE,$V10)+$V$8/10000),IF((IF($X10="  ",FALSE,$X10)+$X$8/10000)=AK10,333,IF($X10="  ",FALSE,$X10)+$X$8/10000),IF((IF($AA10="  ",FALSE,$AA10)+$AA$8/10000)=AK10,333,IF($AA10="  ",FALSE,$AA10)+$AA$8/10000),IF((IF($AB10="  ",FALSE,$AB10)+$AB$8/10000)=AK10,333,IF($AB10="  ",FALSE,$AB10)+$AB$8/10000),IF((IF($AC10="  ",FALSE,$AC10)+$AC$8/10000)=AK10,333,IF($AC10="  ",FALSE,$AC10)+$AC$8/10000),IF((IF($AE10="  ",FALSE,$AE10)+$AE$8/10000)=AK10,333,IF($AE10="  ",FALSE,$AE10)+$AE$8/10000))</f>
        <v>4.0006000000000004</v>
      </c>
    </row>
    <row r="11" spans="1:40" s="2" customFormat="1" x14ac:dyDescent="0.2">
      <c r="A11" s="328" t="s">
        <v>257</v>
      </c>
      <c r="B11" s="331" t="str">
        <f t="shared" si="1"/>
        <v/>
      </c>
      <c r="C11" s="329" t="str">
        <f t="shared" si="2"/>
        <v/>
      </c>
      <c r="D11" s="907" t="s">
        <v>257</v>
      </c>
      <c r="E11" s="331" t="str">
        <f t="shared" si="3"/>
        <v/>
      </c>
      <c r="F11" s="330" t="str">
        <f t="shared" si="4"/>
        <v/>
      </c>
      <c r="G11" s="390">
        <f t="shared" ca="1" si="5"/>
        <v>3</v>
      </c>
      <c r="H11" s="76">
        <v>3</v>
      </c>
      <c r="I11" s="807" t="s">
        <v>52</v>
      </c>
      <c r="J11" s="800">
        <v>102</v>
      </c>
      <c r="K11" s="801">
        <f t="array" aca="1" ref="K11" ca="1">(IF(COUNT(V11,X11,AA11,AB11,AC11,AE11)&lt;4,SUM(V11,X11,AA11,AB11,AC11,AE11),SUM(LARGE((V11,X11,AA11,AB11,AC11,AE11),{1;2;3;4}))))+(IF(COUNT(W11,Y11,Z11,AD11,AF11)&lt;4,SUM(W11,Y11,Z11,AD11,AF11),SUM(LARGE((W11,Y11,Z11,AD11,AF11),{1;2;3;4}))))</f>
        <v>102</v>
      </c>
      <c r="L11" s="397" t="str">
        <f ca="1">INDEX(ETAPP!B$1:B$32,MATCH(COUNTIF(V11:AF11,PUNKTID!A$1),ETAPP!A$1:A$32,0))&amp;INDEX(ETAPP!B$1:B$32,MATCH(COUNTIF(V11:AF11,PUNKTID!A$2),ETAPP!A$1:A$32,0))&amp;INDEX(ETAPP!B$1:B$32,MATCH(COUNTIF(V11:AF11,PUNKTID!A$3),ETAPP!A$1:A$32,0))&amp;INDEX(ETAPP!B$1:B$32,MATCH(COUNTIF(V11:AF11,PUNKTID!A$4),ETAPP!A$1:A$32,0))&amp;INDEX(ETAPP!B$1:B$32,MATCH(COUNTIF(V11:AF11,PUNKTID!A$5),ETAPP!A$1:A$32,0))&amp;INDEX(ETAPP!B$1:B$32,MATCH(COUNTIF(V11:AF11,PUNKTID!A$6),ETAPP!A$1:A$32,0))&amp;INDEX(ETAPP!B$1:B$32,MATCH(COUNTIF(V11:AF11,PUNKTID!A$7),ETAPP!A$1:A$32,0))&amp;INDEX(ETAPP!B$1:B$32,MATCH(COUNTIF(V11:AF11,PUNKTID!A$8),ETAPP!A$1:A$32,0))&amp;INDEX(ETAPP!B$1:B$32,MATCH(COUNTIF(V11:AF11,PUNKTID!A$9),ETAPP!A$1:A$32,0))&amp;INDEX(ETAPP!B$1:B$32,MATCH(COUNTIF(V11:AF11,PUNKTID!A$10),ETAPP!A$1:A$32,0))&amp;INDEX(ETAPP!B$1:B$32,MATCH(COUNTIF(V11:AF11,PUNKTID!A$11),ETAPP!A$1:A$32,0))&amp;INDEX(ETAPP!B$1:B$32,MATCH(COUNTIF(V11:AF11,PUNKTID!A$12),ETAPP!A$1:A$32,0))&amp;INDEX(ETAPP!B$1:B$32,MATCH(COUNTIF(V11:AF11,PUNKTID!A$13),ETAPP!A$1:A$32,0))&amp;INDEX(ETAPP!B$1:B$32,MATCH(COUNTIF(V11:AF11,PUNKTID!A$14),ETAPP!A$1:A$32,0))</f>
        <v>0B0D0B0A00000B</v>
      </c>
      <c r="M11" s="397" t="str">
        <f t="shared" ca="1" si="6"/>
        <v>102,0-0B0D0B0A00000B</v>
      </c>
      <c r="N11" s="320">
        <f t="shared" ca="1" si="7"/>
        <v>3</v>
      </c>
      <c r="O11" s="320">
        <f t="shared" si="8"/>
        <v>78</v>
      </c>
      <c r="P11" s="397" t="str">
        <f t="shared" ca="1" si="9"/>
        <v>102,0-0B0D0B0A00000B-078</v>
      </c>
      <c r="Q11" s="320">
        <f t="shared" ca="1" si="10"/>
        <v>97</v>
      </c>
      <c r="R11" s="328"/>
      <c r="S11" s="380"/>
      <c r="T11" s="400"/>
      <c r="U11" s="559"/>
      <c r="V11" s="97">
        <f>IFERROR(INDEX('1'!C$300:C$400,MATCH("*"&amp;I11&amp;"*",'1'!B$300:B$400,0)),"  ")</f>
        <v>12</v>
      </c>
      <c r="W11" s="97">
        <f>IFERROR(INDEX('2'!C$300:C$400,MATCH("*"&amp;I11&amp;"*",'2'!B$300:B$400,0)),"  ")</f>
        <v>20</v>
      </c>
      <c r="X11" s="97">
        <f>IFERROR(INDEX('3'!C$300:C$400,MATCH("*"&amp;I11&amp;"*",'3'!B$300:B$400,0)),"  ")</f>
        <v>20</v>
      </c>
      <c r="Y11" s="97">
        <f>IFERROR(INDEX('4'!C$300:C$400,MATCH("*"&amp;I11&amp;"*",'4'!B$300:B$400,0)),"  ")</f>
        <v>4</v>
      </c>
      <c r="Z11" s="97">
        <f>IFERROR(INDEX('5'!C$300:C$400,MATCH("*"&amp;I11&amp;"*",'5'!B$300:B$400,0)),"  ")</f>
        <v>12</v>
      </c>
      <c r="AA11" s="97" t="str">
        <f>IFERROR(INDEX('6'!C$300:C$400,MATCH("*"&amp;I11&amp;"*",'6'!B$300:B$400,0)),"  ")</f>
        <v xml:space="preserve">  </v>
      </c>
      <c r="AB11" s="97" t="str">
        <f>IFERROR(INDEX('7'!C$300:C$400,MATCH("*"&amp;I11&amp;"*",'7'!B$300:B$400,0)),"  ")</f>
        <v xml:space="preserve">  </v>
      </c>
      <c r="AC11" s="97">
        <f>IFERROR(INDEX('8'!C$300:C$400,MATCH("*"&amp;I11&amp;"*",'8'!B$300:B$400,0)),"  ")</f>
        <v>12</v>
      </c>
      <c r="AD11" s="97">
        <f ca="1">IFERROR(INDEX('9'!C$300:C$400,MATCH("*"&amp;I11&amp;"*",'9'!B$300:B$400,0)),"  ")</f>
        <v>7</v>
      </c>
      <c r="AE11" s="97">
        <f>IFERROR(INDEX('10'!C$300:C$400,MATCH("*"&amp;I11&amp;"*",'10'!B$300:B$400,0)),"  ")</f>
        <v>7</v>
      </c>
      <c r="AF11" s="97">
        <f>IFERROR(INDEX('11'!C$300:C$400,MATCH("*"&amp;I11&amp;"*",'11'!B$300:B$400,0)),"  ")</f>
        <v>12</v>
      </c>
      <c r="AG11" s="294">
        <f t="shared" ca="1" si="11"/>
        <v>9</v>
      </c>
      <c r="AH11" s="794">
        <f t="shared" ca="1" si="12"/>
        <v>4</v>
      </c>
      <c r="AI11" s="796">
        <f t="shared" ca="1" si="13"/>
        <v>1</v>
      </c>
      <c r="AJ11" s="303">
        <f t="shared" ca="1" si="14"/>
        <v>0</v>
      </c>
      <c r="AK11" s="405">
        <f t="shared" si="15"/>
        <v>5.9999999999999995E-4</v>
      </c>
      <c r="AL11" s="405">
        <f t="shared" ca="1" si="16"/>
        <v>4.0004</v>
      </c>
      <c r="AM11" s="442">
        <f t="array" aca="1" ref="AM11" ca="1">MIN(IF(V$5:AF$5="ESMV",IF(V11:AF11="  ",FALSE,V11:AF11)+COLUMN(V:AF)/10000))</f>
        <v>4.0025000000000004</v>
      </c>
      <c r="AN11" s="405">
        <f t="shared" si="17"/>
        <v>6.9999999999999999E-4</v>
      </c>
    </row>
    <row r="12" spans="1:40" s="2" customFormat="1" x14ac:dyDescent="0.2">
      <c r="A12" s="328" t="s">
        <v>257</v>
      </c>
      <c r="B12" s="331" t="str">
        <f t="shared" si="1"/>
        <v/>
      </c>
      <c r="C12" s="329" t="str">
        <f t="shared" si="2"/>
        <v/>
      </c>
      <c r="D12" s="907" t="s">
        <v>257</v>
      </c>
      <c r="E12" s="331" t="str">
        <f t="shared" si="3"/>
        <v/>
      </c>
      <c r="F12" s="330" t="str">
        <f t="shared" si="4"/>
        <v/>
      </c>
      <c r="G12" s="390">
        <f t="shared" ca="1" si="5"/>
        <v>4</v>
      </c>
      <c r="H12" s="76">
        <v>4</v>
      </c>
      <c r="I12" s="83" t="s">
        <v>22</v>
      </c>
      <c r="J12" s="800">
        <v>97</v>
      </c>
      <c r="K12" s="801">
        <f t="array" aca="1" ref="K12" ca="1">(IF(COUNT(V12,X12,AA12,AB12,AC12,AE12)&lt;4,SUM(V12,X12,AA12,AB12,AC12,AE12),SUM(LARGE((V12,X12,AA12,AB12,AC12,AE12),{1;2;3;4}))))+(IF(COUNT(W12,Y12,Z12,AD12,AF12)&lt;4,SUM(W12,Y12,Z12,AD12,AF12),SUM(LARGE((W12,Y12,Z12,AD12,AF12),{1;2;3;4}))))</f>
        <v>97</v>
      </c>
      <c r="L12" s="397" t="str">
        <f ca="1">INDEX(ETAPP!B$1:B$32,MATCH(COUNTIF(V12:AF12,PUNKTID!A$1),ETAPP!A$1:A$32,0))&amp;INDEX(ETAPP!B$1:B$32,MATCH(COUNTIF(V12:AF12,PUNKTID!A$2),ETAPP!A$1:A$32,0))&amp;INDEX(ETAPP!B$1:B$32,MATCH(COUNTIF(V12:AF12,PUNKTID!A$3),ETAPP!A$1:A$32,0))&amp;INDEX(ETAPP!B$1:B$32,MATCH(COUNTIF(V12:AF12,PUNKTID!A$4),ETAPP!A$1:A$32,0))&amp;INDEX(ETAPP!B$1:B$32,MATCH(COUNTIF(V12:AF12,PUNKTID!A$5),ETAPP!A$1:A$32,0))&amp;INDEX(ETAPP!B$1:B$32,MATCH(COUNTIF(V12:AF12,PUNKTID!A$6),ETAPP!A$1:A$32,0))&amp;INDEX(ETAPP!B$1:B$32,MATCH(COUNTIF(V12:AF12,PUNKTID!A$7),ETAPP!A$1:A$32,0))&amp;INDEX(ETAPP!B$1:B$32,MATCH(COUNTIF(V12:AF12,PUNKTID!A$8),ETAPP!A$1:A$32,0))&amp;INDEX(ETAPP!B$1:B$32,MATCH(COUNTIF(V12:AF12,PUNKTID!A$9),ETAPP!A$1:A$32,0))&amp;INDEX(ETAPP!B$1:B$32,MATCH(COUNTIF(V12:AF12,PUNKTID!A$10),ETAPP!A$1:A$32,0))&amp;INDEX(ETAPP!B$1:B$32,MATCH(COUNTIF(V12:AF12,PUNKTID!A$11),ETAPP!A$1:A$32,0))&amp;INDEX(ETAPP!B$1:B$32,MATCH(COUNTIF(V12:AF12,PUNKTID!A$12),ETAPP!A$1:A$32,0))&amp;INDEX(ETAPP!B$1:B$32,MATCH(COUNTIF(V12:AF12,PUNKTID!A$13),ETAPP!A$1:A$32,0))&amp;INDEX(ETAPP!B$1:B$32,MATCH(COUNTIF(V12:AF12,PUNKTID!A$14),ETAPP!A$1:A$32,0))</f>
        <v>0B0CAAC000000A</v>
      </c>
      <c r="M12" s="397" t="str">
        <f t="shared" ca="1" si="6"/>
        <v>097,0-0B0CAAC000000A</v>
      </c>
      <c r="N12" s="320">
        <f t="shared" ca="1" si="7"/>
        <v>4</v>
      </c>
      <c r="O12" s="320">
        <f t="shared" si="8"/>
        <v>72</v>
      </c>
      <c r="P12" s="397" t="str">
        <f t="shared" ca="1" si="9"/>
        <v>097,0-0B0CAAC000000A-072</v>
      </c>
      <c r="Q12" s="320">
        <f t="shared" ca="1" si="10"/>
        <v>96</v>
      </c>
      <c r="R12" s="328"/>
      <c r="S12" s="380"/>
      <c r="T12" s="400" t="s">
        <v>605</v>
      </c>
      <c r="U12" s="559"/>
      <c r="V12" s="97" t="str">
        <f>IFERROR(INDEX('1'!C$300:C$400,MATCH("*"&amp;I12&amp;"*",'1'!B$300:B$400,0)),"  ")</f>
        <v xml:space="preserve">  </v>
      </c>
      <c r="W12" s="97">
        <f>IFERROR(INDEX('2'!C$300:C$400,MATCH("*"&amp;I12&amp;"*",'2'!B$300:B$400,0)),"  ")</f>
        <v>20</v>
      </c>
      <c r="X12" s="97">
        <f>IFERROR(INDEX('3'!C$300:C$400,MATCH("*"&amp;I12&amp;"*",'3'!B$300:B$400,0)),"  ")</f>
        <v>5</v>
      </c>
      <c r="Y12" s="97">
        <f>IFERROR(INDEX('4'!C$300:C$400,MATCH("*"&amp;I12&amp;"*",'4'!B$300:B$400,0)),"  ")</f>
        <v>12</v>
      </c>
      <c r="Z12" s="97">
        <f>IFERROR(INDEX('5'!C$300:C$400,MATCH("*"&amp;I12&amp;"*",'5'!B$300:B$400,0)),"  ")</f>
        <v>9</v>
      </c>
      <c r="AA12" s="97">
        <f>IFERROR(INDEX('6'!C$300:C$400,MATCH("*"&amp;I12&amp;"*",'6'!B$300:B$400,0)),"  ")</f>
        <v>12</v>
      </c>
      <c r="AB12" s="97">
        <f>IFERROR(INDEX('7'!C$300:C$400,MATCH("*"&amp;I12&amp;"*",'7'!B$300:B$400,0)),"  ")</f>
        <v>5</v>
      </c>
      <c r="AC12" s="97">
        <f>IFERROR(INDEX('8'!C$300:C$400,MATCH("*"&amp;I12&amp;"*",'8'!B$300:B$400,0)),"  ")</f>
        <v>20</v>
      </c>
      <c r="AD12" s="97">
        <f ca="1">IFERROR(INDEX('9'!C$300:C$400,MATCH("*"&amp;I12&amp;"*",'9'!B$300:B$400,0)),"  ")</f>
        <v>5</v>
      </c>
      <c r="AE12" s="97">
        <f>IFERROR(INDEX('10'!C$300:C$400,MATCH("*"&amp;I12&amp;"*",'10'!B$300:B$400,0)),"  ")</f>
        <v>7</v>
      </c>
      <c r="AF12" s="97">
        <f>IFERROR(INDEX('11'!C$300:C$400,MATCH("*"&amp;I12&amp;"*",'11'!B$300:B$400,0)),"  ")</f>
        <v>12</v>
      </c>
      <c r="AG12" s="294">
        <f t="shared" ca="1" si="11"/>
        <v>10</v>
      </c>
      <c r="AH12" s="794">
        <f t="shared" ca="1" si="12"/>
        <v>3</v>
      </c>
      <c r="AI12" s="796">
        <f t="shared" ca="1" si="13"/>
        <v>1</v>
      </c>
      <c r="AJ12" s="303">
        <f t="shared" ca="1" si="14"/>
        <v>0</v>
      </c>
      <c r="AK12" s="405">
        <f t="shared" si="15"/>
        <v>1E-4</v>
      </c>
      <c r="AL12" s="405">
        <f t="shared" ca="1" si="16"/>
        <v>5.0008999999999997</v>
      </c>
      <c r="AM12" s="442">
        <f t="array" aca="1" ref="AM12" ca="1">MIN(IF(V$5:AF$5="ESMV",IF(V12:AF12="  ",FALSE,V12:AF12)+COLUMN(V:AF)/10000))</f>
        <v>5.0030000000000001</v>
      </c>
      <c r="AN12" s="405">
        <f t="shared" si="17"/>
        <v>5.0003000000000002</v>
      </c>
    </row>
    <row r="13" spans="1:40" s="2" customFormat="1" x14ac:dyDescent="0.2">
      <c r="A13" s="328" t="s">
        <v>257</v>
      </c>
      <c r="B13" s="331" t="str">
        <f t="shared" si="1"/>
        <v/>
      </c>
      <c r="C13" s="329" t="str">
        <f t="shared" si="2"/>
        <v/>
      </c>
      <c r="D13" s="907" t="s">
        <v>257</v>
      </c>
      <c r="E13" s="331" t="str">
        <f t="shared" si="3"/>
        <v/>
      </c>
      <c r="F13" s="330" t="str">
        <f t="shared" si="4"/>
        <v/>
      </c>
      <c r="G13" s="390">
        <f t="shared" ca="1" si="5"/>
        <v>5</v>
      </c>
      <c r="H13" s="76">
        <v>5</v>
      </c>
      <c r="I13" s="98" t="s">
        <v>200</v>
      </c>
      <c r="J13" s="800">
        <v>94.5</v>
      </c>
      <c r="K13" s="801">
        <f t="array" aca="1" ref="K13" ca="1">(IF(COUNT(V13,X13,AA13,AB13,AC13,AE13)&lt;4,SUM(V13,X13,AA13,AB13,AC13,AE13),SUM(LARGE((V13,X13,AA13,AB13,AC13,AE13),{1;2;3;4}))))+(IF(COUNT(W13,Y13,Z13,AD13,AF13)&lt;4,SUM(W13,Y13,Z13,AD13,AF13),SUM(LARGE((W13,Y13,Z13,AD13,AF13),{1;2;3;4}))))</f>
        <v>94.5</v>
      </c>
      <c r="L13" s="397" t="str">
        <f ca="1">INDEX(ETAPP!B$1:B$32,MATCH(COUNTIF(V13:AF13,PUNKTID!A$1),ETAPP!A$1:A$32,0))&amp;INDEX(ETAPP!B$1:B$32,MATCH(COUNTIF(V13:AF13,PUNKTID!A$2),ETAPP!A$1:A$32,0))&amp;INDEX(ETAPP!B$1:B$32,MATCH(COUNTIF(V13:AF13,PUNKTID!A$3),ETAPP!A$1:A$32,0))&amp;INDEX(ETAPP!B$1:B$32,MATCH(COUNTIF(V13:AF13,PUNKTID!A$4),ETAPP!A$1:A$32,0))&amp;INDEX(ETAPP!B$1:B$32,MATCH(COUNTIF(V13:AF13,PUNKTID!A$5),ETAPP!A$1:A$32,0))&amp;INDEX(ETAPP!B$1:B$32,MATCH(COUNTIF(V13:AF13,PUNKTID!A$6),ETAPP!A$1:A$32,0))&amp;INDEX(ETAPP!B$1:B$32,MATCH(COUNTIF(V13:AF13,PUNKTID!A$7),ETAPP!A$1:A$32,0))&amp;INDEX(ETAPP!B$1:B$32,MATCH(COUNTIF(V13:AF13,PUNKTID!A$8),ETAPP!A$1:A$32,0))&amp;INDEX(ETAPP!B$1:B$32,MATCH(COUNTIF(V13:AF13,PUNKTID!A$9),ETAPP!A$1:A$32,0))&amp;INDEX(ETAPP!B$1:B$32,MATCH(COUNTIF(V13:AF13,PUNKTID!A$10),ETAPP!A$1:A$32,0))&amp;INDEX(ETAPP!B$1:B$32,MATCH(COUNTIF(V13:AF13,PUNKTID!A$11),ETAPP!A$1:A$32,0))&amp;INDEX(ETAPP!B$1:B$32,MATCH(COUNTIF(V13:AF13,PUNKTID!A$12),ETAPP!A$1:A$32,0))&amp;INDEX(ETAPP!B$1:B$32,MATCH(COUNTIF(V13:AF13,PUNKTID!A$13),ETAPP!A$1:A$32,0))&amp;INDEX(ETAPP!B$1:B$32,MATCH(COUNTIF(V13:AF13,PUNKTID!A$14),ETAPP!A$1:A$32,0))</f>
        <v>C0A000000AA00E</v>
      </c>
      <c r="M13" s="397" t="str">
        <f t="shared" ca="1" si="6"/>
        <v>094,5-C0A000000AA00E</v>
      </c>
      <c r="N13" s="320">
        <f t="shared" ca="1" si="7"/>
        <v>5</v>
      </c>
      <c r="O13" s="320">
        <f t="shared" si="8"/>
        <v>31</v>
      </c>
      <c r="P13" s="397" t="str">
        <f t="shared" ca="1" si="9"/>
        <v>094,5-C0A000000AA00E-031</v>
      </c>
      <c r="Q13" s="320">
        <f t="shared" ca="1" si="10"/>
        <v>95</v>
      </c>
      <c r="R13" s="328"/>
      <c r="S13" s="380"/>
      <c r="T13" s="400"/>
      <c r="U13" s="559"/>
      <c r="V13" s="97" t="str">
        <f>IFERROR(INDEX('1'!C$300:C$400,MATCH("*"&amp;I13&amp;"*",'1'!B$300:B$400,0)),"  ")</f>
        <v xml:space="preserve">  </v>
      </c>
      <c r="W13" s="97">
        <f>IFERROR(INDEX('2'!C$300:C$400,MATCH("*"&amp;I13&amp;"*",'2'!B$300:B$400,0)),"  ")</f>
        <v>25</v>
      </c>
      <c r="X13" s="380">
        <f>IFERROR(INDEX('3'!C$300:C$400,MATCH("*"&amp;I13&amp;"*",'3'!B$300:B$400,0)),"  ")</f>
        <v>1.5</v>
      </c>
      <c r="Y13" s="97">
        <f>IFERROR(INDEX('4'!C$300:C$400,MATCH("*"&amp;I13&amp;"*",'4'!B$300:B$400,0)),"  ")</f>
        <v>2</v>
      </c>
      <c r="Z13" s="97">
        <f>IFERROR(INDEX('5'!C$300:C$400,MATCH("*"&amp;I13&amp;"*",'5'!B$300:B$400,0)),"  ")</f>
        <v>25</v>
      </c>
      <c r="AA13" s="97" t="str">
        <f>IFERROR(INDEX('6'!C$300:C$400,MATCH("*"&amp;I13&amp;"*",'6'!B$300:B$400,0)),"  ")</f>
        <v xml:space="preserve">  </v>
      </c>
      <c r="AB13" s="97">
        <f>IFERROR(INDEX('7'!C$300:C$400,MATCH("*"&amp;I13&amp;"*",'7'!B$300:B$400,0)),"  ")</f>
        <v>16</v>
      </c>
      <c r="AC13" s="97" t="str">
        <f>IFERROR(INDEX('8'!C$300:C$400,MATCH("*"&amp;I13&amp;"*",'8'!B$300:B$400,0)),"  ")</f>
        <v xml:space="preserve">  </v>
      </c>
      <c r="AD13" s="97" t="str">
        <f ca="1">IFERROR(INDEX('9'!C$300:C$400,MATCH("*"&amp;I13&amp;"*",'9'!B$300:B$400,0)),"  ")</f>
        <v xml:space="preserve">  </v>
      </c>
      <c r="AE13" s="97" t="str">
        <f>IFERROR(INDEX('10'!C$300:C$400,MATCH("*"&amp;I13&amp;"*",'10'!B$300:B$400,0)),"  ")</f>
        <v xml:space="preserve">  </v>
      </c>
      <c r="AF13" s="97">
        <f>IFERROR(INDEX('11'!C$300:C$400,MATCH("*"&amp;I13&amp;"*",'11'!B$300:B$400,0)),"  ")</f>
        <v>25</v>
      </c>
      <c r="AG13" s="294">
        <f t="shared" ca="1" si="11"/>
        <v>6</v>
      </c>
      <c r="AH13" s="794">
        <f t="shared" ca="1" si="12"/>
        <v>4</v>
      </c>
      <c r="AI13" s="796">
        <f t="shared" ca="1" si="13"/>
        <v>3</v>
      </c>
      <c r="AJ13" s="303">
        <f t="shared" ca="1" si="14"/>
        <v>3</v>
      </c>
      <c r="AK13" s="405">
        <f t="shared" si="15"/>
        <v>1E-4</v>
      </c>
      <c r="AL13" s="405">
        <f t="shared" ca="1" si="16"/>
        <v>8.9999999999999998E-4</v>
      </c>
      <c r="AM13" s="442">
        <f t="array" aca="1" ref="AM13" ca="1">MIN(IF(V$5:AF$5="ESMV",IF(V13:AF13="  ",FALSE,V13:AF13)+COLUMN(V:AF)/10000))</f>
        <v>3.0000000000000001E-3</v>
      </c>
      <c r="AN13" s="405">
        <f t="shared" si="17"/>
        <v>5.9999999999999995E-4</v>
      </c>
    </row>
    <row r="14" spans="1:40" s="2" customFormat="1" x14ac:dyDescent="0.2">
      <c r="A14" s="328" t="s">
        <v>257</v>
      </c>
      <c r="B14" s="331" t="str">
        <f t="shared" si="1"/>
        <v/>
      </c>
      <c r="C14" s="329" t="str">
        <f t="shared" si="2"/>
        <v/>
      </c>
      <c r="D14" s="907" t="s">
        <v>257</v>
      </c>
      <c r="E14" s="331" t="str">
        <f t="shared" si="3"/>
        <v/>
      </c>
      <c r="F14" s="330" t="str">
        <f t="shared" si="4"/>
        <v/>
      </c>
      <c r="G14" s="390">
        <f t="shared" ca="1" si="5"/>
        <v>6</v>
      </c>
      <c r="H14" s="76">
        <v>6</v>
      </c>
      <c r="I14" s="98" t="s">
        <v>27</v>
      </c>
      <c r="J14" s="800">
        <v>92.5</v>
      </c>
      <c r="K14" s="801">
        <f t="array" aca="1" ref="K14" ca="1">(IF(COUNT(V14,X14,AA14,AB14,AC14,AE14)&lt;4,SUM(V14,X14,AA14,AB14,AC14,AE14),SUM(LARGE((V14,X14,AA14,AB14,AC14,AE14),{1;2;3;4}))))+(IF(COUNT(W14,Y14,Z14,AD14,AF14)&lt;4,SUM(W14,Y14,Z14,AD14,AF14),SUM(LARGE((W14,Y14,Z14,AD14,AF14),{1;2;3;4}))))</f>
        <v>92.5</v>
      </c>
      <c r="L14" s="397" t="str">
        <f ca="1">INDEX(ETAPP!B$1:B$32,MATCH(COUNTIF(V14:AF14,PUNKTID!A$1),ETAPP!A$1:A$32,0))&amp;INDEX(ETAPP!B$1:B$32,MATCH(COUNTIF(V14:AF14,PUNKTID!A$2),ETAPP!A$1:A$32,0))&amp;INDEX(ETAPP!B$1:B$32,MATCH(COUNTIF(V14:AF14,PUNKTID!A$3),ETAPP!A$1:A$32,0))&amp;INDEX(ETAPP!B$1:B$32,MATCH(COUNTIF(V14:AF14,PUNKTID!A$4),ETAPP!A$1:A$32,0))&amp;INDEX(ETAPP!B$1:B$32,MATCH(COUNTIF(V14:AF14,PUNKTID!A$5),ETAPP!A$1:A$32,0))&amp;INDEX(ETAPP!B$1:B$32,MATCH(COUNTIF(V14:AF14,PUNKTID!A$6),ETAPP!A$1:A$32,0))&amp;INDEX(ETAPP!B$1:B$32,MATCH(COUNTIF(V14:AF14,PUNKTID!A$7),ETAPP!A$1:A$32,0))&amp;INDEX(ETAPP!B$1:B$32,MATCH(COUNTIF(V14:AF14,PUNKTID!A$8),ETAPP!A$1:A$32,0))&amp;INDEX(ETAPP!B$1:B$32,MATCH(COUNTIF(V14:AF14,PUNKTID!A$9),ETAPP!A$1:A$32,0))&amp;INDEX(ETAPP!B$1:B$32,MATCH(COUNTIF(V14:AF14,PUNKTID!A$10),ETAPP!A$1:A$32,0))&amp;INDEX(ETAPP!B$1:B$32,MATCH(COUNTIF(V14:AF14,PUNKTID!A$11),ETAPP!A$1:A$32,0))&amp;INDEX(ETAPP!B$1:B$32,MATCH(COUNTIF(V14:AF14,PUNKTID!A$12),ETAPP!A$1:A$32,0))&amp;INDEX(ETAPP!B$1:B$32,MATCH(COUNTIF(V14:AF14,PUNKTID!A$13),ETAPP!A$1:A$32,0))&amp;INDEX(ETAPP!B$1:B$32,MATCH(COUNTIF(V14:AF14,PUNKTID!A$14),ETAPP!A$1:A$32,0))</f>
        <v>0BBA0A0000A00D</v>
      </c>
      <c r="M14" s="397" t="str">
        <f t="shared" ca="1" si="6"/>
        <v>092,5-0BBA0A0000A00D</v>
      </c>
      <c r="N14" s="320">
        <f t="shared" ca="1" si="7"/>
        <v>6</v>
      </c>
      <c r="O14" s="320">
        <f t="shared" si="8"/>
        <v>1</v>
      </c>
      <c r="P14" s="397" t="str">
        <f t="shared" ca="1" si="9"/>
        <v>092,5-0BBA0A0000A00D-001</v>
      </c>
      <c r="Q14" s="320">
        <f t="shared" ca="1" si="10"/>
        <v>94</v>
      </c>
      <c r="R14" s="328"/>
      <c r="S14" s="380"/>
      <c r="T14" s="400" t="s">
        <v>605</v>
      </c>
      <c r="U14" s="559"/>
      <c r="V14" s="97" t="str">
        <f>IFERROR(INDEX('1'!C$300:C$400,MATCH("*"&amp;I14&amp;"*",'1'!B$300:B$400,0)),"  ")</f>
        <v xml:space="preserve">  </v>
      </c>
      <c r="W14" s="97">
        <f>IFERROR(INDEX('2'!C$300:C$400,MATCH("*"&amp;I14&amp;"*",'2'!B$300:B$400,0)),"  ")</f>
        <v>12</v>
      </c>
      <c r="X14" s="380">
        <f>IFERROR(INDEX('3'!C$300:C$400,MATCH("*"&amp;I14&amp;"*",'3'!B$300:B$400,0)),"  ")</f>
        <v>1.5</v>
      </c>
      <c r="Y14" s="97" t="str">
        <f>IFERROR(INDEX('4'!C$300:C$400,MATCH("*"&amp;I14&amp;"*",'4'!B$300:B$400,0)),"  ")</f>
        <v xml:space="preserve">  </v>
      </c>
      <c r="Z14" s="97">
        <f>IFERROR(INDEX('5'!C$300:C$400,MATCH("*"&amp;I14&amp;"*",'5'!B$300:B$400,0)),"  ")</f>
        <v>16</v>
      </c>
      <c r="AA14" s="97">
        <f>IFERROR(INDEX('6'!C$300:C$400,MATCH("*"&amp;I14&amp;"*",'6'!B$300:B$400,0)),"  ")</f>
        <v>20</v>
      </c>
      <c r="AB14" s="97">
        <f>IFERROR(INDEX('7'!C$300:C$400,MATCH("*"&amp;I14&amp;"*",'7'!B$300:B$400,0)),"  ")</f>
        <v>7</v>
      </c>
      <c r="AC14" s="97">
        <f>IFERROR(INDEX('8'!C$300:C$400,MATCH("*"&amp;I14&amp;"*",'8'!B$300:B$400,0)),"  ")</f>
        <v>16</v>
      </c>
      <c r="AD14" s="97">
        <f ca="1">IFERROR(INDEX('9'!C$300:C$400,MATCH("*"&amp;I14&amp;"*",'9'!B$300:B$400,0)),"  ")</f>
        <v>20</v>
      </c>
      <c r="AE14" s="97" t="str">
        <f>IFERROR(INDEX('10'!C$300:C$400,MATCH("*"&amp;I14&amp;"*",'10'!B$300:B$400,0)),"  ")</f>
        <v xml:space="preserve">  </v>
      </c>
      <c r="AF14" s="97" t="str">
        <f>IFERROR(INDEX('11'!C$300:C$400,MATCH("*"&amp;I14&amp;"*",'11'!B$300:B$400,0)),"  ")</f>
        <v xml:space="preserve">  </v>
      </c>
      <c r="AG14" s="294">
        <f t="shared" ca="1" si="11"/>
        <v>7</v>
      </c>
      <c r="AH14" s="794">
        <f t="shared" ca="1" si="12"/>
        <v>4</v>
      </c>
      <c r="AI14" s="796">
        <f t="shared" ca="1" si="13"/>
        <v>1</v>
      </c>
      <c r="AJ14" s="303">
        <f t="shared" ca="1" si="14"/>
        <v>0</v>
      </c>
      <c r="AK14" s="405">
        <f t="shared" si="15"/>
        <v>1E-4</v>
      </c>
      <c r="AL14" s="405">
        <f t="shared" ca="1" si="16"/>
        <v>4.0000000000000002E-4</v>
      </c>
      <c r="AM14" s="442">
        <f t="array" aca="1" ref="AM14" ca="1">MIN(IF(V$5:AF$5="ESMV",IF(V14:AF14="  ",FALSE,V14:AF14)+COLUMN(V:AF)/10000))</f>
        <v>2.5000000000000001E-3</v>
      </c>
      <c r="AN14" s="405">
        <f t="shared" si="17"/>
        <v>1E-3</v>
      </c>
    </row>
    <row r="15" spans="1:40" s="2" customFormat="1" x14ac:dyDescent="0.2">
      <c r="A15" s="328" t="s">
        <v>257</v>
      </c>
      <c r="B15" s="331" t="str">
        <f t="shared" si="1"/>
        <v/>
      </c>
      <c r="C15" s="329" t="str">
        <f t="shared" si="2"/>
        <v/>
      </c>
      <c r="D15" s="907" t="s">
        <v>257</v>
      </c>
      <c r="E15" s="331" t="str">
        <f t="shared" si="3"/>
        <v/>
      </c>
      <c r="F15" s="330" t="str">
        <f t="shared" si="4"/>
        <v/>
      </c>
      <c r="G15" s="390">
        <f t="shared" ca="1" si="5"/>
        <v>7</v>
      </c>
      <c r="H15" s="76">
        <v>7</v>
      </c>
      <c r="I15" s="98" t="s">
        <v>225</v>
      </c>
      <c r="J15" s="800">
        <v>79.5</v>
      </c>
      <c r="K15" s="801">
        <f t="array" aca="1" ref="K15" ca="1">(IF(COUNT(V15,X15,AA15,AB15,AC15,AE15)&lt;4,SUM(V15,X15,AA15,AB15,AC15,AE15),SUM(LARGE((V15,X15,AA15,AB15,AC15,AE15),{1;2;3;4}))))+(IF(COUNT(W15,Y15,Z15,AD15,AF15)&lt;4,SUM(W15,Y15,Z15,AD15,AF15),SUM(LARGE((W15,Y15,Z15,AD15,AF15),{1;2;3;4}))))</f>
        <v>79.5</v>
      </c>
      <c r="L15" s="397" t="str">
        <f ca="1">INDEX(ETAPP!B$1:B$32,MATCH(COUNTIF(V15:AF15,PUNKTID!A$1),ETAPP!A$1:A$32,0))&amp;INDEX(ETAPP!B$1:B$32,MATCH(COUNTIF(V15:AF15,PUNKTID!A$2),ETAPP!A$1:A$32,0))&amp;INDEX(ETAPP!B$1:B$32,MATCH(COUNTIF(V15:AF15,PUNKTID!A$3),ETAPP!A$1:A$32,0))&amp;INDEX(ETAPP!B$1:B$32,MATCH(COUNTIF(V15:AF15,PUNKTID!A$4),ETAPP!A$1:A$32,0))&amp;INDEX(ETAPP!B$1:B$32,MATCH(COUNTIF(V15:AF15,PUNKTID!A$5),ETAPP!A$1:A$32,0))&amp;INDEX(ETAPP!B$1:B$32,MATCH(COUNTIF(V15:AF15,PUNKTID!A$6),ETAPP!A$1:A$32,0))&amp;INDEX(ETAPP!B$1:B$32,MATCH(COUNTIF(V15:AF15,PUNKTID!A$7),ETAPP!A$1:A$32,0))&amp;INDEX(ETAPP!B$1:B$32,MATCH(COUNTIF(V15:AF15,PUNKTID!A$8),ETAPP!A$1:A$32,0))&amp;INDEX(ETAPP!B$1:B$32,MATCH(COUNTIF(V15:AF15,PUNKTID!A$9),ETAPP!A$1:A$32,0))&amp;INDEX(ETAPP!B$1:B$32,MATCH(COUNTIF(V15:AF15,PUNKTID!A$10),ETAPP!A$1:A$32,0))&amp;INDEX(ETAPP!B$1:B$32,MATCH(COUNTIF(V15:AF15,PUNKTID!A$11),ETAPP!A$1:A$32,0))&amp;INDEX(ETAPP!B$1:B$32,MATCH(COUNTIF(V15:AF15,PUNKTID!A$12),ETAPP!A$1:A$32,0))&amp;INDEX(ETAPP!B$1:B$32,MATCH(COUNTIF(V15:AF15,PUNKTID!A$13),ETAPP!A$1:A$32,0))&amp;INDEX(ETAPP!B$1:B$32,MATCH(COUNTIF(V15:AF15,PUNKTID!A$14),ETAPP!A$1:A$32,0))</f>
        <v>0ABA0AA00AA00C</v>
      </c>
      <c r="M15" s="397" t="str">
        <f t="shared" ca="1" si="6"/>
        <v>079,5-0ABA0AA00AA00C</v>
      </c>
      <c r="N15" s="320">
        <f t="shared" ca="1" si="7"/>
        <v>7</v>
      </c>
      <c r="O15" s="320">
        <f t="shared" si="8"/>
        <v>93</v>
      </c>
      <c r="P15" s="397" t="str">
        <f t="shared" ca="1" si="9"/>
        <v>079,5-0ABA0AA00AA00C-093</v>
      </c>
      <c r="Q15" s="320">
        <f t="shared" ca="1" si="10"/>
        <v>93</v>
      </c>
      <c r="R15" s="328"/>
      <c r="S15" s="380"/>
      <c r="T15" s="400"/>
      <c r="U15" s="559"/>
      <c r="V15" s="97" t="str">
        <f>IFERROR(INDEX('1'!C$300:C$400,MATCH("*"&amp;I15&amp;"*",'1'!B$300:B$400,0)),"  ")</f>
        <v xml:space="preserve">  </v>
      </c>
      <c r="W15" s="97">
        <f>IFERROR(INDEX('2'!C$300:C$400,MATCH("*"&amp;I15&amp;"*",'2'!B$300:B$400,0)),"  ")</f>
        <v>12</v>
      </c>
      <c r="X15" s="380">
        <f>IFERROR(INDEX('3'!C$300:C$400,MATCH("*"&amp;I15&amp;"*",'3'!B$300:B$400,0)),"  ")</f>
        <v>1.5</v>
      </c>
      <c r="Y15" s="97">
        <f>IFERROR(INDEX('4'!C$300:C$400,MATCH("*"&amp;I15&amp;"*",'4'!B$300:B$400,0)),"  ")</f>
        <v>5</v>
      </c>
      <c r="Z15" s="97">
        <f>IFERROR(INDEX('5'!C$300:C$400,MATCH("*"&amp;I15&amp;"*",'5'!B$300:B$400,0)),"  ")</f>
        <v>16</v>
      </c>
      <c r="AA15" s="97">
        <f>IFERROR(INDEX('6'!C$300:C$400,MATCH("*"&amp;I15&amp;"*",'6'!B$300:B$400,0)),"  ")</f>
        <v>20</v>
      </c>
      <c r="AB15" s="97">
        <f>IFERROR(INDEX('7'!C$300:C$400,MATCH("*"&amp;I15&amp;"*",'7'!B$300:B$400,0)),"  ")</f>
        <v>7</v>
      </c>
      <c r="AC15" s="97">
        <f>IFERROR(INDEX('8'!C$300:C$400,MATCH("*"&amp;I15&amp;"*",'8'!B$300:B$400,0)),"  ")</f>
        <v>16</v>
      </c>
      <c r="AD15" s="97">
        <f ca="1">IFERROR(INDEX('9'!C$300:C$400,MATCH("*"&amp;I15&amp;"*",'9'!B$300:B$400,0)),"  ")</f>
        <v>2</v>
      </c>
      <c r="AE15" s="97" t="str">
        <f>IFERROR(INDEX('10'!C$300:C$400,MATCH("*"&amp;I15&amp;"*",'10'!B$300:B$400,0)),"  ")</f>
        <v xml:space="preserve">  </v>
      </c>
      <c r="AF15" s="97" t="str">
        <f>IFERROR(INDEX('11'!C$300:C$400,MATCH("*"&amp;I15&amp;"*",'11'!B$300:B$400,0)),"  ")</f>
        <v xml:space="preserve">  </v>
      </c>
      <c r="AG15" s="294">
        <f t="shared" ca="1" si="11"/>
        <v>8</v>
      </c>
      <c r="AH15" s="794">
        <f t="shared" ca="1" si="12"/>
        <v>3</v>
      </c>
      <c r="AI15" s="796">
        <f t="shared" ca="1" si="13"/>
        <v>1</v>
      </c>
      <c r="AJ15" s="303">
        <f t="shared" ca="1" si="14"/>
        <v>0</v>
      </c>
      <c r="AK15" s="405">
        <f t="shared" si="15"/>
        <v>1E-4</v>
      </c>
      <c r="AL15" s="405">
        <f t="shared" ca="1" si="16"/>
        <v>1.1000000000000001E-3</v>
      </c>
      <c r="AM15" s="442">
        <f t="array" aca="1" ref="AM15" ca="1">MIN(IF(V$5:AF$5="ESMV",IF(V15:AF15="  ",FALSE,V15:AF15)+COLUMN(V:AF)/10000))</f>
        <v>3.2000000000000002E-3</v>
      </c>
      <c r="AN15" s="405">
        <f t="shared" si="17"/>
        <v>1E-3</v>
      </c>
    </row>
    <row r="16" spans="1:40" s="2" customFormat="1" x14ac:dyDescent="0.2">
      <c r="A16" s="328" t="s">
        <v>257</v>
      </c>
      <c r="B16" s="331" t="str">
        <f t="shared" si="1"/>
        <v/>
      </c>
      <c r="C16" s="329" t="str">
        <f t="shared" si="2"/>
        <v/>
      </c>
      <c r="D16" s="907" t="s">
        <v>257</v>
      </c>
      <c r="E16" s="331" t="str">
        <f t="shared" si="3"/>
        <v/>
      </c>
      <c r="F16" s="330" t="str">
        <f t="shared" si="4"/>
        <v/>
      </c>
      <c r="G16" s="390">
        <f t="shared" ca="1" si="5"/>
        <v>8</v>
      </c>
      <c r="H16" s="906">
        <v>8</v>
      </c>
      <c r="I16" s="98" t="s">
        <v>42</v>
      </c>
      <c r="J16" s="802">
        <v>78</v>
      </c>
      <c r="K16" s="801">
        <f t="array" aca="1" ref="K16" ca="1">(IF(COUNT(V16,X16,AA16,AB16,AC16,AE16)&lt;4,SUM(V16,X16,AA16,AB16,AC16,AE16),SUM(LARGE((V16,X16,AA16,AB16,AC16,AE16),{1;2;3;4}))))+(IF(COUNT(W16,Y16,Z16,AD16,AF16)&lt;4,SUM(W16,Y16,Z16,AD16,AF16),SUM(LARGE((W16,Y16,Z16,AD16,AF16),{1;2;3;4}))))</f>
        <v>78</v>
      </c>
      <c r="L16" s="397" t="str">
        <f ca="1">INDEX(ETAPP!B$1:B$32,MATCH(COUNTIF(V16:AF16,PUNKTID!A$1),ETAPP!A$1:A$32,0))&amp;INDEX(ETAPP!B$1:B$32,MATCH(COUNTIF(V16:AF16,PUNKTID!A$2),ETAPP!A$1:A$32,0))&amp;INDEX(ETAPP!B$1:B$32,MATCH(COUNTIF(V16:AF16,PUNKTID!A$3),ETAPP!A$1:A$32,0))&amp;INDEX(ETAPP!B$1:B$32,MATCH(COUNTIF(V16:AF16,PUNKTID!A$4),ETAPP!A$1:A$32,0))&amp;INDEX(ETAPP!B$1:B$32,MATCH(COUNTIF(V16:AF16,PUNKTID!A$5),ETAPP!A$1:A$32,0))&amp;INDEX(ETAPP!B$1:B$32,MATCH(COUNTIF(V16:AF16,PUNKTID!A$6),ETAPP!A$1:A$32,0))&amp;INDEX(ETAPP!B$1:B$32,MATCH(COUNTIF(V16:AF16,PUNKTID!A$7),ETAPP!A$1:A$32,0))&amp;INDEX(ETAPP!B$1:B$32,MATCH(COUNTIF(V16:AF16,PUNKTID!A$8),ETAPP!A$1:A$32,0))&amp;INDEX(ETAPP!B$1:B$32,MATCH(COUNTIF(V16:AF16,PUNKTID!A$9),ETAPP!A$1:A$32,0))&amp;INDEX(ETAPP!B$1:B$32,MATCH(COUNTIF(V16:AF16,PUNKTID!A$10),ETAPP!A$1:A$32,0))&amp;INDEX(ETAPP!B$1:B$32,MATCH(COUNTIF(V16:AF16,PUNKTID!A$11),ETAPP!A$1:A$32,0))&amp;INDEX(ETAPP!B$1:B$32,MATCH(COUNTIF(V16:AF16,PUNKTID!A$12),ETAPP!A$1:A$32,0))&amp;INDEX(ETAPP!B$1:B$32,MATCH(COUNTIF(V16:AF16,PUNKTID!A$13),ETAPP!A$1:A$32,0))&amp;INDEX(ETAPP!B$1:B$32,MATCH(COUNTIF(V16:AF16,PUNKTID!A$14),ETAPP!A$1:A$32,0))</f>
        <v>0CA000000A000F</v>
      </c>
      <c r="M16" s="397" t="str">
        <f t="shared" ca="1" si="6"/>
        <v>078,0-0CA000000A000F</v>
      </c>
      <c r="N16" s="320">
        <f t="shared" ca="1" si="7"/>
        <v>8</v>
      </c>
      <c r="O16" s="320">
        <f t="shared" si="8"/>
        <v>18</v>
      </c>
      <c r="P16" s="397" t="str">
        <f t="shared" ca="1" si="9"/>
        <v>078,0-0CA000000A000F-018</v>
      </c>
      <c r="Q16" s="320">
        <f t="shared" ca="1" si="10"/>
        <v>92</v>
      </c>
      <c r="R16" s="328"/>
      <c r="S16" s="380"/>
      <c r="T16" s="400"/>
      <c r="U16" s="560" t="s">
        <v>758</v>
      </c>
      <c r="V16" s="97">
        <f>IFERROR(INDEX('1'!C$300:C$400,MATCH("*"&amp;I16&amp;"*",'1'!B$300:B$400,0)),"  ")</f>
        <v>20</v>
      </c>
      <c r="W16" s="97">
        <f>IFERROR(INDEX('2'!C$300:C$400,MATCH("*"&amp;I16&amp;"*",'2'!B$300:B$400,0)),"  ")</f>
        <v>2</v>
      </c>
      <c r="X16" s="97">
        <f>IFERROR(INDEX('3'!C$300:C$400,MATCH("*"&amp;I16&amp;"*",'3'!B$300:B$400,0)),"  ")</f>
        <v>16</v>
      </c>
      <c r="Y16" s="97" t="str">
        <f>IFERROR(INDEX('4'!C$300:C$400,MATCH("*"&amp;I16&amp;"*",'4'!B$300:B$400,0)),"  ")</f>
        <v xml:space="preserve">  </v>
      </c>
      <c r="Z16" s="97" t="str">
        <f>IFERROR(INDEX('5'!C$300:C$400,MATCH("*"&amp;I16&amp;"*",'5'!B$300:B$400,0)),"  ")</f>
        <v xml:space="preserve">  </v>
      </c>
      <c r="AA16" s="97" t="str">
        <f>IFERROR(INDEX('6'!C$300:C$400,MATCH("*"&amp;I16&amp;"*",'6'!B$300:B$400,0)),"  ")</f>
        <v xml:space="preserve">  </v>
      </c>
      <c r="AB16" s="97" t="str">
        <f>IFERROR(INDEX('7'!C$300:C$400,MATCH("*"&amp;I16&amp;"*",'7'!B$300:B$400,0)),"  ")</f>
        <v xml:space="preserve">  </v>
      </c>
      <c r="AC16" s="97" t="str">
        <f>IFERROR(INDEX('8'!C$300:C$400,MATCH("*"&amp;I16&amp;"*",'8'!B$300:B$400,0)),"  ")</f>
        <v xml:space="preserve">  </v>
      </c>
      <c r="AD16" s="97" t="str">
        <f ca="1">IFERROR(INDEX('9'!C$300:C$400,MATCH("*"&amp;I16&amp;"*",'9'!B$300:B$400,0)),"  ")</f>
        <v xml:space="preserve">  </v>
      </c>
      <c r="AE16" s="97">
        <f>IFERROR(INDEX('10'!C$300:C$400,MATCH("*"&amp;I16&amp;"*",'10'!B$300:B$400,0)),"  ")</f>
        <v>20</v>
      </c>
      <c r="AF16" s="97">
        <f>IFERROR(INDEX('11'!C$300:C$400,MATCH("*"&amp;I16&amp;"*",'11'!B$300:B$400,0)),"  ")</f>
        <v>20</v>
      </c>
      <c r="AG16" s="294">
        <f t="shared" ca="1" si="11"/>
        <v>5</v>
      </c>
      <c r="AH16" s="794">
        <f t="shared" ca="1" si="12"/>
        <v>4</v>
      </c>
      <c r="AI16" s="796">
        <f t="shared" ca="1" si="13"/>
        <v>2</v>
      </c>
      <c r="AJ16" s="303">
        <f t="shared" ca="1" si="14"/>
        <v>0</v>
      </c>
      <c r="AK16" s="405">
        <f t="shared" si="15"/>
        <v>5.9999999999999995E-4</v>
      </c>
      <c r="AL16" s="405">
        <f t="shared" ca="1" si="16"/>
        <v>4.0000000000000002E-4</v>
      </c>
      <c r="AM16" s="442">
        <f t="array" aca="1" ref="AM16" ca="1">MIN(IF(V$5:AF$5="ESMV",IF(V16:AF16="  ",FALSE,V16:AF16)+COLUMN(V:AF)/10000))</f>
        <v>2.5000000000000001E-3</v>
      </c>
      <c r="AN16" s="405">
        <f t="shared" si="17"/>
        <v>6.9999999999999999E-4</v>
      </c>
    </row>
    <row r="17" spans="1:40" s="2" customFormat="1" x14ac:dyDescent="0.2">
      <c r="A17" s="328" t="s">
        <v>257</v>
      </c>
      <c r="B17" s="331" t="str">
        <f t="shared" si="1"/>
        <v/>
      </c>
      <c r="C17" s="329" t="str">
        <f t="shared" si="2"/>
        <v/>
      </c>
      <c r="D17" s="907" t="s">
        <v>257</v>
      </c>
      <c r="E17" s="331" t="str">
        <f t="shared" si="3"/>
        <v/>
      </c>
      <c r="F17" s="330" t="str">
        <f t="shared" si="4"/>
        <v/>
      </c>
      <c r="G17" s="390">
        <f t="shared" ca="1" si="5"/>
        <v>9</v>
      </c>
      <c r="H17" s="906">
        <v>9</v>
      </c>
      <c r="I17" s="98" t="s">
        <v>245</v>
      </c>
      <c r="J17" s="800">
        <v>78</v>
      </c>
      <c r="K17" s="801">
        <f t="array" aca="1" ref="K17" ca="1">(IF(COUNT(V17,X17,AA17,AB17,AC17,AE17)&lt;4,SUM(V17,X17,AA17,AB17,AC17,AE17),SUM(LARGE((V17,X17,AA17,AB17,AC17,AE17),{1;2;3;4}))))+(IF(COUNT(W17,Y17,Z17,AD17,AF17)&lt;4,SUM(W17,Y17,Z17,AD17,AF17),SUM(LARGE((W17,Y17,Z17,AD17,AF17),{1;2;3;4}))))</f>
        <v>78</v>
      </c>
      <c r="L17" s="397" t="str">
        <f ca="1">INDEX(ETAPP!B$1:B$32,MATCH(COUNTIF(V17:AF17,PUNKTID!A$1),ETAPP!A$1:A$32,0))&amp;INDEX(ETAPP!B$1:B$32,MATCH(COUNTIF(V17:AF17,PUNKTID!A$2),ETAPP!A$1:A$32,0))&amp;INDEX(ETAPP!B$1:B$32,MATCH(COUNTIF(V17:AF17,PUNKTID!A$3),ETAPP!A$1:A$32,0))&amp;INDEX(ETAPP!B$1:B$32,MATCH(COUNTIF(V17:AF17,PUNKTID!A$4),ETAPP!A$1:A$32,0))&amp;INDEX(ETAPP!B$1:B$32,MATCH(COUNTIF(V17:AF17,PUNKTID!A$5),ETAPP!A$1:A$32,0))&amp;INDEX(ETAPP!B$1:B$32,MATCH(COUNTIF(V17:AF17,PUNKTID!A$6),ETAPP!A$1:A$32,0))&amp;INDEX(ETAPP!B$1:B$32,MATCH(COUNTIF(V17:AF17,PUNKTID!A$7),ETAPP!A$1:A$32,0))&amp;INDEX(ETAPP!B$1:B$32,MATCH(COUNTIF(V17:AF17,PUNKTID!A$8),ETAPP!A$1:A$32,0))&amp;INDEX(ETAPP!B$1:B$32,MATCH(COUNTIF(V17:AF17,PUNKTID!A$9),ETAPP!A$1:A$32,0))&amp;INDEX(ETAPP!B$1:B$32,MATCH(COUNTIF(V17:AF17,PUNKTID!A$10),ETAPP!A$1:A$32,0))&amp;INDEX(ETAPP!B$1:B$32,MATCH(COUNTIF(V17:AF17,PUNKTID!A$11),ETAPP!A$1:A$32,0))&amp;INDEX(ETAPP!B$1:B$32,MATCH(COUNTIF(V17:AF17,PUNKTID!A$12),ETAPP!A$1:A$32,0))&amp;INDEX(ETAPP!B$1:B$32,MATCH(COUNTIF(V17:AF17,PUNKTID!A$13),ETAPP!A$1:A$32,0))&amp;INDEX(ETAPP!B$1:B$32,MATCH(COUNTIF(V17:AF17,PUNKTID!A$14),ETAPP!A$1:A$32,0))</f>
        <v>00BBAAA0000B0B</v>
      </c>
      <c r="M17" s="397" t="str">
        <f t="shared" ca="1" si="6"/>
        <v>078,0-00BBAAA0000B0B</v>
      </c>
      <c r="N17" s="320">
        <f t="shared" ca="1" si="7"/>
        <v>9</v>
      </c>
      <c r="O17" s="320">
        <f t="shared" si="8"/>
        <v>92</v>
      </c>
      <c r="P17" s="397" t="str">
        <f t="shared" ca="1" si="9"/>
        <v>078,0-00BBAAA0000B0B-092</v>
      </c>
      <c r="Q17" s="320">
        <f t="shared" ca="1" si="10"/>
        <v>91</v>
      </c>
      <c r="R17" s="328"/>
      <c r="S17" s="380"/>
      <c r="T17" s="400"/>
      <c r="U17" s="559"/>
      <c r="V17" s="97">
        <f>IFERROR(INDEX('1'!C$300:C$400,MATCH("*"&amp;I17&amp;"*",'1'!B$300:B$400,0)),"  ")</f>
        <v>1</v>
      </c>
      <c r="W17" s="97">
        <f>IFERROR(INDEX('2'!C$300:C$400,MATCH("*"&amp;I17&amp;"*",'2'!B$300:B$400,0)),"  ")</f>
        <v>16</v>
      </c>
      <c r="X17" s="97">
        <f>IFERROR(INDEX('3'!C$300:C$400,MATCH("*"&amp;I17&amp;"*",'3'!B$300:B$400,0)),"  ")</f>
        <v>12</v>
      </c>
      <c r="Y17" s="97">
        <f>IFERROR(INDEX('4'!C$300:C$400,MATCH("*"&amp;I17&amp;"*",'4'!B$300:B$400,0)),"  ")</f>
        <v>9</v>
      </c>
      <c r="Z17" s="97">
        <f>IFERROR(INDEX('5'!C$300:C$400,MATCH("*"&amp;I17&amp;"*",'5'!B$300:B$400,0)),"  ")</f>
        <v>5</v>
      </c>
      <c r="AA17" s="97">
        <f>IFERROR(INDEX('6'!C$300:C$400,MATCH("*"&amp;I17&amp;"*",'6'!B$300:B$400,0)),"  ")</f>
        <v>1</v>
      </c>
      <c r="AB17" s="97">
        <f>IFERROR(INDEX('7'!C$300:C$400,MATCH("*"&amp;I17&amp;"*",'7'!B$300:B$400,0)),"  ")</f>
        <v>16</v>
      </c>
      <c r="AC17" s="97">
        <f>IFERROR(INDEX('8'!C$300:C$400,MATCH("*"&amp;I17&amp;"*",'8'!B$300:B$400,0)),"  ")</f>
        <v>7</v>
      </c>
      <c r="AD17" s="97">
        <f ca="1">IFERROR(INDEX('9'!C$300:C$400,MATCH("*"&amp;I17&amp;"*",'9'!B$300:B$400,0)),"  ")</f>
        <v>12</v>
      </c>
      <c r="AE17" s="97" t="str">
        <f>IFERROR(INDEX('10'!C$300:C$400,MATCH("*"&amp;I17&amp;"*",'10'!B$300:B$400,0)),"  ")</f>
        <v xml:space="preserve">  </v>
      </c>
      <c r="AF17" s="97" t="str">
        <f>IFERROR(INDEX('11'!C$300:C$400,MATCH("*"&amp;I17&amp;"*",'11'!B$300:B$400,0)),"  ")</f>
        <v xml:space="preserve">  </v>
      </c>
      <c r="AG17" s="294">
        <f t="shared" ca="1" si="11"/>
        <v>9</v>
      </c>
      <c r="AH17" s="794">
        <f t="shared" ca="1" si="12"/>
        <v>3</v>
      </c>
      <c r="AI17" s="796">
        <f t="shared" ca="1" si="13"/>
        <v>0</v>
      </c>
      <c r="AJ17" s="303">
        <f t="shared" ca="1" si="14"/>
        <v>0</v>
      </c>
      <c r="AK17" s="405">
        <f t="shared" si="15"/>
        <v>1E-3</v>
      </c>
      <c r="AL17" s="405">
        <f t="shared" ca="1" si="16"/>
        <v>1.1000000000000001E-3</v>
      </c>
      <c r="AM17" s="442">
        <f t="array" aca="1" ref="AM17" ca="1">MIN(IF(V$5:AF$5="ESMV",IF(V17:AF17="  ",FALSE,V17:AF17)+COLUMN(V:AF)/10000))</f>
        <v>3.2000000000000002E-3</v>
      </c>
      <c r="AN17" s="405">
        <f t="shared" si="17"/>
        <v>1.0001</v>
      </c>
    </row>
    <row r="18" spans="1:40" s="2" customFormat="1" x14ac:dyDescent="0.2">
      <c r="A18" s="328" t="s">
        <v>257</v>
      </c>
      <c r="B18" s="331" t="str">
        <f t="shared" si="1"/>
        <v/>
      </c>
      <c r="C18" s="329" t="str">
        <f t="shared" si="2"/>
        <v/>
      </c>
      <c r="D18" s="907" t="s">
        <v>257</v>
      </c>
      <c r="E18" s="331" t="str">
        <f t="shared" si="3"/>
        <v/>
      </c>
      <c r="F18" s="330" t="str">
        <f t="shared" si="4"/>
        <v/>
      </c>
      <c r="G18" s="390">
        <f t="shared" ca="1" si="5"/>
        <v>10</v>
      </c>
      <c r="H18" s="906">
        <v>10</v>
      </c>
      <c r="I18" s="98" t="s">
        <v>150</v>
      </c>
      <c r="J18" s="800">
        <v>76.5</v>
      </c>
      <c r="K18" s="801">
        <f t="array" aca="1" ref="K18" ca="1">(IF(COUNT(V18,X18,AA18,AB18,AC18,AE18)&lt;4,SUM(V18,X18,AA18,AB18,AC18,AE18),SUM(LARGE((V18,X18,AA18,AB18,AC18,AE18),{1;2;3;4}))))+(IF(COUNT(W18,Y18,Z18,AD18,AF18)&lt;4,SUM(W18,Y18,Z18,AD18,AF18),SUM(LARGE((W18,Y18,Z18,AD18,AF18),{1;2;3;4}))))</f>
        <v>76.5</v>
      </c>
      <c r="L18" s="397" t="str">
        <f ca="1">INDEX(ETAPP!B$1:B$32,MATCH(COUNTIF(V18:AF18,PUNKTID!A$1),ETAPP!A$1:A$32,0))&amp;INDEX(ETAPP!B$1:B$32,MATCH(COUNTIF(V18:AF18,PUNKTID!A$2),ETAPP!A$1:A$32,0))&amp;INDEX(ETAPP!B$1:B$32,MATCH(COUNTIF(V18:AF18,PUNKTID!A$3),ETAPP!A$1:A$32,0))&amp;INDEX(ETAPP!B$1:B$32,MATCH(COUNTIF(V18:AF18,PUNKTID!A$4),ETAPP!A$1:A$32,0))&amp;INDEX(ETAPP!B$1:B$32,MATCH(COUNTIF(V18:AF18,PUNKTID!A$5),ETAPP!A$1:A$32,0))&amp;INDEX(ETAPP!B$1:B$32,MATCH(COUNTIF(V18:AF18,PUNKTID!A$6),ETAPP!A$1:A$32,0))&amp;INDEX(ETAPP!B$1:B$32,MATCH(COUNTIF(V18:AF18,PUNKTID!A$7),ETAPP!A$1:A$32,0))&amp;INDEX(ETAPP!B$1:B$32,MATCH(COUNTIF(V18:AF18,PUNKTID!A$8),ETAPP!A$1:A$32,0))&amp;INDEX(ETAPP!B$1:B$32,MATCH(COUNTIF(V18:AF18,PUNKTID!A$9),ETAPP!A$1:A$32,0))&amp;INDEX(ETAPP!B$1:B$32,MATCH(COUNTIF(V18:AF18,PUNKTID!A$10),ETAPP!A$1:A$32,0))&amp;INDEX(ETAPP!B$1:B$32,MATCH(COUNTIF(V18:AF18,PUNKTID!A$11),ETAPP!A$1:A$32,0))&amp;INDEX(ETAPP!B$1:B$32,MATCH(COUNTIF(V18:AF18,PUNKTID!A$12),ETAPP!A$1:A$32,0))&amp;INDEX(ETAPP!B$1:B$32,MATCH(COUNTIF(V18:AF18,PUNKTID!A$13),ETAPP!A$1:A$32,0))&amp;INDEX(ETAPP!B$1:B$32,MATCH(COUNTIF(V18:AF18,PUNKTID!A$14),ETAPP!A$1:A$32,0))</f>
        <v>C000000000A00G</v>
      </c>
      <c r="M18" s="397" t="str">
        <f t="shared" ca="1" si="6"/>
        <v>076,5-C000000000A00G</v>
      </c>
      <c r="N18" s="320">
        <f t="shared" ca="1" si="7"/>
        <v>10</v>
      </c>
      <c r="O18" s="320">
        <f t="shared" si="8"/>
        <v>65</v>
      </c>
      <c r="P18" s="397" t="str">
        <f t="shared" ca="1" si="9"/>
        <v>076,5-C000000000A00G-065</v>
      </c>
      <c r="Q18" s="320">
        <f t="shared" ca="1" si="10"/>
        <v>90</v>
      </c>
      <c r="R18" s="328"/>
      <c r="S18" s="380"/>
      <c r="T18" s="400"/>
      <c r="U18" s="559"/>
      <c r="V18" s="97" t="str">
        <f>IFERROR(INDEX('1'!C$300:C$400,MATCH("*"&amp;I18&amp;"*",'1'!B$300:B$400,0)),"  ")</f>
        <v xml:space="preserve">  </v>
      </c>
      <c r="W18" s="97">
        <f>IFERROR(INDEX('2'!C$300:C$400,MATCH("*"&amp;I18&amp;"*",'2'!B$300:B$400,0)),"  ")</f>
        <v>25</v>
      </c>
      <c r="X18" s="380">
        <f>IFERROR(INDEX('3'!C$300:C$400,MATCH("*"&amp;I18&amp;"*",'3'!B$300:B$400,0)),"  ")</f>
        <v>1.5</v>
      </c>
      <c r="Y18" s="97" t="str">
        <f>IFERROR(INDEX('4'!C$300:C$400,MATCH("*"&amp;I18&amp;"*",'4'!B$300:B$400,0)),"  ")</f>
        <v xml:space="preserve">  </v>
      </c>
      <c r="Z18" s="97">
        <f>IFERROR(INDEX('5'!C$300:C$400,MATCH("*"&amp;I18&amp;"*",'5'!B$300:B$400,0)),"  ")</f>
        <v>25</v>
      </c>
      <c r="AA18" s="97" t="str">
        <f>IFERROR(INDEX('6'!C$300:C$400,MATCH("*"&amp;I18&amp;"*",'6'!B$300:B$400,0)),"  ")</f>
        <v xml:space="preserve">  </v>
      </c>
      <c r="AB18" s="97" t="str">
        <f>IFERROR(INDEX('7'!C$300:C$400,MATCH("*"&amp;I18&amp;"*",'7'!B$300:B$400,0)),"  ")</f>
        <v xml:space="preserve">  </v>
      </c>
      <c r="AC18" s="97" t="str">
        <f>IFERROR(INDEX('8'!C$300:C$400,MATCH("*"&amp;I18&amp;"*",'8'!B$300:B$400,0)),"  ")</f>
        <v xml:space="preserve">  </v>
      </c>
      <c r="AD18" s="97" t="str">
        <f ca="1">IFERROR(INDEX('9'!C$300:C$400,MATCH("*"&amp;I18&amp;"*",'9'!B$300:B$400,0)),"  ")</f>
        <v xml:space="preserve">  </v>
      </c>
      <c r="AE18" s="97" t="str">
        <f>IFERROR(INDEX('10'!C$300:C$400,MATCH("*"&amp;I18&amp;"*",'10'!B$300:B$400,0)),"  ")</f>
        <v xml:space="preserve">  </v>
      </c>
      <c r="AF18" s="97">
        <f>IFERROR(INDEX('11'!C$300:C$400,MATCH("*"&amp;I18&amp;"*",'11'!B$300:B$400,0)),"  ")</f>
        <v>25</v>
      </c>
      <c r="AG18" s="294">
        <f t="shared" ca="1" si="11"/>
        <v>4</v>
      </c>
      <c r="AH18" s="794">
        <f t="shared" ca="1" si="12"/>
        <v>3</v>
      </c>
      <c r="AI18" s="796">
        <f t="shared" ca="1" si="13"/>
        <v>3</v>
      </c>
      <c r="AJ18" s="303">
        <f t="shared" ca="1" si="14"/>
        <v>3</v>
      </c>
      <c r="AK18" s="405">
        <f t="shared" si="15"/>
        <v>1E-4</v>
      </c>
      <c r="AL18" s="405">
        <f t="shared" ca="1" si="16"/>
        <v>4.0000000000000002E-4</v>
      </c>
      <c r="AM18" s="442">
        <f t="array" aca="1" ref="AM18" ca="1">MIN(IF(V$5:AF$5="ESMV",IF(V18:AF18="  ",FALSE,V18:AF18)+COLUMN(V:AF)/10000))</f>
        <v>2.5000000000000001E-3</v>
      </c>
      <c r="AN18" s="405">
        <f t="shared" si="17"/>
        <v>5.9999999999999995E-4</v>
      </c>
    </row>
    <row r="19" spans="1:40" s="2" customFormat="1" x14ac:dyDescent="0.2">
      <c r="A19" s="328" t="s">
        <v>257</v>
      </c>
      <c r="B19" s="331" t="str">
        <f t="shared" si="1"/>
        <v/>
      </c>
      <c r="C19" s="329" t="str">
        <f t="shared" si="2"/>
        <v/>
      </c>
      <c r="D19" s="907" t="s">
        <v>257</v>
      </c>
      <c r="E19" s="331" t="str">
        <f t="shared" si="3"/>
        <v/>
      </c>
      <c r="F19" s="330" t="str">
        <f t="shared" si="4"/>
        <v/>
      </c>
      <c r="G19" s="390">
        <f t="shared" ca="1" si="5"/>
        <v>11</v>
      </c>
      <c r="H19" s="76">
        <v>11</v>
      </c>
      <c r="I19" s="98" t="s">
        <v>23</v>
      </c>
      <c r="J19" s="800">
        <v>73</v>
      </c>
      <c r="K19" s="801">
        <f t="array" aca="1" ref="K19" ca="1">(IF(COUNT(V19,X19,AA19,AB19,AC19,AE19)&lt;4,SUM(V19,X19,AA19,AB19,AC19,AE19),SUM(LARGE((V19,X19,AA19,AB19,AC19,AE19),{1;2;3;4}))))+(IF(COUNT(W19,Y19,Z19,AD19,AF19)&lt;4,SUM(W19,Y19,Z19,AD19,AF19),SUM(LARGE((W19,Y19,Z19,AD19,AF19),{1;2;3;4}))))</f>
        <v>73</v>
      </c>
      <c r="L19" s="397" t="str">
        <f ca="1">INDEX(ETAPP!B$1:B$32,MATCH(COUNTIF(V19:AF19,PUNKTID!A$1),ETAPP!A$1:A$32,0))&amp;INDEX(ETAPP!B$1:B$32,MATCH(COUNTIF(V19:AF19,PUNKTID!A$2),ETAPP!A$1:A$32,0))&amp;INDEX(ETAPP!B$1:B$32,MATCH(COUNTIF(V19:AF19,PUNKTID!A$3),ETAPP!A$1:A$32,0))&amp;INDEX(ETAPP!B$1:B$32,MATCH(COUNTIF(V19:AF19,PUNKTID!A$4),ETAPP!A$1:A$32,0))&amp;INDEX(ETAPP!B$1:B$32,MATCH(COUNTIF(V19:AF19,PUNKTID!A$5),ETAPP!A$1:A$32,0))&amp;INDEX(ETAPP!B$1:B$32,MATCH(COUNTIF(V19:AF19,PUNKTID!A$6),ETAPP!A$1:A$32,0))&amp;INDEX(ETAPP!B$1:B$32,MATCH(COUNTIF(V19:AF19,PUNKTID!A$7),ETAPP!A$1:A$32,0))&amp;INDEX(ETAPP!B$1:B$32,MATCH(COUNTIF(V19:AF19,PUNKTID!A$8),ETAPP!A$1:A$32,0))&amp;INDEX(ETAPP!B$1:B$32,MATCH(COUNTIF(V19:AF19,PUNKTID!A$9),ETAPP!A$1:A$32,0))&amp;INDEX(ETAPP!B$1:B$32,MATCH(COUNTIF(V19:AF19,PUNKTID!A$10),ETAPP!A$1:A$32,0))&amp;INDEX(ETAPP!B$1:B$32,MATCH(COUNTIF(V19:AF19,PUNKTID!A$11),ETAPP!A$1:A$32,0))&amp;INDEX(ETAPP!B$1:B$32,MATCH(COUNTIF(V19:AF19,PUNKTID!A$12),ETAPP!A$1:A$32,0))&amp;INDEX(ETAPP!B$1:B$32,MATCH(COUNTIF(V19:AF19,PUNKTID!A$13),ETAPP!A$1:A$32,0))&amp;INDEX(ETAPP!B$1:B$32,MATCH(COUNTIF(V19:AF19,PUNKTID!A$14),ETAPP!A$1:A$32,0))</f>
        <v>0AB00B0A0A0B0B</v>
      </c>
      <c r="M19" s="397" t="str">
        <f t="shared" ca="1" si="6"/>
        <v>073,0-0AB00B0A0A0B0B</v>
      </c>
      <c r="N19" s="320">
        <f t="shared" ca="1" si="7"/>
        <v>11</v>
      </c>
      <c r="O19" s="320">
        <f t="shared" si="8"/>
        <v>60</v>
      </c>
      <c r="P19" s="397" t="str">
        <f t="shared" ca="1" si="9"/>
        <v>073,0-0AB00B0A0A0B0B-060</v>
      </c>
      <c r="Q19" s="320">
        <f t="shared" ca="1" si="10"/>
        <v>89</v>
      </c>
      <c r="R19" s="328"/>
      <c r="S19" s="380"/>
      <c r="T19" s="400"/>
      <c r="U19" s="559"/>
      <c r="V19" s="97">
        <f>IFERROR(INDEX('1'!C$300:C$400,MATCH("*"&amp;I19&amp;"*",'1'!B$300:B$400,0)),"  ")</f>
        <v>1</v>
      </c>
      <c r="W19" s="97">
        <f>IFERROR(INDEX('2'!C$300:C$400,MATCH("*"&amp;I19&amp;"*",'2'!B$300:B$400,0)),"  ")</f>
        <v>2</v>
      </c>
      <c r="X19" s="97">
        <f>IFERROR(INDEX('3'!C$300:C$400,MATCH("*"&amp;I19&amp;"*",'3'!B$300:B$400,0)),"  ")</f>
        <v>7</v>
      </c>
      <c r="Y19" s="97">
        <f>IFERROR(INDEX('4'!C$300:C$400,MATCH("*"&amp;I19&amp;"*",'4'!B$300:B$400,0)),"  ")</f>
        <v>16</v>
      </c>
      <c r="Z19" s="97">
        <f>IFERROR(INDEX('5'!C$300:C$400,MATCH("*"&amp;I19&amp;"*",'5'!B$300:B$400,0)),"  ")</f>
        <v>7</v>
      </c>
      <c r="AA19" s="97">
        <f>IFERROR(INDEX('6'!C$300:C$400,MATCH("*"&amp;I19&amp;"*",'6'!B$300:B$400,0)),"  ")</f>
        <v>1</v>
      </c>
      <c r="AB19" s="97">
        <f>IFERROR(INDEX('7'!C$300:C$400,MATCH("*"&amp;I19&amp;"*",'7'!B$300:B$400,0)),"  ")</f>
        <v>4</v>
      </c>
      <c r="AC19" s="97" t="str">
        <f>IFERROR(INDEX('8'!C$300:C$400,MATCH("*"&amp;I19&amp;"*",'8'!B$300:B$400,0)),"  ")</f>
        <v xml:space="preserve">  </v>
      </c>
      <c r="AD19" s="97" t="str">
        <f ca="1">IFERROR(INDEX('9'!C$300:C$400,MATCH("*"&amp;I19&amp;"*",'9'!B$300:B$400,0)),"  ")</f>
        <v xml:space="preserve">  </v>
      </c>
      <c r="AE19" s="97">
        <f>IFERROR(INDEX('10'!C$300:C$400,MATCH("*"&amp;I19&amp;"*",'10'!B$300:B$400,0)),"  ")</f>
        <v>16</v>
      </c>
      <c r="AF19" s="97">
        <f>IFERROR(INDEX('11'!C$300:C$400,MATCH("*"&amp;I19&amp;"*",'11'!B$300:B$400,0)),"  ")</f>
        <v>20</v>
      </c>
      <c r="AG19" s="294">
        <f t="shared" ca="1" si="11"/>
        <v>9</v>
      </c>
      <c r="AH19" s="794">
        <f t="shared" ca="1" si="12"/>
        <v>3</v>
      </c>
      <c r="AI19" s="796">
        <f t="shared" ca="1" si="13"/>
        <v>0</v>
      </c>
      <c r="AJ19" s="303">
        <f t="shared" ca="1" si="14"/>
        <v>0</v>
      </c>
      <c r="AK19" s="405">
        <f t="shared" si="15"/>
        <v>8.0000000000000004E-4</v>
      </c>
      <c r="AL19" s="405">
        <f t="shared" ca="1" si="16"/>
        <v>8.9999999999999998E-4</v>
      </c>
      <c r="AM19" s="442">
        <f t="array" aca="1" ref="AM19" ca="1">MIN(IF(V$5:AF$5="ESMV",IF(V19:AF19="  ",FALSE,V19:AF19)+COLUMN(V:AF)/10000))</f>
        <v>3.0000000000000001E-3</v>
      </c>
      <c r="AN19" s="405">
        <f t="shared" si="17"/>
        <v>1.0001</v>
      </c>
    </row>
    <row r="20" spans="1:40" s="2" customFormat="1" x14ac:dyDescent="0.2">
      <c r="A20" s="328">
        <v>2</v>
      </c>
      <c r="B20" s="331">
        <f t="shared" ca="1" si="1"/>
        <v>2</v>
      </c>
      <c r="C20" s="329" t="str">
        <f t="shared" ca="1" si="2"/>
        <v>061,0-AA0A00000B000F</v>
      </c>
      <c r="D20" s="907" t="s">
        <v>257</v>
      </c>
      <c r="E20" s="331" t="str">
        <f t="shared" si="3"/>
        <v/>
      </c>
      <c r="F20" s="330" t="str">
        <f t="shared" si="4"/>
        <v/>
      </c>
      <c r="G20" s="390">
        <f t="shared" ca="1" si="5"/>
        <v>12</v>
      </c>
      <c r="H20" s="76">
        <v>12</v>
      </c>
      <c r="I20" s="378" t="s">
        <v>558</v>
      </c>
      <c r="J20" s="800">
        <v>61</v>
      </c>
      <c r="K20" s="801">
        <f t="array" aca="1" ref="K20" ca="1">(IF(COUNT(V20,X20,AA20,AB20,AC20,AE20)&lt;4,SUM(V20,X20,AA20,AB20,AC20,AE20),SUM(LARGE((V20,X20,AA20,AB20,AC20,AE20),{1;2;3;4}))))+(IF(COUNT(W20,Y20,Z20,AD20,AF20)&lt;4,SUM(W20,Y20,Z20,AD20,AF20),SUM(LARGE((W20,Y20,Z20,AD20,AF20),{1;2;3;4}))))</f>
        <v>61</v>
      </c>
      <c r="L20" s="397" t="str">
        <f ca="1">INDEX(ETAPP!B$1:B$32,MATCH(COUNTIF(V20:AF20,PUNKTID!A$1),ETAPP!A$1:A$32,0))&amp;INDEX(ETAPP!B$1:B$32,MATCH(COUNTIF(V20:AF20,PUNKTID!A$2),ETAPP!A$1:A$32,0))&amp;INDEX(ETAPP!B$1:B$32,MATCH(COUNTIF(V20:AF20,PUNKTID!A$3),ETAPP!A$1:A$32,0))&amp;INDEX(ETAPP!B$1:B$32,MATCH(COUNTIF(V20:AF20,PUNKTID!A$4),ETAPP!A$1:A$32,0))&amp;INDEX(ETAPP!B$1:B$32,MATCH(COUNTIF(V20:AF20,PUNKTID!A$5),ETAPP!A$1:A$32,0))&amp;INDEX(ETAPP!B$1:B$32,MATCH(COUNTIF(V20:AF20,PUNKTID!A$6),ETAPP!A$1:A$32,0))&amp;INDEX(ETAPP!B$1:B$32,MATCH(COUNTIF(V20:AF20,PUNKTID!A$7),ETAPP!A$1:A$32,0))&amp;INDEX(ETAPP!B$1:B$32,MATCH(COUNTIF(V20:AF20,PUNKTID!A$8),ETAPP!A$1:A$32,0))&amp;INDEX(ETAPP!B$1:B$32,MATCH(COUNTIF(V20:AF20,PUNKTID!A$9),ETAPP!A$1:A$32,0))&amp;INDEX(ETAPP!B$1:B$32,MATCH(COUNTIF(V20:AF20,PUNKTID!A$10),ETAPP!A$1:A$32,0))&amp;INDEX(ETAPP!B$1:B$32,MATCH(COUNTIF(V20:AF20,PUNKTID!A$11),ETAPP!A$1:A$32,0))&amp;INDEX(ETAPP!B$1:B$32,MATCH(COUNTIF(V20:AF20,PUNKTID!A$12),ETAPP!A$1:A$32,0))&amp;INDEX(ETAPP!B$1:B$32,MATCH(COUNTIF(V20:AF20,PUNKTID!A$13),ETAPP!A$1:A$32,0))&amp;INDEX(ETAPP!B$1:B$32,MATCH(COUNTIF(V20:AF20,PUNKTID!A$14),ETAPP!A$1:A$32,0))</f>
        <v>AA0A00000B000F</v>
      </c>
      <c r="M20" s="397" t="str">
        <f t="shared" ca="1" si="6"/>
        <v>061,0-AA0A00000B000F</v>
      </c>
      <c r="N20" s="320">
        <f t="shared" ca="1" si="7"/>
        <v>12</v>
      </c>
      <c r="O20" s="320">
        <f t="shared" si="8"/>
        <v>57</v>
      </c>
      <c r="P20" s="397" t="str">
        <f t="shared" ca="1" si="9"/>
        <v>061,0-AA0A00000B000F-057</v>
      </c>
      <c r="Q20" s="320">
        <f t="shared" ca="1" si="10"/>
        <v>88</v>
      </c>
      <c r="R20" s="328" t="s">
        <v>562</v>
      </c>
      <c r="S20" s="380"/>
      <c r="T20" s="400"/>
      <c r="U20" s="559"/>
      <c r="V20" s="97">
        <f>IFERROR(INDEX('1'!C$300:C$400,MATCH("*"&amp;I20&amp;"*",'1'!B$300:B$400,0)),"  ")</f>
        <v>12</v>
      </c>
      <c r="W20" s="97">
        <f>IFERROR(INDEX('2'!C$300:C$400,MATCH("*"&amp;I20&amp;"*",'2'!B$300:B$400,0)),"  ")</f>
        <v>2</v>
      </c>
      <c r="X20" s="97" t="str">
        <f>IFERROR(INDEX('3'!C$300:C$400,MATCH("*"&amp;I20&amp;"*",'3'!B$300:B$400,0)),"  ")</f>
        <v xml:space="preserve">  </v>
      </c>
      <c r="Y20" s="97">
        <f>IFERROR(INDEX('4'!C$300:C$400,MATCH("*"&amp;I20&amp;"*",'4'!B$300:B$400,0)),"  ")</f>
        <v>25</v>
      </c>
      <c r="Z20" s="97">
        <f>IFERROR(INDEX('5'!C$300:C$400,MATCH("*"&amp;I20&amp;"*",'5'!B$300:B$400,0)),"  ")</f>
        <v>20</v>
      </c>
      <c r="AA20" s="97" t="str">
        <f>IFERROR(INDEX('6'!C$300:C$400,MATCH("*"&amp;I20&amp;"*",'6'!B$300:B$400,0)),"  ")</f>
        <v xml:space="preserve">  </v>
      </c>
      <c r="AB20" s="97" t="str">
        <f>IFERROR(INDEX('7'!C$300:C$400,MATCH("*"&amp;I20&amp;"*",'7'!B$300:B$400,0)),"  ")</f>
        <v xml:space="preserve">  </v>
      </c>
      <c r="AC20" s="97" t="str">
        <f>IFERROR(INDEX('8'!C$300:C$400,MATCH("*"&amp;I20&amp;"*",'8'!B$300:B$400,0)),"  ")</f>
        <v xml:space="preserve">  </v>
      </c>
      <c r="AD20" s="97" t="str">
        <f ca="1">IFERROR(INDEX('9'!C$300:C$400,MATCH("*"&amp;I20&amp;"*",'9'!B$300:B$400,0)),"  ")</f>
        <v xml:space="preserve">  </v>
      </c>
      <c r="AE20" s="97" t="str">
        <f>IFERROR(INDEX('10'!C$300:C$400,MATCH("*"&amp;I20&amp;"*",'10'!B$300:B$400,0)),"  ")</f>
        <v xml:space="preserve">  </v>
      </c>
      <c r="AF20" s="97">
        <f>IFERROR(INDEX('11'!C$300:C$400,MATCH("*"&amp;I20&amp;"*",'11'!B$300:B$400,0)),"  ")</f>
        <v>2</v>
      </c>
      <c r="AG20" s="294">
        <f t="shared" ca="1" si="11"/>
        <v>5</v>
      </c>
      <c r="AH20" s="794">
        <f t="shared" ca="1" si="12"/>
        <v>3</v>
      </c>
      <c r="AI20" s="796">
        <f t="shared" ca="1" si="13"/>
        <v>1</v>
      </c>
      <c r="AJ20" s="303">
        <f t="shared" ca="1" si="14"/>
        <v>1</v>
      </c>
      <c r="AK20" s="405">
        <f t="shared" si="15"/>
        <v>2.9999999999999997E-4</v>
      </c>
      <c r="AL20" s="405">
        <f t="shared" ca="1" si="16"/>
        <v>8.9999999999999998E-4</v>
      </c>
      <c r="AM20" s="442">
        <f t="array" aca="1" ref="AM20" ca="1">MIN(IF(V$5:AF$5="ESMV",IF(V20:AF20="  ",FALSE,V20:AF20)+COLUMN(V:AF)/10000))</f>
        <v>3.0000000000000001E-3</v>
      </c>
      <c r="AN20" s="405">
        <f t="shared" si="17"/>
        <v>5.9999999999999995E-4</v>
      </c>
    </row>
    <row r="21" spans="1:40" s="2" customFormat="1" x14ac:dyDescent="0.2">
      <c r="A21" s="328">
        <v>3</v>
      </c>
      <c r="B21" s="331">
        <f t="shared" ca="1" si="1"/>
        <v>3</v>
      </c>
      <c r="C21" s="329" t="str">
        <f t="shared" ca="1" si="2"/>
        <v>059,0-0A0AA0B0BA000C</v>
      </c>
      <c r="D21" s="907" t="s">
        <v>257</v>
      </c>
      <c r="E21" s="331" t="str">
        <f t="shared" si="3"/>
        <v/>
      </c>
      <c r="F21" s="330" t="str">
        <f t="shared" si="4"/>
        <v/>
      </c>
      <c r="G21" s="390">
        <f t="shared" ca="1" si="5"/>
        <v>13</v>
      </c>
      <c r="H21" s="76">
        <v>13</v>
      </c>
      <c r="I21" s="98" t="s">
        <v>24</v>
      </c>
      <c r="J21" s="800">
        <v>59</v>
      </c>
      <c r="K21" s="801">
        <f t="array" aca="1" ref="K21" ca="1">(IF(COUNT(V21,X21,AA21,AB21,AC21,AE21)&lt;4,SUM(V21,X21,AA21,AB21,AC21,AE21),SUM(LARGE((V21,X21,AA21,AB21,AC21,AE21),{1;2;3;4}))))+(IF(COUNT(W21,Y21,Z21,AD21,AF21)&lt;4,SUM(W21,Y21,Z21,AD21,AF21),SUM(LARGE((W21,Y21,Z21,AD21,AF21),{1;2;3;4}))))</f>
        <v>59</v>
      </c>
      <c r="L21" s="397" t="str">
        <f ca="1">INDEX(ETAPP!B$1:B$32,MATCH(COUNTIF(V21:AF21,PUNKTID!A$1),ETAPP!A$1:A$32,0))&amp;INDEX(ETAPP!B$1:B$32,MATCH(COUNTIF(V21:AF21,PUNKTID!A$2),ETAPP!A$1:A$32,0))&amp;INDEX(ETAPP!B$1:B$32,MATCH(COUNTIF(V21:AF21,PUNKTID!A$3),ETAPP!A$1:A$32,0))&amp;INDEX(ETAPP!B$1:B$32,MATCH(COUNTIF(V21:AF21,PUNKTID!A$4),ETAPP!A$1:A$32,0))&amp;INDEX(ETAPP!B$1:B$32,MATCH(COUNTIF(V21:AF21,PUNKTID!A$5),ETAPP!A$1:A$32,0))&amp;INDEX(ETAPP!B$1:B$32,MATCH(COUNTIF(V21:AF21,PUNKTID!A$6),ETAPP!A$1:A$32,0))&amp;INDEX(ETAPP!B$1:B$32,MATCH(COUNTIF(V21:AF21,PUNKTID!A$7),ETAPP!A$1:A$32,0))&amp;INDEX(ETAPP!B$1:B$32,MATCH(COUNTIF(V21:AF21,PUNKTID!A$8),ETAPP!A$1:A$32,0))&amp;INDEX(ETAPP!B$1:B$32,MATCH(COUNTIF(V21:AF21,PUNKTID!A$9),ETAPP!A$1:A$32,0))&amp;INDEX(ETAPP!B$1:B$32,MATCH(COUNTIF(V21:AF21,PUNKTID!A$10),ETAPP!A$1:A$32,0))&amp;INDEX(ETAPP!B$1:B$32,MATCH(COUNTIF(V21:AF21,PUNKTID!A$11),ETAPP!A$1:A$32,0))&amp;INDEX(ETAPP!B$1:B$32,MATCH(COUNTIF(V21:AF21,PUNKTID!A$12),ETAPP!A$1:A$32,0))&amp;INDEX(ETAPP!B$1:B$32,MATCH(COUNTIF(V21:AF21,PUNKTID!A$13),ETAPP!A$1:A$32,0))&amp;INDEX(ETAPP!B$1:B$32,MATCH(COUNTIF(V21:AF21,PUNKTID!A$14),ETAPP!A$1:A$32,0))</f>
        <v>0A0AA0B0BA000C</v>
      </c>
      <c r="M21" s="397" t="str">
        <f t="shared" ca="1" si="6"/>
        <v>059,0-0A0AA0B0BA000C</v>
      </c>
      <c r="N21" s="320">
        <f t="shared" ca="1" si="7"/>
        <v>13</v>
      </c>
      <c r="O21" s="320">
        <f t="shared" si="8"/>
        <v>21</v>
      </c>
      <c r="P21" s="397" t="str">
        <f t="shared" ca="1" si="9"/>
        <v>059,0-0A0AA0B0BA000C-021</v>
      </c>
      <c r="Q21" s="320">
        <f t="shared" ca="1" si="10"/>
        <v>87</v>
      </c>
      <c r="R21" s="328" t="s">
        <v>562</v>
      </c>
      <c r="S21" s="380"/>
      <c r="T21" s="400" t="s">
        <v>605</v>
      </c>
      <c r="U21" s="559"/>
      <c r="V21" s="97" t="str">
        <f>IFERROR(INDEX('1'!C$300:C$400,MATCH("*"&amp;I21&amp;"*",'1'!B$300:B$400,0)),"  ")</f>
        <v xml:space="preserve">  </v>
      </c>
      <c r="W21" s="97">
        <f>IFERROR(INDEX('2'!C$300:C$400,MATCH("*"&amp;I21&amp;"*",'2'!B$300:B$400,0)),"  ")</f>
        <v>20</v>
      </c>
      <c r="X21" s="97">
        <f>IFERROR(INDEX('3'!C$300:C$400,MATCH("*"&amp;I21&amp;"*",'3'!B$300:B$400,0)),"  ")</f>
        <v>5</v>
      </c>
      <c r="Y21" s="97">
        <f>IFERROR(INDEX('4'!C$300:C$400,MATCH("*"&amp;I21&amp;"*",'4'!B$300:B$400,0)),"  ")</f>
        <v>12</v>
      </c>
      <c r="Z21" s="97">
        <f>IFERROR(INDEX('5'!C$300:C$400,MATCH("*"&amp;I21&amp;"*",'5'!B$300:B$400,0)),"  ")</f>
        <v>9</v>
      </c>
      <c r="AA21" s="97">
        <f>IFERROR(INDEX('6'!C$300:C$400,MATCH("*"&amp;I21&amp;"*",'6'!B$300:B$400,0)),"  ")</f>
        <v>3</v>
      </c>
      <c r="AB21" s="97">
        <f>IFERROR(INDEX('7'!C$300:C$400,MATCH("*"&amp;I21&amp;"*",'7'!B$300:B$400,0)),"  ")</f>
        <v>5</v>
      </c>
      <c r="AC21" s="97" t="str">
        <f>IFERROR(INDEX('8'!C$300:C$400,MATCH("*"&amp;I21&amp;"*",'8'!B$300:B$400,0)),"  ")</f>
        <v xml:space="preserve">  </v>
      </c>
      <c r="AD21" s="97" t="str">
        <f ca="1">IFERROR(INDEX('9'!C$300:C$400,MATCH("*"&amp;I21&amp;"*",'9'!B$300:B$400,0)),"  ")</f>
        <v xml:space="preserve">  </v>
      </c>
      <c r="AE21" s="97">
        <f>IFERROR(INDEX('10'!C$300:C$400,MATCH("*"&amp;I21&amp;"*",'10'!B$300:B$400,0)),"  ")</f>
        <v>3</v>
      </c>
      <c r="AF21" s="97">
        <f>IFERROR(INDEX('11'!C$300:C$400,MATCH("*"&amp;I21&amp;"*",'11'!B$300:B$400,0)),"  ")</f>
        <v>2</v>
      </c>
      <c r="AG21" s="294">
        <f t="shared" ca="1" si="11"/>
        <v>8</v>
      </c>
      <c r="AH21" s="794">
        <f t="shared" ca="1" si="12"/>
        <v>1</v>
      </c>
      <c r="AI21" s="796">
        <f t="shared" ca="1" si="13"/>
        <v>0</v>
      </c>
      <c r="AJ21" s="303">
        <f t="shared" ca="1" si="14"/>
        <v>0</v>
      </c>
      <c r="AK21" s="405">
        <f t="shared" si="15"/>
        <v>1E-4</v>
      </c>
      <c r="AL21" s="405">
        <f t="shared" ca="1" si="16"/>
        <v>8.9999999999999998E-4</v>
      </c>
      <c r="AM21" s="442">
        <f t="array" aca="1" ref="AM21" ca="1">MIN(IF(V$5:AF$5="ESMV",IF(V21:AF21="  ",FALSE,V21:AF21)+COLUMN(V:AF)/10000))</f>
        <v>3.0000000000000001E-3</v>
      </c>
      <c r="AN21" s="405">
        <f t="shared" si="17"/>
        <v>8.0000000000000004E-4</v>
      </c>
    </row>
    <row r="22" spans="1:40" s="2" customFormat="1" x14ac:dyDescent="0.2">
      <c r="A22" s="328">
        <v>4</v>
      </c>
      <c r="B22" s="331">
        <f t="shared" ca="1" si="1"/>
        <v>4</v>
      </c>
      <c r="C22" s="329" t="str">
        <f t="shared" ca="1" si="2"/>
        <v>058,0-00AAAAB00BA00B</v>
      </c>
      <c r="D22" s="907" t="s">
        <v>257</v>
      </c>
      <c r="E22" s="331" t="str">
        <f t="shared" si="3"/>
        <v/>
      </c>
      <c r="F22" s="330" t="str">
        <f t="shared" si="4"/>
        <v/>
      </c>
      <c r="G22" s="390">
        <f t="shared" ca="1" si="5"/>
        <v>14</v>
      </c>
      <c r="H22" s="76">
        <v>14</v>
      </c>
      <c r="I22" s="98" t="s">
        <v>55</v>
      </c>
      <c r="J22" s="800">
        <v>58</v>
      </c>
      <c r="K22" s="801">
        <f t="array" aca="1" ref="K22" ca="1">(IF(COUNT(V22,X22,AA22,AB22,AC22,AE22)&lt;4,SUM(V22,X22,AA22,AB22,AC22,AE22),SUM(LARGE((V22,X22,AA22,AB22,AC22,AE22),{1;2;3;4}))))+(IF(COUNT(W22,Y22,Z22,AD22,AF22)&lt;4,SUM(W22,Y22,Z22,AD22,AF22),SUM(LARGE((W22,Y22,Z22,AD22,AF22),{1;2;3;4}))))</f>
        <v>58</v>
      </c>
      <c r="L22" s="397" t="str">
        <f ca="1">INDEX(ETAPP!B$1:B$32,MATCH(COUNTIF(V22:AF22,PUNKTID!A$1),ETAPP!A$1:A$32,0))&amp;INDEX(ETAPP!B$1:B$32,MATCH(COUNTIF(V22:AF22,PUNKTID!A$2),ETAPP!A$1:A$32,0))&amp;INDEX(ETAPP!B$1:B$32,MATCH(COUNTIF(V22:AF22,PUNKTID!A$3),ETAPP!A$1:A$32,0))&amp;INDEX(ETAPP!B$1:B$32,MATCH(COUNTIF(V22:AF22,PUNKTID!A$4),ETAPP!A$1:A$32,0))&amp;INDEX(ETAPP!B$1:B$32,MATCH(COUNTIF(V22:AF22,PUNKTID!A$5),ETAPP!A$1:A$32,0))&amp;INDEX(ETAPP!B$1:B$32,MATCH(COUNTIF(V22:AF22,PUNKTID!A$6),ETAPP!A$1:A$32,0))&amp;INDEX(ETAPP!B$1:B$32,MATCH(COUNTIF(V22:AF22,PUNKTID!A$7),ETAPP!A$1:A$32,0))&amp;INDEX(ETAPP!B$1:B$32,MATCH(COUNTIF(V22:AF22,PUNKTID!A$8),ETAPP!A$1:A$32,0))&amp;INDEX(ETAPP!B$1:B$32,MATCH(COUNTIF(V22:AF22,PUNKTID!A$9),ETAPP!A$1:A$32,0))&amp;INDEX(ETAPP!B$1:B$32,MATCH(COUNTIF(V22:AF22,PUNKTID!A$10),ETAPP!A$1:A$32,0))&amp;INDEX(ETAPP!B$1:B$32,MATCH(COUNTIF(V22:AF22,PUNKTID!A$11),ETAPP!A$1:A$32,0))&amp;INDEX(ETAPP!B$1:B$32,MATCH(COUNTIF(V22:AF22,PUNKTID!A$12),ETAPP!A$1:A$32,0))&amp;INDEX(ETAPP!B$1:B$32,MATCH(COUNTIF(V22:AF22,PUNKTID!A$13),ETAPP!A$1:A$32,0))&amp;INDEX(ETAPP!B$1:B$32,MATCH(COUNTIF(V22:AF22,PUNKTID!A$14),ETAPP!A$1:A$32,0))</f>
        <v>00AAAAB00BA00B</v>
      </c>
      <c r="M22" s="397" t="str">
        <f t="shared" ca="1" si="6"/>
        <v>058,0-00AAAAB00BA00B</v>
      </c>
      <c r="N22" s="320">
        <f t="shared" ca="1" si="7"/>
        <v>15</v>
      </c>
      <c r="O22" s="320">
        <f t="shared" si="8"/>
        <v>97</v>
      </c>
      <c r="P22" s="397" t="str">
        <f t="shared" ca="1" si="9"/>
        <v>058,0-00AAAAB00BA00B-097</v>
      </c>
      <c r="Q22" s="320">
        <f t="shared" ca="1" si="10"/>
        <v>86</v>
      </c>
      <c r="R22" s="328" t="s">
        <v>562</v>
      </c>
      <c r="S22" s="380"/>
      <c r="T22" s="400" t="s">
        <v>605</v>
      </c>
      <c r="U22" s="559"/>
      <c r="V22" s="97">
        <f>IFERROR(INDEX('1'!C$300:C$400,MATCH("*"&amp;I22&amp;"*",'1'!B$300:B$400,0)),"  ")</f>
        <v>16</v>
      </c>
      <c r="W22" s="97">
        <f>IFERROR(INDEX('2'!C$300:C$400,MATCH("*"&amp;I22&amp;"*",'2'!B$300:B$400,0)),"  ")</f>
        <v>9</v>
      </c>
      <c r="X22" s="380">
        <f>IFERROR(INDEX('3'!C$300:C$400,MATCH("*"&amp;I22&amp;"*",'3'!B$300:B$400,0)),"  ")</f>
        <v>1.5</v>
      </c>
      <c r="Y22" s="97">
        <f>IFERROR(INDEX('4'!C$300:C$400,MATCH("*"&amp;I22&amp;"*",'4'!B$300:B$400,0)),"  ")</f>
        <v>7</v>
      </c>
      <c r="Z22" s="97">
        <f>IFERROR(INDEX('5'!C$300:C$400,MATCH("*"&amp;I22&amp;"*",'5'!B$300:B$400,0)),"  ")</f>
        <v>2</v>
      </c>
      <c r="AA22" s="97">
        <f>IFERROR(INDEX('6'!C$300:C$400,MATCH("*"&amp;I22&amp;"*",'6'!B$300:B$400,0)),"  ")</f>
        <v>5</v>
      </c>
      <c r="AB22" s="97">
        <f>IFERROR(INDEX('7'!C$300:C$400,MATCH("*"&amp;I22&amp;"*",'7'!B$300:B$400,0)),"  ")</f>
        <v>12</v>
      </c>
      <c r="AC22" s="97">
        <f>IFERROR(INDEX('8'!C$300:C$400,MATCH("*"&amp;I22&amp;"*",'8'!B$300:B$400,0)),"  ")</f>
        <v>5</v>
      </c>
      <c r="AD22" s="97" t="str">
        <f ca="1">IFERROR(INDEX('9'!C$300:C$400,MATCH("*"&amp;I22&amp;"*",'9'!B$300:B$400,0)),"  ")</f>
        <v xml:space="preserve">  </v>
      </c>
      <c r="AE22" s="97" t="str">
        <f>IFERROR(INDEX('10'!C$300:C$400,MATCH("*"&amp;I22&amp;"*",'10'!B$300:B$400,0)),"  ")</f>
        <v xml:space="preserve">  </v>
      </c>
      <c r="AF22" s="97">
        <f>IFERROR(INDEX('11'!C$300:C$400,MATCH("*"&amp;I22&amp;"*",'11'!B$300:B$400,0)),"  ")</f>
        <v>2</v>
      </c>
      <c r="AG22" s="294">
        <f t="shared" ca="1" si="11"/>
        <v>9</v>
      </c>
      <c r="AH22" s="794">
        <f t="shared" ca="1" si="12"/>
        <v>2</v>
      </c>
      <c r="AI22" s="796">
        <f t="shared" ca="1" si="13"/>
        <v>0</v>
      </c>
      <c r="AJ22" s="303">
        <f t="shared" ca="1" si="14"/>
        <v>0</v>
      </c>
      <c r="AK22" s="405">
        <f t="shared" si="15"/>
        <v>1E-3</v>
      </c>
      <c r="AL22" s="405">
        <f t="shared" ca="1" si="16"/>
        <v>8.9999999999999998E-4</v>
      </c>
      <c r="AM22" s="442">
        <f t="array" aca="1" ref="AM22" ca="1">MIN(IF(V$5:AF$5="ESMV",IF(V22:AF22="  ",FALSE,V22:AF22)+COLUMN(V:AF)/10000))</f>
        <v>3.0000000000000001E-3</v>
      </c>
      <c r="AN22" s="405">
        <f t="shared" si="17"/>
        <v>1.5003</v>
      </c>
    </row>
    <row r="23" spans="1:40" s="2" customFormat="1" x14ac:dyDescent="0.2">
      <c r="A23" s="328" t="s">
        <v>257</v>
      </c>
      <c r="B23" s="331" t="str">
        <f t="shared" si="1"/>
        <v/>
      </c>
      <c r="C23" s="329" t="str">
        <f t="shared" si="2"/>
        <v/>
      </c>
      <c r="D23" s="907" t="s">
        <v>257</v>
      </c>
      <c r="E23" s="331" t="str">
        <f t="shared" si="3"/>
        <v/>
      </c>
      <c r="F23" s="330" t="str">
        <f t="shared" si="4"/>
        <v/>
      </c>
      <c r="G23" s="390">
        <f t="shared" ca="1" si="5"/>
        <v>14</v>
      </c>
      <c r="H23" s="76">
        <v>14</v>
      </c>
      <c r="I23" s="98" t="s">
        <v>54</v>
      </c>
      <c r="J23" s="800">
        <v>58</v>
      </c>
      <c r="K23" s="801">
        <f t="array" aca="1" ref="K23" ca="1">(IF(COUNT(V23,X23,AA23,AB23,AC23,AE23)&lt;4,SUM(V23,X23,AA23,AB23,AC23,AE23),SUM(LARGE((V23,X23,AA23,AB23,AC23,AE23),{1;2;3;4}))))+(IF(COUNT(W23,Y23,Z23,AD23,AF23)&lt;4,SUM(W23,Y23,Z23,AD23,AF23),SUM(LARGE((W23,Y23,Z23,AD23,AF23),{1;2;3;4}))))</f>
        <v>58</v>
      </c>
      <c r="L23" s="397" t="str">
        <f ca="1">INDEX(ETAPP!B$1:B$32,MATCH(COUNTIF(V23:AF23,PUNKTID!A$1),ETAPP!A$1:A$32,0))&amp;INDEX(ETAPP!B$1:B$32,MATCH(COUNTIF(V23:AF23,PUNKTID!A$2),ETAPP!A$1:A$32,0))&amp;INDEX(ETAPP!B$1:B$32,MATCH(COUNTIF(V23:AF23,PUNKTID!A$3),ETAPP!A$1:A$32,0))&amp;INDEX(ETAPP!B$1:B$32,MATCH(COUNTIF(V23:AF23,PUNKTID!A$4),ETAPP!A$1:A$32,0))&amp;INDEX(ETAPP!B$1:B$32,MATCH(COUNTIF(V23:AF23,PUNKTID!A$5),ETAPP!A$1:A$32,0))&amp;INDEX(ETAPP!B$1:B$32,MATCH(COUNTIF(V23:AF23,PUNKTID!A$6),ETAPP!A$1:A$32,0))&amp;INDEX(ETAPP!B$1:B$32,MATCH(COUNTIF(V23:AF23,PUNKTID!A$7),ETAPP!A$1:A$32,0))&amp;INDEX(ETAPP!B$1:B$32,MATCH(COUNTIF(V23:AF23,PUNKTID!A$8),ETAPP!A$1:A$32,0))&amp;INDEX(ETAPP!B$1:B$32,MATCH(COUNTIF(V23:AF23,PUNKTID!A$9),ETAPP!A$1:A$32,0))&amp;INDEX(ETAPP!B$1:B$32,MATCH(COUNTIF(V23:AF23,PUNKTID!A$10),ETAPP!A$1:A$32,0))&amp;INDEX(ETAPP!B$1:B$32,MATCH(COUNTIF(V23:AF23,PUNKTID!A$11),ETAPP!A$1:A$32,0))&amp;INDEX(ETAPP!B$1:B$32,MATCH(COUNTIF(V23:AF23,PUNKTID!A$12),ETAPP!A$1:A$32,0))&amp;INDEX(ETAPP!B$1:B$32,MATCH(COUNTIF(V23:AF23,PUNKTID!A$13),ETAPP!A$1:A$32,0))&amp;INDEX(ETAPP!B$1:B$32,MATCH(COUNTIF(V23:AF23,PUNKTID!A$14),ETAPP!A$1:A$32,0))</f>
        <v>00AAAAB00BA00B</v>
      </c>
      <c r="M23" s="397" t="str">
        <f t="shared" ca="1" si="6"/>
        <v>058,0-00AAAAB00BA00B</v>
      </c>
      <c r="N23" s="320">
        <f t="shared" ca="1" si="7"/>
        <v>15</v>
      </c>
      <c r="O23" s="320">
        <f t="shared" si="8"/>
        <v>59</v>
      </c>
      <c r="P23" s="397" t="str">
        <f t="shared" ca="1" si="9"/>
        <v>058,0-00AAAAB00BA00B-059</v>
      </c>
      <c r="Q23" s="320">
        <f t="shared" ca="1" si="10"/>
        <v>85</v>
      </c>
      <c r="R23" s="328"/>
      <c r="S23" s="380"/>
      <c r="T23" s="400" t="s">
        <v>605</v>
      </c>
      <c r="U23" s="559"/>
      <c r="V23" s="97">
        <f>IFERROR(INDEX('1'!C$300:C$400,MATCH("*"&amp;I23&amp;"*",'1'!B$300:B$400,0)),"  ")</f>
        <v>16</v>
      </c>
      <c r="W23" s="97">
        <f>IFERROR(INDEX('2'!C$300:C$400,MATCH("*"&amp;I23&amp;"*",'2'!B$300:B$400,0)),"  ")</f>
        <v>9</v>
      </c>
      <c r="X23" s="380">
        <f>IFERROR(INDEX('3'!C$300:C$400,MATCH("*"&amp;I23&amp;"*",'3'!B$300:B$400,0)),"  ")</f>
        <v>1.5</v>
      </c>
      <c r="Y23" s="97">
        <f>IFERROR(INDEX('4'!C$300:C$400,MATCH("*"&amp;I23&amp;"*",'4'!B$300:B$400,0)),"  ")</f>
        <v>7</v>
      </c>
      <c r="Z23" s="97">
        <f>IFERROR(INDEX('5'!C$300:C$400,MATCH("*"&amp;I23&amp;"*",'5'!B$300:B$400,0)),"  ")</f>
        <v>2</v>
      </c>
      <c r="AA23" s="97">
        <f>IFERROR(INDEX('6'!C$300:C$400,MATCH("*"&amp;I23&amp;"*",'6'!B$300:B$400,0)),"  ")</f>
        <v>5</v>
      </c>
      <c r="AB23" s="97">
        <f>IFERROR(INDEX('7'!C$300:C$400,MATCH("*"&amp;I23&amp;"*",'7'!B$300:B$400,0)),"  ")</f>
        <v>12</v>
      </c>
      <c r="AC23" s="97">
        <f>IFERROR(INDEX('8'!C$300:C$400,MATCH("*"&amp;I23&amp;"*",'8'!B$300:B$400,0)),"  ")</f>
        <v>5</v>
      </c>
      <c r="AD23" s="97" t="str">
        <f ca="1">IFERROR(INDEX('9'!C$300:C$400,MATCH("*"&amp;I23&amp;"*",'9'!B$300:B$400,0)),"  ")</f>
        <v xml:space="preserve">  </v>
      </c>
      <c r="AE23" s="97" t="str">
        <f>IFERROR(INDEX('10'!C$300:C$400,MATCH("*"&amp;I23&amp;"*",'10'!B$300:B$400,0)),"  ")</f>
        <v xml:space="preserve">  </v>
      </c>
      <c r="AF23" s="97">
        <f>IFERROR(INDEX('11'!C$300:C$400,MATCH("*"&amp;I23&amp;"*",'11'!B$300:B$400,0)),"  ")</f>
        <v>2</v>
      </c>
      <c r="AG23" s="294">
        <f t="shared" ca="1" si="11"/>
        <v>9</v>
      </c>
      <c r="AH23" s="794">
        <f t="shared" ca="1" si="12"/>
        <v>2</v>
      </c>
      <c r="AI23" s="796">
        <f t="shared" ca="1" si="13"/>
        <v>0</v>
      </c>
      <c r="AJ23" s="303">
        <f t="shared" ca="1" si="14"/>
        <v>0</v>
      </c>
      <c r="AK23" s="405">
        <f t="shared" si="15"/>
        <v>1E-3</v>
      </c>
      <c r="AL23" s="405">
        <f t="shared" ca="1" si="16"/>
        <v>8.9999999999999998E-4</v>
      </c>
      <c r="AM23" s="442">
        <f t="array" aca="1" ref="AM23" ca="1">MIN(IF(V$5:AF$5="ESMV",IF(V23:AF23="  ",FALSE,V23:AF23)+COLUMN(V:AF)/10000))</f>
        <v>3.0000000000000001E-3</v>
      </c>
      <c r="AN23" s="405">
        <f t="shared" si="17"/>
        <v>1.5003</v>
      </c>
    </row>
    <row r="24" spans="1:40" s="2" customFormat="1" x14ac:dyDescent="0.2">
      <c r="A24" s="328">
        <v>5</v>
      </c>
      <c r="B24" s="331">
        <f t="shared" ca="1" si="1"/>
        <v>5</v>
      </c>
      <c r="C24" s="329" t="str">
        <f t="shared" ca="1" si="2"/>
        <v>053,0-00B00B0A0A0B0C</v>
      </c>
      <c r="D24" s="907" t="s">
        <v>257</v>
      </c>
      <c r="E24" s="331" t="str">
        <f t="shared" si="3"/>
        <v/>
      </c>
      <c r="F24" s="330" t="str">
        <f t="shared" si="4"/>
        <v/>
      </c>
      <c r="G24" s="390">
        <f t="shared" ca="1" si="5"/>
        <v>16</v>
      </c>
      <c r="H24" s="76">
        <v>16</v>
      </c>
      <c r="I24" s="83" t="s">
        <v>32</v>
      </c>
      <c r="J24" s="800">
        <v>53</v>
      </c>
      <c r="K24" s="801">
        <f t="array" aca="1" ref="K24" ca="1">(IF(COUNT(V24,X24,AA24,AB24,AC24,AE24)&lt;4,SUM(V24,X24,AA24,AB24,AC24,AE24),SUM(LARGE((V24,X24,AA24,AB24,AC24,AE24),{1;2;3;4}))))+(IF(COUNT(W24,Y24,Z24,AD24,AF24)&lt;4,SUM(W24,Y24,Z24,AD24,AF24),SUM(LARGE((W24,Y24,Z24,AD24,AF24),{1;2;3;4}))))</f>
        <v>53</v>
      </c>
      <c r="L24" s="397" t="str">
        <f ca="1">INDEX(ETAPP!B$1:B$32,MATCH(COUNTIF(V24:AF24,PUNKTID!A$1),ETAPP!A$1:A$32,0))&amp;INDEX(ETAPP!B$1:B$32,MATCH(COUNTIF(V24:AF24,PUNKTID!A$2),ETAPP!A$1:A$32,0))&amp;INDEX(ETAPP!B$1:B$32,MATCH(COUNTIF(V24:AF24,PUNKTID!A$3),ETAPP!A$1:A$32,0))&amp;INDEX(ETAPP!B$1:B$32,MATCH(COUNTIF(V24:AF24,PUNKTID!A$4),ETAPP!A$1:A$32,0))&amp;INDEX(ETAPP!B$1:B$32,MATCH(COUNTIF(V24:AF24,PUNKTID!A$5),ETAPP!A$1:A$32,0))&amp;INDEX(ETAPP!B$1:B$32,MATCH(COUNTIF(V24:AF24,PUNKTID!A$6),ETAPP!A$1:A$32,0))&amp;INDEX(ETAPP!B$1:B$32,MATCH(COUNTIF(V24:AF24,PUNKTID!A$7),ETAPP!A$1:A$32,0))&amp;INDEX(ETAPP!B$1:B$32,MATCH(COUNTIF(V24:AF24,PUNKTID!A$8),ETAPP!A$1:A$32,0))&amp;INDEX(ETAPP!B$1:B$32,MATCH(COUNTIF(V24:AF24,PUNKTID!A$9),ETAPP!A$1:A$32,0))&amp;INDEX(ETAPP!B$1:B$32,MATCH(COUNTIF(V24:AF24,PUNKTID!A$10),ETAPP!A$1:A$32,0))&amp;INDEX(ETAPP!B$1:B$32,MATCH(COUNTIF(V24:AF24,PUNKTID!A$11),ETAPP!A$1:A$32,0))&amp;INDEX(ETAPP!B$1:B$32,MATCH(COUNTIF(V24:AF24,PUNKTID!A$12),ETAPP!A$1:A$32,0))&amp;INDEX(ETAPP!B$1:B$32,MATCH(COUNTIF(V24:AF24,PUNKTID!A$13),ETAPP!A$1:A$32,0))&amp;INDEX(ETAPP!B$1:B$32,MATCH(COUNTIF(V24:AF24,PUNKTID!A$14),ETAPP!A$1:A$32,0))</f>
        <v>00B00B0A0A0B0C</v>
      </c>
      <c r="M24" s="397" t="str">
        <f t="shared" ca="1" si="6"/>
        <v>053,0-00B00B0A0A0B0C</v>
      </c>
      <c r="N24" s="320">
        <f t="shared" ca="1" si="7"/>
        <v>16</v>
      </c>
      <c r="O24" s="320">
        <f t="shared" si="8"/>
        <v>64</v>
      </c>
      <c r="P24" s="397" t="str">
        <f t="shared" ca="1" si="9"/>
        <v>053,0-00B00B0A0A0B0C-064</v>
      </c>
      <c r="Q24" s="320">
        <f t="shared" ca="1" si="10"/>
        <v>84</v>
      </c>
      <c r="R24" s="328" t="s">
        <v>562</v>
      </c>
      <c r="S24" s="380"/>
      <c r="T24" s="400"/>
      <c r="U24" s="559"/>
      <c r="V24" s="97">
        <f>IFERROR(INDEX('1'!C$300:C$400,MATCH("*"&amp;I24&amp;"*",'1'!B$300:B$400,0)),"  ")</f>
        <v>1</v>
      </c>
      <c r="W24" s="97" t="str">
        <f>IFERROR(INDEX('2'!C$300:C$400,MATCH("*"&amp;I24&amp;"*",'2'!B$300:B$400,0)),"  ")</f>
        <v xml:space="preserve">  </v>
      </c>
      <c r="X24" s="97">
        <f>IFERROR(INDEX('3'!C$300:C$400,MATCH("*"&amp;I24&amp;"*",'3'!B$300:B$400,0)),"  ")</f>
        <v>7</v>
      </c>
      <c r="Y24" s="97">
        <f>IFERROR(INDEX('4'!C$300:C$400,MATCH("*"&amp;I24&amp;"*",'4'!B$300:B$400,0)),"  ")</f>
        <v>16</v>
      </c>
      <c r="Z24" s="97">
        <f>IFERROR(INDEX('5'!C$300:C$400,MATCH("*"&amp;I24&amp;"*",'5'!B$300:B$400,0)),"  ")</f>
        <v>7</v>
      </c>
      <c r="AA24" s="97">
        <f>IFERROR(INDEX('6'!C$300:C$400,MATCH("*"&amp;I24&amp;"*",'6'!B$300:B$400,0)),"  ")</f>
        <v>1</v>
      </c>
      <c r="AB24" s="97">
        <f>IFERROR(INDEX('7'!C$300:C$400,MATCH("*"&amp;I24&amp;"*",'7'!B$300:B$400,0)),"  ")</f>
        <v>4</v>
      </c>
      <c r="AC24" s="97" t="str">
        <f>IFERROR(INDEX('8'!C$300:C$400,MATCH("*"&amp;I24&amp;"*",'8'!B$300:B$400,0)),"  ")</f>
        <v xml:space="preserve">  </v>
      </c>
      <c r="AD24" s="97" t="str">
        <f ca="1">IFERROR(INDEX('9'!C$300:C$400,MATCH("*"&amp;I24&amp;"*",'9'!B$300:B$400,0)),"  ")</f>
        <v xml:space="preserve">  </v>
      </c>
      <c r="AE24" s="97">
        <f>IFERROR(INDEX('10'!C$300:C$400,MATCH("*"&amp;I24&amp;"*",'10'!B$300:B$400,0)),"  ")</f>
        <v>16</v>
      </c>
      <c r="AF24" s="97">
        <f>IFERROR(INDEX('11'!C$300:C$400,MATCH("*"&amp;I24&amp;"*",'11'!B$300:B$400,0)),"  ")</f>
        <v>2</v>
      </c>
      <c r="AG24" s="294">
        <f t="shared" ca="1" si="11"/>
        <v>8</v>
      </c>
      <c r="AH24" s="794">
        <f t="shared" ca="1" si="12"/>
        <v>2</v>
      </c>
      <c r="AI24" s="796">
        <f t="shared" ca="1" si="13"/>
        <v>0</v>
      </c>
      <c r="AJ24" s="303">
        <f t="shared" ca="1" si="14"/>
        <v>0</v>
      </c>
      <c r="AK24" s="405">
        <f t="shared" si="15"/>
        <v>8.0000000000000004E-4</v>
      </c>
      <c r="AL24" s="405">
        <f t="shared" ca="1" si="16"/>
        <v>2.0000000000000001E-4</v>
      </c>
      <c r="AM24" s="442">
        <f t="array" aca="1" ref="AM24" ca="1">MIN(IF(V$5:AF$5="ESMV",IF(V24:AF24="  ",FALSE,V24:AF24)+COLUMN(V:AF)/10000))</f>
        <v>2.3E-3</v>
      </c>
      <c r="AN24" s="405">
        <f t="shared" si="17"/>
        <v>1.0001</v>
      </c>
    </row>
    <row r="25" spans="1:40" s="2" customFormat="1" x14ac:dyDescent="0.2">
      <c r="A25" s="328" t="s">
        <v>257</v>
      </c>
      <c r="B25" s="331" t="str">
        <f t="shared" si="1"/>
        <v/>
      </c>
      <c r="C25" s="329" t="str">
        <f t="shared" si="2"/>
        <v/>
      </c>
      <c r="D25" s="907" t="s">
        <v>257</v>
      </c>
      <c r="E25" s="331" t="str">
        <f t="shared" si="3"/>
        <v/>
      </c>
      <c r="F25" s="330" t="str">
        <f t="shared" si="4"/>
        <v/>
      </c>
      <c r="G25" s="390">
        <f t="shared" ca="1" si="5"/>
        <v>17</v>
      </c>
      <c r="H25" s="76">
        <v>17</v>
      </c>
      <c r="I25" s="98" t="s">
        <v>151</v>
      </c>
      <c r="J25" s="800">
        <v>49</v>
      </c>
      <c r="K25" s="801">
        <f t="array" aca="1" ref="K25" ca="1">(IF(COUNT(V25,X25,AA25,AB25,AC25,AE25)&lt;4,SUM(V25,X25,AA25,AB25,AC25,AE25),SUM(LARGE((V25,X25,AA25,AB25,AC25,AE25),{1;2;3;4}))))+(IF(COUNT(W25,Y25,Z25,AD25,AF25)&lt;4,SUM(W25,Y25,Z25,AD25,AF25),SUM(LARGE((W25,Y25,Z25,AD25,AF25),{1;2;3;4}))))</f>
        <v>49</v>
      </c>
      <c r="L25" s="397" t="str">
        <f ca="1">INDEX(ETAPP!B$1:B$32,MATCH(COUNTIF(V25:AF25,PUNKTID!A$1),ETAPP!A$1:A$32,0))&amp;INDEX(ETAPP!B$1:B$32,MATCH(COUNTIF(V25:AF25,PUNKTID!A$2),ETAPP!A$1:A$32,0))&amp;INDEX(ETAPP!B$1:B$32,MATCH(COUNTIF(V25:AF25,PUNKTID!A$3),ETAPP!A$1:A$32,0))&amp;INDEX(ETAPP!B$1:B$32,MATCH(COUNTIF(V25:AF25,PUNKTID!A$4),ETAPP!A$1:A$32,0))&amp;INDEX(ETAPP!B$1:B$32,MATCH(COUNTIF(V25:AF25,PUNKTID!A$5),ETAPP!A$1:A$32,0))&amp;INDEX(ETAPP!B$1:B$32,MATCH(COUNTIF(V25:AF25,PUNKTID!A$6),ETAPP!A$1:A$32,0))&amp;INDEX(ETAPP!B$1:B$32,MATCH(COUNTIF(V25:AF25,PUNKTID!A$7),ETAPP!A$1:A$32,0))&amp;INDEX(ETAPP!B$1:B$32,MATCH(COUNTIF(V25:AF25,PUNKTID!A$8),ETAPP!A$1:A$32,0))&amp;INDEX(ETAPP!B$1:B$32,MATCH(COUNTIF(V25:AF25,PUNKTID!A$9),ETAPP!A$1:A$32,0))&amp;INDEX(ETAPP!B$1:B$32,MATCH(COUNTIF(V25:AF25,PUNKTID!A$10),ETAPP!A$1:A$32,0))&amp;INDEX(ETAPP!B$1:B$32,MATCH(COUNTIF(V25:AF25,PUNKTID!A$11),ETAPP!A$1:A$32,0))&amp;INDEX(ETAPP!B$1:B$32,MATCH(COUNTIF(V25:AF25,PUNKTID!A$12),ETAPP!A$1:A$32,0))&amp;INDEX(ETAPP!B$1:B$32,MATCH(COUNTIF(V25:AF25,PUNKTID!A$13),ETAPP!A$1:A$32,0))&amp;INDEX(ETAPP!B$1:B$32,MATCH(COUNTIF(V25:AF25,PUNKTID!A$14),ETAPP!A$1:A$32,0))</f>
        <v>AA00000A0000AG</v>
      </c>
      <c r="M25" s="397" t="str">
        <f t="shared" ca="1" si="6"/>
        <v>049,0-AA00000A0000AG</v>
      </c>
      <c r="N25" s="320">
        <f t="shared" ca="1" si="7"/>
        <v>18</v>
      </c>
      <c r="O25" s="320">
        <f t="shared" si="8"/>
        <v>43</v>
      </c>
      <c r="P25" s="397" t="str">
        <f t="shared" ca="1" si="9"/>
        <v>049,0-AA00000A0000AG-043</v>
      </c>
      <c r="Q25" s="320">
        <f t="shared" ca="1" si="10"/>
        <v>83</v>
      </c>
      <c r="R25" s="328"/>
      <c r="S25" s="380"/>
      <c r="T25" s="400"/>
      <c r="U25" s="559"/>
      <c r="V25" s="97" t="str">
        <f>IFERROR(INDEX('1'!C$300:C$400,MATCH("*"&amp;I25&amp;"*",'1'!B$300:B$400,0)),"  ")</f>
        <v xml:space="preserve">  </v>
      </c>
      <c r="W25" s="97">
        <f>IFERROR(INDEX('2'!C$300:C$400,MATCH("*"&amp;I25&amp;"*",'2'!B$300:B$400,0)),"  ")</f>
        <v>4</v>
      </c>
      <c r="X25" s="97">
        <f>IFERROR(INDEX('3'!C$300:C$400,MATCH("*"&amp;I25&amp;"*",'3'!B$300:B$400,0)),"  ")</f>
        <v>0</v>
      </c>
      <c r="Y25" s="97">
        <f>IFERROR(INDEX('4'!C$300:C$400,MATCH("*"&amp;I25&amp;"*",'4'!B$300:B$400,0)),"  ")</f>
        <v>25</v>
      </c>
      <c r="Z25" s="97" t="str">
        <f>IFERROR(INDEX('5'!C$300:C$400,MATCH("*"&amp;I25&amp;"*",'5'!B$300:B$400,0)),"  ")</f>
        <v xml:space="preserve">  </v>
      </c>
      <c r="AA25" s="97" t="str">
        <f>IFERROR(INDEX('6'!C$300:C$400,MATCH("*"&amp;I25&amp;"*",'6'!B$300:B$400,0)),"  ")</f>
        <v xml:space="preserve">  </v>
      </c>
      <c r="AB25" s="97">
        <f>IFERROR(INDEX('7'!C$300:C$400,MATCH("*"&amp;I25&amp;"*",'7'!B$300:B$400,0)),"  ")</f>
        <v>20</v>
      </c>
      <c r="AC25" s="97" t="str">
        <f>IFERROR(INDEX('8'!C$300:C$400,MATCH("*"&amp;I25&amp;"*",'8'!B$300:B$400,0)),"  ")</f>
        <v xml:space="preserve">  </v>
      </c>
      <c r="AD25" s="97" t="str">
        <f ca="1">IFERROR(INDEX('9'!C$300:C$400,MATCH("*"&amp;I25&amp;"*",'9'!B$300:B$400,0)),"  ")</f>
        <v xml:space="preserve">  </v>
      </c>
      <c r="AE25" s="97" t="str">
        <f>IFERROR(INDEX('10'!C$300:C$400,MATCH("*"&amp;I25&amp;"*",'10'!B$300:B$400,0)),"  ")</f>
        <v xml:space="preserve">  </v>
      </c>
      <c r="AF25" s="97" t="str">
        <f>IFERROR(INDEX('11'!C$300:C$400,MATCH("*"&amp;I25&amp;"*",'11'!B$300:B$400,0)),"  ")</f>
        <v xml:space="preserve">  </v>
      </c>
      <c r="AG25" s="294">
        <f t="shared" ca="1" si="11"/>
        <v>4</v>
      </c>
      <c r="AH25" s="794">
        <f t="shared" ca="1" si="12"/>
        <v>2</v>
      </c>
      <c r="AI25" s="796">
        <f t="shared" ca="1" si="13"/>
        <v>2</v>
      </c>
      <c r="AJ25" s="303">
        <f t="shared" ca="1" si="14"/>
        <v>1</v>
      </c>
      <c r="AK25" s="405">
        <f t="shared" si="15"/>
        <v>1E-4</v>
      </c>
      <c r="AL25" s="405">
        <f t="shared" ca="1" si="16"/>
        <v>5.0000000000000001E-4</v>
      </c>
      <c r="AM25" s="442">
        <f t="array" aca="1" ref="AM25" ca="1">MIN(IF(V$5:AF$5="ESMV",IF(V25:AF25="  ",FALSE,V25:AF25)+COLUMN(V:AF)/10000))</f>
        <v>2.5999999999999999E-3</v>
      </c>
      <c r="AN25" s="405">
        <f t="shared" si="17"/>
        <v>2.9999999999999997E-4</v>
      </c>
    </row>
    <row r="26" spans="1:40" s="2" customFormat="1" x14ac:dyDescent="0.2">
      <c r="A26" s="328" t="s">
        <v>257</v>
      </c>
      <c r="B26" s="331" t="str">
        <f t="shared" si="1"/>
        <v/>
      </c>
      <c r="C26" s="329" t="str">
        <f t="shared" si="2"/>
        <v/>
      </c>
      <c r="D26" s="907" t="s">
        <v>257</v>
      </c>
      <c r="E26" s="331" t="str">
        <f t="shared" si="3"/>
        <v/>
      </c>
      <c r="F26" s="330" t="str">
        <f t="shared" si="4"/>
        <v/>
      </c>
      <c r="G26" s="390">
        <f t="shared" ca="1" si="5"/>
        <v>17</v>
      </c>
      <c r="H26" s="76">
        <v>17</v>
      </c>
      <c r="I26" s="98" t="s">
        <v>194</v>
      </c>
      <c r="J26" s="800">
        <v>49</v>
      </c>
      <c r="K26" s="801">
        <f t="array" aca="1" ref="K26" ca="1">(IF(COUNT(V26,X26,AA26,AB26,AC26,AE26)&lt;4,SUM(V26,X26,AA26,AB26,AC26,AE26),SUM(LARGE((V26,X26,AA26,AB26,AC26,AE26),{1;2;3;4}))))+(IF(COUNT(W26,Y26,Z26,AD26,AF26)&lt;4,SUM(W26,Y26,Z26,AD26,AF26),SUM(LARGE((W26,Y26,Z26,AD26,AF26),{1;2;3;4}))))</f>
        <v>49</v>
      </c>
      <c r="L26" s="397" t="str">
        <f ca="1">INDEX(ETAPP!B$1:B$32,MATCH(COUNTIF(V26:AF26,PUNKTID!A$1),ETAPP!A$1:A$32,0))&amp;INDEX(ETAPP!B$1:B$32,MATCH(COUNTIF(V26:AF26,PUNKTID!A$2),ETAPP!A$1:A$32,0))&amp;INDEX(ETAPP!B$1:B$32,MATCH(COUNTIF(V26:AF26,PUNKTID!A$3),ETAPP!A$1:A$32,0))&amp;INDEX(ETAPP!B$1:B$32,MATCH(COUNTIF(V26:AF26,PUNKTID!A$4),ETAPP!A$1:A$32,0))&amp;INDEX(ETAPP!B$1:B$32,MATCH(COUNTIF(V26:AF26,PUNKTID!A$5),ETAPP!A$1:A$32,0))&amp;INDEX(ETAPP!B$1:B$32,MATCH(COUNTIF(V26:AF26,PUNKTID!A$6),ETAPP!A$1:A$32,0))&amp;INDEX(ETAPP!B$1:B$32,MATCH(COUNTIF(V26:AF26,PUNKTID!A$7),ETAPP!A$1:A$32,0))&amp;INDEX(ETAPP!B$1:B$32,MATCH(COUNTIF(V26:AF26,PUNKTID!A$8),ETAPP!A$1:A$32,0))&amp;INDEX(ETAPP!B$1:B$32,MATCH(COUNTIF(V26:AF26,PUNKTID!A$9),ETAPP!A$1:A$32,0))&amp;INDEX(ETAPP!B$1:B$32,MATCH(COUNTIF(V26:AF26,PUNKTID!A$10),ETAPP!A$1:A$32,0))&amp;INDEX(ETAPP!B$1:B$32,MATCH(COUNTIF(V26:AF26,PUNKTID!A$11),ETAPP!A$1:A$32,0))&amp;INDEX(ETAPP!B$1:B$32,MATCH(COUNTIF(V26:AF26,PUNKTID!A$12),ETAPP!A$1:A$32,0))&amp;INDEX(ETAPP!B$1:B$32,MATCH(COUNTIF(V26:AF26,PUNKTID!A$13),ETAPP!A$1:A$32,0))&amp;INDEX(ETAPP!B$1:B$32,MATCH(COUNTIF(V26:AF26,PUNKTID!A$14),ETAPP!A$1:A$32,0))</f>
        <v>AA00000A0000AG</v>
      </c>
      <c r="M26" s="397" t="str">
        <f t="shared" ca="1" si="6"/>
        <v>049,0-AA00000A0000AG</v>
      </c>
      <c r="N26" s="320">
        <f t="shared" ca="1" si="7"/>
        <v>18</v>
      </c>
      <c r="O26" s="320">
        <f t="shared" si="8"/>
        <v>6</v>
      </c>
      <c r="P26" s="397" t="str">
        <f t="shared" ca="1" si="9"/>
        <v>049,0-AA00000A0000AG-006</v>
      </c>
      <c r="Q26" s="320">
        <f t="shared" ca="1" si="10"/>
        <v>82</v>
      </c>
      <c r="R26" s="328"/>
      <c r="S26" s="380"/>
      <c r="T26" s="400"/>
      <c r="U26" s="559"/>
      <c r="V26" s="97" t="str">
        <f>IFERROR(INDEX('1'!C$300:C$400,MATCH("*"&amp;I26&amp;"*",'1'!B$300:B$400,0)),"  ")</f>
        <v xml:space="preserve">  </v>
      </c>
      <c r="W26" s="97">
        <f>IFERROR(INDEX('2'!C$300:C$400,MATCH("*"&amp;I26&amp;"*",'2'!B$300:B$400,0)),"  ")</f>
        <v>4</v>
      </c>
      <c r="X26" s="97">
        <f>IFERROR(INDEX('3'!C$300:C$400,MATCH("*"&amp;I26&amp;"*",'3'!B$300:B$400,0)),"  ")</f>
        <v>0</v>
      </c>
      <c r="Y26" s="97" t="str">
        <f>IFERROR(INDEX('4'!C$300:C$400,MATCH("*"&amp;I26&amp;"*",'4'!B$300:B$400,0)),"  ")</f>
        <v xml:space="preserve">  </v>
      </c>
      <c r="Z26" s="97" t="str">
        <f>IFERROR(INDEX('5'!C$300:C$400,MATCH("*"&amp;I26&amp;"*",'5'!B$300:B$400,0)),"  ")</f>
        <v xml:space="preserve">  </v>
      </c>
      <c r="AA26" s="97" t="str">
        <f>IFERROR(INDEX('6'!C$300:C$400,MATCH("*"&amp;I26&amp;"*",'6'!B$300:B$400,0)),"  ")</f>
        <v xml:space="preserve">  </v>
      </c>
      <c r="AB26" s="97">
        <f>IFERROR(INDEX('7'!C$300:C$400,MATCH("*"&amp;I26&amp;"*",'7'!B$300:B$400,0)),"  ")</f>
        <v>20</v>
      </c>
      <c r="AC26" s="97" t="str">
        <f>IFERROR(INDEX('8'!C$300:C$400,MATCH("*"&amp;I26&amp;"*",'8'!B$300:B$400,0)),"  ")</f>
        <v xml:space="preserve">  </v>
      </c>
      <c r="AD26" s="97">
        <f ca="1">IFERROR(INDEX('9'!C$300:C$400,MATCH("*"&amp;I26&amp;"*",'9'!B$300:B$400,0)),"  ")</f>
        <v>25</v>
      </c>
      <c r="AE26" s="97" t="str">
        <f>IFERROR(INDEX('10'!C$300:C$400,MATCH("*"&amp;I26&amp;"*",'10'!B$300:B$400,0)),"  ")</f>
        <v xml:space="preserve">  </v>
      </c>
      <c r="AF26" s="97" t="str">
        <f>IFERROR(INDEX('11'!C$300:C$400,MATCH("*"&amp;I26&amp;"*",'11'!B$300:B$400,0)),"  ")</f>
        <v xml:space="preserve">  </v>
      </c>
      <c r="AG26" s="294">
        <f t="shared" ca="1" si="11"/>
        <v>4</v>
      </c>
      <c r="AH26" s="794">
        <f t="shared" ca="1" si="12"/>
        <v>2</v>
      </c>
      <c r="AI26" s="796">
        <f t="shared" ca="1" si="13"/>
        <v>2</v>
      </c>
      <c r="AJ26" s="303">
        <f t="shared" ca="1" si="14"/>
        <v>1</v>
      </c>
      <c r="AK26" s="405">
        <f t="shared" si="15"/>
        <v>1E-4</v>
      </c>
      <c r="AL26" s="405">
        <f t="shared" ca="1" si="16"/>
        <v>4.0000000000000002E-4</v>
      </c>
      <c r="AM26" s="442">
        <f t="array" aca="1" ref="AM26" ca="1">MIN(IF(V$5:AF$5="ESMV",IF(V26:AF26="  ",FALSE,V26:AF26)+COLUMN(V:AF)/10000))</f>
        <v>2.5000000000000001E-3</v>
      </c>
      <c r="AN26" s="405">
        <f t="shared" si="17"/>
        <v>2.9999999999999997E-4</v>
      </c>
    </row>
    <row r="27" spans="1:40" s="2" customFormat="1" x14ac:dyDescent="0.2">
      <c r="A27" s="328" t="s">
        <v>257</v>
      </c>
      <c r="B27" s="331" t="str">
        <f t="shared" si="1"/>
        <v/>
      </c>
      <c r="C27" s="329" t="str">
        <f t="shared" si="2"/>
        <v/>
      </c>
      <c r="D27" s="907" t="s">
        <v>257</v>
      </c>
      <c r="E27" s="331" t="str">
        <f t="shared" si="3"/>
        <v/>
      </c>
      <c r="F27" s="330" t="str">
        <f t="shared" si="4"/>
        <v/>
      </c>
      <c r="G27" s="390">
        <f t="shared" ca="1" si="5"/>
        <v>19</v>
      </c>
      <c r="H27" s="76">
        <v>19</v>
      </c>
      <c r="I27" s="98" t="s">
        <v>48</v>
      </c>
      <c r="J27" s="800">
        <v>49</v>
      </c>
      <c r="K27" s="801">
        <f t="array" aca="1" ref="K27" ca="1">(IF(COUNT(V27,X27,AA27,AB27,AC27,AE27)&lt;4,SUM(V27,X27,AA27,AB27,AC27,AE27),SUM(LARGE((V27,X27,AA27,AB27,AC27,AE27),{1;2;3;4}))))+(IF(COUNT(W27,Y27,Z27,AD27,AF27)&lt;4,SUM(W27,Y27,Z27,AD27,AF27),SUM(LARGE((W27,Y27,Z27,AD27,AF27),{1;2;3;4}))))</f>
        <v>49</v>
      </c>
      <c r="L27" s="397" t="str">
        <f ca="1">INDEX(ETAPP!B$1:B$32,MATCH(COUNTIF(V27:AF27,PUNKTID!A$1),ETAPP!A$1:A$32,0))&amp;INDEX(ETAPP!B$1:B$32,MATCH(COUNTIF(V27:AF27,PUNKTID!A$2),ETAPP!A$1:A$32,0))&amp;INDEX(ETAPP!B$1:B$32,MATCH(COUNTIF(V27:AF27,PUNKTID!A$3),ETAPP!A$1:A$32,0))&amp;INDEX(ETAPP!B$1:B$32,MATCH(COUNTIF(V27:AF27,PUNKTID!A$4),ETAPP!A$1:A$32,0))&amp;INDEX(ETAPP!B$1:B$32,MATCH(COUNTIF(V27:AF27,PUNKTID!A$5),ETAPP!A$1:A$32,0))&amp;INDEX(ETAPP!B$1:B$32,MATCH(COUNTIF(V27:AF27,PUNKTID!A$6),ETAPP!A$1:A$32,0))&amp;INDEX(ETAPP!B$1:B$32,MATCH(COUNTIF(V27:AF27,PUNKTID!A$7),ETAPP!A$1:A$32,0))&amp;INDEX(ETAPP!B$1:B$32,MATCH(COUNTIF(V27:AF27,PUNKTID!A$8),ETAPP!A$1:A$32,0))&amp;INDEX(ETAPP!B$1:B$32,MATCH(COUNTIF(V27:AF27,PUNKTID!A$9),ETAPP!A$1:A$32,0))&amp;INDEX(ETAPP!B$1:B$32,MATCH(COUNTIF(V27:AF27,PUNKTID!A$10),ETAPP!A$1:A$32,0))&amp;INDEX(ETAPP!B$1:B$32,MATCH(COUNTIF(V27:AF27,PUNKTID!A$11),ETAPP!A$1:A$32,0))&amp;INDEX(ETAPP!B$1:B$32,MATCH(COUNTIF(V27:AF27,PUNKTID!A$12),ETAPP!A$1:A$32,0))&amp;INDEX(ETAPP!B$1:B$32,MATCH(COUNTIF(V27:AF27,PUNKTID!A$13),ETAPP!A$1:A$32,0))&amp;INDEX(ETAPP!B$1:B$32,MATCH(COUNTIF(V27:AF27,PUNKTID!A$14),ETAPP!A$1:A$32,0))</f>
        <v>00A0B0A0BB0A0B</v>
      </c>
      <c r="M27" s="397" t="str">
        <f t="shared" ca="1" si="6"/>
        <v>049,0-00A0B0A0BB0A0B</v>
      </c>
      <c r="N27" s="320">
        <f t="shared" ca="1" si="7"/>
        <v>20</v>
      </c>
      <c r="O27" s="320">
        <f t="shared" si="8"/>
        <v>68</v>
      </c>
      <c r="P27" s="397" t="str">
        <f t="shared" ca="1" si="9"/>
        <v>049,0-00A0B0A0BB0A0B-068</v>
      </c>
      <c r="Q27" s="320">
        <f t="shared" ca="1" si="10"/>
        <v>81</v>
      </c>
      <c r="R27" s="328"/>
      <c r="S27" s="380"/>
      <c r="T27" s="400"/>
      <c r="U27" s="559"/>
      <c r="V27" s="97">
        <f>IFERROR(INDEX('1'!C$300:C$400,MATCH("*"&amp;I27&amp;"*",'1'!B$300:B$400,0)),"  ")</f>
        <v>3</v>
      </c>
      <c r="W27" s="97">
        <f>IFERROR(INDEX('2'!C$300:C$400,MATCH("*"&amp;I27&amp;"*",'2'!B$300:B$400,0)),"  ")</f>
        <v>5</v>
      </c>
      <c r="X27" s="97">
        <f>IFERROR(INDEX('3'!C$300:C$400,MATCH("*"&amp;I27&amp;"*",'3'!B$300:B$400,0)),"  ")</f>
        <v>1</v>
      </c>
      <c r="Y27" s="97">
        <f>IFERROR(INDEX('4'!C$300:C$400,MATCH("*"&amp;I27&amp;"*",'4'!B$300:B$400,0)),"  ")</f>
        <v>2</v>
      </c>
      <c r="Z27" s="97">
        <f>IFERROR(INDEX('5'!C$300:C$400,MATCH("*"&amp;I27&amp;"*",'5'!B$300:B$400,0)),"  ")</f>
        <v>2</v>
      </c>
      <c r="AA27" s="97">
        <f>IFERROR(INDEX('6'!C$300:C$400,MATCH("*"&amp;I27&amp;"*",'6'!B$300:B$400,0)),"  ")</f>
        <v>16</v>
      </c>
      <c r="AB27" s="97">
        <f>IFERROR(INDEX('7'!C$300:C$400,MATCH("*"&amp;I27&amp;"*",'7'!B$300:B$400,0)),"  ")</f>
        <v>3</v>
      </c>
      <c r="AC27" s="97" t="str">
        <f>IFERROR(INDEX('8'!C$300:C$400,MATCH("*"&amp;I27&amp;"*",'8'!B$300:B$400,0)),"  ")</f>
        <v xml:space="preserve">  </v>
      </c>
      <c r="AD27" s="97" t="str">
        <f ca="1">IFERROR(INDEX('9'!C$300:C$400,MATCH("*"&amp;I27&amp;"*",'9'!B$300:B$400,0)),"  ")</f>
        <v xml:space="preserve">  </v>
      </c>
      <c r="AE27" s="97">
        <f>IFERROR(INDEX('10'!C$300:C$400,MATCH("*"&amp;I27&amp;"*",'10'!B$300:B$400,0)),"  ")</f>
        <v>9</v>
      </c>
      <c r="AF27" s="97">
        <f>IFERROR(INDEX('11'!C$300:C$400,MATCH("*"&amp;I27&amp;"*",'11'!B$300:B$400,0)),"  ")</f>
        <v>9</v>
      </c>
      <c r="AG27" s="294">
        <f t="shared" ca="1" si="11"/>
        <v>9</v>
      </c>
      <c r="AH27" s="794">
        <f t="shared" ca="1" si="12"/>
        <v>1</v>
      </c>
      <c r="AI27" s="796">
        <f t="shared" ca="1" si="13"/>
        <v>0</v>
      </c>
      <c r="AJ27" s="303">
        <f t="shared" ca="1" si="14"/>
        <v>0</v>
      </c>
      <c r="AK27" s="405">
        <f t="shared" si="15"/>
        <v>8.0000000000000004E-4</v>
      </c>
      <c r="AL27" s="405">
        <f t="shared" ca="1" si="16"/>
        <v>8.9999999999999998E-4</v>
      </c>
      <c r="AM27" s="442">
        <f t="array" aca="1" ref="AM27" ca="1">MIN(IF(V$5:AF$5="ESMV",IF(V27:AF27="  ",FALSE,V27:AF27)+COLUMN(V:AF)/10000))</f>
        <v>3.0000000000000001E-3</v>
      </c>
      <c r="AN27" s="405">
        <f t="shared" si="17"/>
        <v>1.0003</v>
      </c>
    </row>
    <row r="28" spans="1:40" s="2" customFormat="1" x14ac:dyDescent="0.2">
      <c r="A28" s="328" t="s">
        <v>257</v>
      </c>
      <c r="B28" s="331" t="str">
        <f t="shared" si="1"/>
        <v/>
      </c>
      <c r="C28" s="329" t="str">
        <f t="shared" si="2"/>
        <v/>
      </c>
      <c r="D28" s="907" t="s">
        <v>257</v>
      </c>
      <c r="E28" s="331" t="str">
        <f t="shared" si="3"/>
        <v/>
      </c>
      <c r="F28" s="330" t="str">
        <f t="shared" si="4"/>
        <v/>
      </c>
      <c r="G28" s="390">
        <f t="shared" ca="1" si="5"/>
        <v>19</v>
      </c>
      <c r="H28" s="76">
        <v>19</v>
      </c>
      <c r="I28" s="98" t="s">
        <v>202</v>
      </c>
      <c r="J28" s="800">
        <v>49</v>
      </c>
      <c r="K28" s="801">
        <f t="array" aca="1" ref="K28" ca="1">(IF(COUNT(V28,X28,AA28,AB28,AC28,AE28)&lt;4,SUM(V28,X28,AA28,AB28,AC28,AE28),SUM(LARGE((V28,X28,AA28,AB28,AC28,AE28),{1;2;3;4}))))+(IF(COUNT(W28,Y28,Z28,AD28,AF28)&lt;4,SUM(W28,Y28,Z28,AD28,AF28),SUM(LARGE((W28,Y28,Z28,AD28,AF28),{1;2;3;4}))))</f>
        <v>49</v>
      </c>
      <c r="L28" s="397" t="str">
        <f ca="1">INDEX(ETAPP!B$1:B$32,MATCH(COUNTIF(V28:AF28,PUNKTID!A$1),ETAPP!A$1:A$32,0))&amp;INDEX(ETAPP!B$1:B$32,MATCH(COUNTIF(V28:AF28,PUNKTID!A$2),ETAPP!A$1:A$32,0))&amp;INDEX(ETAPP!B$1:B$32,MATCH(COUNTIF(V28:AF28,PUNKTID!A$3),ETAPP!A$1:A$32,0))&amp;INDEX(ETAPP!B$1:B$32,MATCH(COUNTIF(V28:AF28,PUNKTID!A$4),ETAPP!A$1:A$32,0))&amp;INDEX(ETAPP!B$1:B$32,MATCH(COUNTIF(V28:AF28,PUNKTID!A$5),ETAPP!A$1:A$32,0))&amp;INDEX(ETAPP!B$1:B$32,MATCH(COUNTIF(V28:AF28,PUNKTID!A$6),ETAPP!A$1:A$32,0))&amp;INDEX(ETAPP!B$1:B$32,MATCH(COUNTIF(V28:AF28,PUNKTID!A$7),ETAPP!A$1:A$32,0))&amp;INDEX(ETAPP!B$1:B$32,MATCH(COUNTIF(V28:AF28,PUNKTID!A$8),ETAPP!A$1:A$32,0))&amp;INDEX(ETAPP!B$1:B$32,MATCH(COUNTIF(V28:AF28,PUNKTID!A$9),ETAPP!A$1:A$32,0))&amp;INDEX(ETAPP!B$1:B$32,MATCH(COUNTIF(V28:AF28,PUNKTID!A$10),ETAPP!A$1:A$32,0))&amp;INDEX(ETAPP!B$1:B$32,MATCH(COUNTIF(V28:AF28,PUNKTID!A$11),ETAPP!A$1:A$32,0))&amp;INDEX(ETAPP!B$1:B$32,MATCH(COUNTIF(V28:AF28,PUNKTID!A$12),ETAPP!A$1:A$32,0))&amp;INDEX(ETAPP!B$1:B$32,MATCH(COUNTIF(V28:AF28,PUNKTID!A$13),ETAPP!A$1:A$32,0))&amp;INDEX(ETAPP!B$1:B$32,MATCH(COUNTIF(V28:AF28,PUNKTID!A$14),ETAPP!A$1:A$32,0))</f>
        <v>00A0B0A0BB0A0B</v>
      </c>
      <c r="M28" s="397" t="str">
        <f t="shared" ca="1" si="6"/>
        <v>049,0-00A0B0A0BB0A0B</v>
      </c>
      <c r="N28" s="320">
        <f t="shared" ca="1" si="7"/>
        <v>20</v>
      </c>
      <c r="O28" s="320">
        <f t="shared" si="8"/>
        <v>46</v>
      </c>
      <c r="P28" s="397" t="str">
        <f t="shared" ca="1" si="9"/>
        <v>049,0-00A0B0A0BB0A0B-046</v>
      </c>
      <c r="Q28" s="320">
        <f t="shared" ca="1" si="10"/>
        <v>80</v>
      </c>
      <c r="R28" s="328"/>
      <c r="S28" s="380"/>
      <c r="T28" s="400"/>
      <c r="U28" s="559"/>
      <c r="V28" s="97">
        <f>IFERROR(INDEX('1'!C$300:C$400,MATCH("*"&amp;I28&amp;"*",'1'!B$300:B$400,0)),"  ")</f>
        <v>3</v>
      </c>
      <c r="W28" s="97">
        <f>IFERROR(INDEX('2'!C$300:C$400,MATCH("*"&amp;I28&amp;"*",'2'!B$300:B$400,0)),"  ")</f>
        <v>5</v>
      </c>
      <c r="X28" s="97">
        <f>IFERROR(INDEX('3'!C$300:C$400,MATCH("*"&amp;I28&amp;"*",'3'!B$300:B$400,0)),"  ")</f>
        <v>1</v>
      </c>
      <c r="Y28" s="97">
        <f>IFERROR(INDEX('4'!C$300:C$400,MATCH("*"&amp;I28&amp;"*",'4'!B$300:B$400,0)),"  ")</f>
        <v>2</v>
      </c>
      <c r="Z28" s="97">
        <f>IFERROR(INDEX('5'!C$300:C$400,MATCH("*"&amp;I28&amp;"*",'5'!B$300:B$400,0)),"  ")</f>
        <v>2</v>
      </c>
      <c r="AA28" s="97">
        <f>IFERROR(INDEX('6'!C$300:C$400,MATCH("*"&amp;I28&amp;"*",'6'!B$300:B$400,0)),"  ")</f>
        <v>16</v>
      </c>
      <c r="AB28" s="97">
        <f>IFERROR(INDEX('7'!C$300:C$400,MATCH("*"&amp;I28&amp;"*",'7'!B$300:B$400,0)),"  ")</f>
        <v>3</v>
      </c>
      <c r="AC28" s="97" t="str">
        <f>IFERROR(INDEX('8'!C$300:C$400,MATCH("*"&amp;I28&amp;"*",'8'!B$300:B$400,0)),"  ")</f>
        <v xml:space="preserve">  </v>
      </c>
      <c r="AD28" s="97" t="str">
        <f ca="1">IFERROR(INDEX('9'!C$300:C$400,MATCH("*"&amp;I28&amp;"*",'9'!B$300:B$400,0)),"  ")</f>
        <v xml:space="preserve">  </v>
      </c>
      <c r="AE28" s="97">
        <f>IFERROR(INDEX('10'!C$300:C$400,MATCH("*"&amp;I28&amp;"*",'10'!B$300:B$400,0)),"  ")</f>
        <v>9</v>
      </c>
      <c r="AF28" s="97">
        <f>IFERROR(INDEX('11'!C$300:C$400,MATCH("*"&amp;I28&amp;"*",'11'!B$300:B$400,0)),"  ")</f>
        <v>9</v>
      </c>
      <c r="AG28" s="294">
        <f t="shared" ca="1" si="11"/>
        <v>9</v>
      </c>
      <c r="AH28" s="794">
        <f t="shared" ca="1" si="12"/>
        <v>1</v>
      </c>
      <c r="AI28" s="796">
        <f t="shared" ca="1" si="13"/>
        <v>0</v>
      </c>
      <c r="AJ28" s="303">
        <f t="shared" ca="1" si="14"/>
        <v>0</v>
      </c>
      <c r="AK28" s="405">
        <f t="shared" si="15"/>
        <v>8.0000000000000004E-4</v>
      </c>
      <c r="AL28" s="405">
        <f t="shared" ca="1" si="16"/>
        <v>8.9999999999999998E-4</v>
      </c>
      <c r="AM28" s="442">
        <f t="array" aca="1" ref="AM28" ca="1">MIN(IF(V$5:AF$5="ESMV",IF(V28:AF28="  ",FALSE,V28:AF28)+COLUMN(V:AF)/10000))</f>
        <v>3.0000000000000001E-3</v>
      </c>
      <c r="AN28" s="405">
        <f t="shared" si="17"/>
        <v>1.0003</v>
      </c>
    </row>
    <row r="29" spans="1:40" s="2" customFormat="1" x14ac:dyDescent="0.2">
      <c r="A29" s="328" t="s">
        <v>257</v>
      </c>
      <c r="B29" s="331" t="str">
        <f t="shared" si="1"/>
        <v/>
      </c>
      <c r="C29" s="329" t="str">
        <f t="shared" si="2"/>
        <v/>
      </c>
      <c r="D29" s="907" t="s">
        <v>257</v>
      </c>
      <c r="E29" s="331" t="str">
        <f t="shared" si="3"/>
        <v/>
      </c>
      <c r="F29" s="330" t="str">
        <f t="shared" si="4"/>
        <v/>
      </c>
      <c r="G29" s="390">
        <f t="shared" ca="1" si="5"/>
        <v>21</v>
      </c>
      <c r="H29" s="76">
        <v>21</v>
      </c>
      <c r="I29" s="98" t="s">
        <v>49</v>
      </c>
      <c r="J29" s="800">
        <v>48</v>
      </c>
      <c r="K29" s="801">
        <f t="array" aca="1" ref="K29" ca="1">(IF(COUNT(V29,X29,AA29,AB29,AC29,AE29)&lt;4,SUM(V29,X29,AA29,AB29,AC29,AE29),SUM(LARGE((V29,X29,AA29,AB29,AC29,AE29),{1;2;3;4}))))+(IF(COUNT(W29,Y29,Z29,AD29,AF29)&lt;4,SUM(W29,Y29,Z29,AD29,AF29),SUM(LARGE((W29,Y29,Z29,AD29,AF29),{1;2;3;4}))))</f>
        <v>48</v>
      </c>
      <c r="L29" s="397" t="str">
        <f ca="1">INDEX(ETAPP!B$1:B$32,MATCH(COUNTIF(V29:AF29,PUNKTID!A$1),ETAPP!A$1:A$32,0))&amp;INDEX(ETAPP!B$1:B$32,MATCH(COUNTIF(V29:AF29,PUNKTID!A$2),ETAPP!A$1:A$32,0))&amp;INDEX(ETAPP!B$1:B$32,MATCH(COUNTIF(V29:AF29,PUNKTID!A$3),ETAPP!A$1:A$32,0))&amp;INDEX(ETAPP!B$1:B$32,MATCH(COUNTIF(V29:AF29,PUNKTID!A$4),ETAPP!A$1:A$32,0))&amp;INDEX(ETAPP!B$1:B$32,MATCH(COUNTIF(V29:AF29,PUNKTID!A$5),ETAPP!A$1:A$32,0))&amp;INDEX(ETAPP!B$1:B$32,MATCH(COUNTIF(V29:AF29,PUNKTID!A$6),ETAPP!A$1:A$32,0))&amp;INDEX(ETAPP!B$1:B$32,MATCH(COUNTIF(V29:AF29,PUNKTID!A$7),ETAPP!A$1:A$32,0))&amp;INDEX(ETAPP!B$1:B$32,MATCH(COUNTIF(V29:AF29,PUNKTID!A$8),ETAPP!A$1:A$32,0))&amp;INDEX(ETAPP!B$1:B$32,MATCH(COUNTIF(V29:AF29,PUNKTID!A$9),ETAPP!A$1:A$32,0))&amp;INDEX(ETAPP!B$1:B$32,MATCH(COUNTIF(V29:AF29,PUNKTID!A$10),ETAPP!A$1:A$32,0))&amp;INDEX(ETAPP!B$1:B$32,MATCH(COUNTIF(V29:AF29,PUNKTID!A$11),ETAPP!A$1:A$32,0))&amp;INDEX(ETAPP!B$1:B$32,MATCH(COUNTIF(V29:AF29,PUNKTID!A$12),ETAPP!A$1:A$32,0))&amp;INDEX(ETAPP!B$1:B$32,MATCH(COUNTIF(V29:AF29,PUNKTID!A$13),ETAPP!A$1:A$32,0))&amp;INDEX(ETAPP!B$1:B$32,MATCH(COUNTIF(V29:AF29,PUNKTID!A$14),ETAPP!A$1:A$32,0))</f>
        <v>00A0B0A0BA0C0A</v>
      </c>
      <c r="M29" s="397" t="str">
        <f t="shared" ca="1" si="6"/>
        <v>048,0-00A0B0A0BA0C0A</v>
      </c>
      <c r="N29" s="320">
        <f t="shared" ca="1" si="7"/>
        <v>21</v>
      </c>
      <c r="O29" s="320">
        <f t="shared" si="8"/>
        <v>44</v>
      </c>
      <c r="P29" s="397" t="str">
        <f t="shared" ca="1" si="9"/>
        <v>048,0-00A0B0A0BA0C0A-044</v>
      </c>
      <c r="Q29" s="320">
        <f t="shared" ca="1" si="10"/>
        <v>79</v>
      </c>
      <c r="R29" s="328"/>
      <c r="S29" s="380"/>
      <c r="T29" s="400"/>
      <c r="U29" s="559"/>
      <c r="V29" s="97">
        <f>IFERROR(INDEX('1'!C$300:C$400,MATCH("*"&amp;I29&amp;"*",'1'!B$300:B$400,0)),"  ")</f>
        <v>3</v>
      </c>
      <c r="W29" s="97">
        <f>IFERROR(INDEX('2'!C$300:C$400,MATCH("*"&amp;I29&amp;"*",'2'!B$300:B$400,0)),"  ")</f>
        <v>2</v>
      </c>
      <c r="X29" s="97">
        <f>IFERROR(INDEX('3'!C$300:C$400,MATCH("*"&amp;I29&amp;"*",'3'!B$300:B$400,0)),"  ")</f>
        <v>1</v>
      </c>
      <c r="Y29" s="97" t="str">
        <f>IFERROR(INDEX('4'!C$300:C$400,MATCH("*"&amp;I29&amp;"*",'4'!B$300:B$400,0)),"  ")</f>
        <v xml:space="preserve">  </v>
      </c>
      <c r="Z29" s="97">
        <f>IFERROR(INDEX('5'!C$300:C$400,MATCH("*"&amp;I29&amp;"*",'5'!B$300:B$400,0)),"  ")</f>
        <v>5</v>
      </c>
      <c r="AA29" s="97">
        <f>IFERROR(INDEX('6'!C$300:C$400,MATCH("*"&amp;I29&amp;"*",'6'!B$300:B$400,0)),"  ")</f>
        <v>16</v>
      </c>
      <c r="AB29" s="97">
        <f>IFERROR(INDEX('7'!C$300:C$400,MATCH("*"&amp;I29&amp;"*",'7'!B$300:B$400,0)),"  ")</f>
        <v>3</v>
      </c>
      <c r="AC29" s="97">
        <f>IFERROR(INDEX('8'!C$300:C$400,MATCH("*"&amp;I29&amp;"*",'8'!B$300:B$400,0)),"  ")</f>
        <v>1</v>
      </c>
      <c r="AD29" s="97">
        <f ca="1">IFERROR(INDEX('9'!C$300:C$400,MATCH("*"&amp;I29&amp;"*",'9'!B$300:B$400,0)),"  ")</f>
        <v>9</v>
      </c>
      <c r="AE29" s="97">
        <f>IFERROR(INDEX('10'!C$300:C$400,MATCH("*"&amp;I29&amp;"*",'10'!B$300:B$400,0)),"  ")</f>
        <v>1</v>
      </c>
      <c r="AF29" s="97">
        <f>IFERROR(INDEX('11'!C$300:C$400,MATCH("*"&amp;I29&amp;"*",'11'!B$300:B$400,0)),"  ")</f>
        <v>9</v>
      </c>
      <c r="AG29" s="294">
        <f t="shared" ca="1" si="11"/>
        <v>10</v>
      </c>
      <c r="AH29" s="794">
        <f t="shared" ca="1" si="12"/>
        <v>1</v>
      </c>
      <c r="AI29" s="796">
        <f t="shared" ca="1" si="13"/>
        <v>0</v>
      </c>
      <c r="AJ29" s="303">
        <f t="shared" ca="1" si="14"/>
        <v>0</v>
      </c>
      <c r="AK29" s="405">
        <f t="shared" si="15"/>
        <v>1.0003</v>
      </c>
      <c r="AL29" s="405">
        <f t="shared" ca="1" si="16"/>
        <v>4.0000000000000002E-4</v>
      </c>
      <c r="AM29" s="442">
        <f t="array" aca="1" ref="AM29" ca="1">MIN(IF(V$5:AF$5="ESMV",IF(V29:AF29="  ",FALSE,V29:AF29)+COLUMN(V:AF)/10000))</f>
        <v>2.5000000000000001E-3</v>
      </c>
      <c r="AN29" s="405">
        <f t="shared" si="17"/>
        <v>1.0007999999999999</v>
      </c>
    </row>
    <row r="30" spans="1:40" s="2" customFormat="1" x14ac:dyDescent="0.2">
      <c r="A30" s="328" t="s">
        <v>257</v>
      </c>
      <c r="B30" s="331" t="str">
        <f t="shared" si="1"/>
        <v/>
      </c>
      <c r="C30" s="329" t="str">
        <f t="shared" si="2"/>
        <v/>
      </c>
      <c r="D30" s="907" t="s">
        <v>257</v>
      </c>
      <c r="E30" s="331" t="str">
        <f t="shared" si="3"/>
        <v/>
      </c>
      <c r="F30" s="330" t="str">
        <f t="shared" si="4"/>
        <v/>
      </c>
      <c r="G30" s="390">
        <f t="shared" ca="1" si="5"/>
        <v>22</v>
      </c>
      <c r="H30" s="76">
        <v>22</v>
      </c>
      <c r="I30" s="98" t="s">
        <v>214</v>
      </c>
      <c r="J30" s="800">
        <v>44</v>
      </c>
      <c r="K30" s="801">
        <f t="array" aca="1" ref="K30" ca="1">(IF(COUNT(V30,X30,AA30,AB30,AC30,AE30)&lt;4,SUM(V30,X30,AA30,AB30,AC30,AE30),SUM(LARGE((V30,X30,AA30,AB30,AC30,AE30),{1;2;3;4}))))+(IF(COUNT(W30,Y30,Z30,AD30,AF30)&lt;4,SUM(W30,Y30,Z30,AD30,AF30),SUM(LARGE((W30,Y30,Z30,AD30,AF30),{1;2;3;4}))))</f>
        <v>44</v>
      </c>
      <c r="L30" s="397" t="str">
        <f ca="1">INDEX(ETAPP!B$1:B$32,MATCH(COUNTIF(V30:AF30,PUNKTID!A$1),ETAPP!A$1:A$32,0))&amp;INDEX(ETAPP!B$1:B$32,MATCH(COUNTIF(V30:AF30,PUNKTID!A$2),ETAPP!A$1:A$32,0))&amp;INDEX(ETAPP!B$1:B$32,MATCH(COUNTIF(V30:AF30,PUNKTID!A$3),ETAPP!A$1:A$32,0))&amp;INDEX(ETAPP!B$1:B$32,MATCH(COUNTIF(V30:AF30,PUNKTID!A$4),ETAPP!A$1:A$32,0))&amp;INDEX(ETAPP!B$1:B$32,MATCH(COUNTIF(V30:AF30,PUNKTID!A$5),ETAPP!A$1:A$32,0))&amp;INDEX(ETAPP!B$1:B$32,MATCH(COUNTIF(V30:AF30,PUNKTID!A$6),ETAPP!A$1:A$32,0))&amp;INDEX(ETAPP!B$1:B$32,MATCH(COUNTIF(V30:AF30,PUNKTID!A$7),ETAPP!A$1:A$32,0))&amp;INDEX(ETAPP!B$1:B$32,MATCH(COUNTIF(V30:AF30,PUNKTID!A$8),ETAPP!A$1:A$32,0))&amp;INDEX(ETAPP!B$1:B$32,MATCH(COUNTIF(V30:AF30,PUNKTID!A$9),ETAPP!A$1:A$32,0))&amp;INDEX(ETAPP!B$1:B$32,MATCH(COUNTIF(V30:AF30,PUNKTID!A$10),ETAPP!A$1:A$32,0))&amp;INDEX(ETAPP!B$1:B$32,MATCH(COUNTIF(V30:AF30,PUNKTID!A$11),ETAPP!A$1:A$32,0))&amp;INDEX(ETAPP!B$1:B$32,MATCH(COUNTIF(V30:AF30,PUNKTID!A$12),ETAPP!A$1:A$32,0))&amp;INDEX(ETAPP!B$1:B$32,MATCH(COUNTIF(V30:AF30,PUNKTID!A$13),ETAPP!A$1:A$32,0))&amp;INDEX(ETAPP!B$1:B$32,MATCH(COUNTIF(V30:AF30,PUNKTID!A$14),ETAPP!A$1:A$32,0))</f>
        <v>00AAA0A00A000F</v>
      </c>
      <c r="M30" s="397" t="str">
        <f t="shared" ca="1" si="6"/>
        <v>044,0-00AAA0A00A000F</v>
      </c>
      <c r="N30" s="320">
        <f t="shared" ca="1" si="7"/>
        <v>22</v>
      </c>
      <c r="O30" s="320">
        <f t="shared" si="8"/>
        <v>81</v>
      </c>
      <c r="P30" s="397" t="str">
        <f t="shared" ca="1" si="9"/>
        <v>044,0-00AAA0A00A000F-081</v>
      </c>
      <c r="Q30" s="320">
        <f t="shared" ca="1" si="10"/>
        <v>78</v>
      </c>
      <c r="R30" s="328"/>
      <c r="S30" s="380"/>
      <c r="T30" s="400" t="s">
        <v>605</v>
      </c>
      <c r="U30" s="559"/>
      <c r="V30" s="97">
        <f>IFERROR(INDEX('1'!C$300:C$400,MATCH("*"&amp;I30&amp;"*",'1'!B$300:B$400,0)),"  ")</f>
        <v>16</v>
      </c>
      <c r="W30" s="97">
        <f>IFERROR(INDEX('2'!C$300:C$400,MATCH("*"&amp;I30&amp;"*",'2'!B$300:B$400,0)),"  ")</f>
        <v>9</v>
      </c>
      <c r="X30" s="97" t="str">
        <f>IFERROR(INDEX('3'!C$300:C$400,MATCH("*"&amp;I30&amp;"*",'3'!B$300:B$400,0)),"  ")</f>
        <v xml:space="preserve">  </v>
      </c>
      <c r="Y30" s="97" t="str">
        <f>IFERROR(INDEX('4'!C$300:C$400,MATCH("*"&amp;I30&amp;"*",'4'!B$300:B$400,0)),"  ")</f>
        <v xml:space="preserve">  </v>
      </c>
      <c r="Z30" s="97" t="str">
        <f>IFERROR(INDEX('5'!C$300:C$400,MATCH("*"&amp;I30&amp;"*",'5'!B$300:B$400,0)),"  ")</f>
        <v xml:space="preserve">  </v>
      </c>
      <c r="AA30" s="97">
        <f>IFERROR(INDEX('6'!C$300:C$400,MATCH("*"&amp;I30&amp;"*",'6'!B$300:B$400,0)),"  ")</f>
        <v>5</v>
      </c>
      <c r="AB30" s="97">
        <f>IFERROR(INDEX('7'!C$300:C$400,MATCH("*"&amp;I30&amp;"*",'7'!B$300:B$400,0)),"  ")</f>
        <v>12</v>
      </c>
      <c r="AC30" s="97" t="str">
        <f>IFERROR(INDEX('8'!C$300:C$400,MATCH("*"&amp;I30&amp;"*",'8'!B$300:B$400,0)),"  ")</f>
        <v xml:space="preserve">  </v>
      </c>
      <c r="AD30" s="97" t="str">
        <f ca="1">IFERROR(INDEX('9'!C$300:C$400,MATCH("*"&amp;I30&amp;"*",'9'!B$300:B$400,0)),"  ")</f>
        <v xml:space="preserve">  </v>
      </c>
      <c r="AE30" s="97" t="str">
        <f>IFERROR(INDEX('10'!C$300:C$400,MATCH("*"&amp;I30&amp;"*",'10'!B$300:B$400,0)),"  ")</f>
        <v xml:space="preserve">  </v>
      </c>
      <c r="AF30" s="97">
        <f>IFERROR(INDEX('11'!C$300:C$400,MATCH("*"&amp;I30&amp;"*",'11'!B$300:B$400,0)),"  ")</f>
        <v>2</v>
      </c>
      <c r="AG30" s="294">
        <f t="shared" ca="1" si="11"/>
        <v>5</v>
      </c>
      <c r="AH30" s="794">
        <f t="shared" ca="1" si="12"/>
        <v>2</v>
      </c>
      <c r="AI30" s="796">
        <f t="shared" ca="1" si="13"/>
        <v>0</v>
      </c>
      <c r="AJ30" s="303">
        <f t="shared" ca="1" si="14"/>
        <v>0</v>
      </c>
      <c r="AK30" s="405">
        <f t="shared" si="15"/>
        <v>2.9999999999999997E-4</v>
      </c>
      <c r="AL30" s="405">
        <f t="shared" ca="1" si="16"/>
        <v>4.0000000000000002E-4</v>
      </c>
      <c r="AM30" s="442">
        <f t="array" aca="1" ref="AM30" ca="1">MIN(IF(V$5:AF$5="ESMV",IF(V30:AF30="  ",FALSE,V30:AF30)+COLUMN(V:AF)/10000))</f>
        <v>2.5000000000000001E-3</v>
      </c>
      <c r="AN30" s="405">
        <f t="shared" si="17"/>
        <v>8.0000000000000004E-4</v>
      </c>
    </row>
    <row r="31" spans="1:40" s="2" customFormat="1" x14ac:dyDescent="0.2">
      <c r="A31" s="328">
        <v>6</v>
      </c>
      <c r="B31" s="331">
        <f t="shared" ca="1" si="1"/>
        <v>6</v>
      </c>
      <c r="C31" s="329" t="str">
        <f t="shared" ca="1" si="2"/>
        <v>043,0-A000000C0C000D</v>
      </c>
      <c r="D31" s="907" t="s">
        <v>257</v>
      </c>
      <c r="E31" s="331" t="str">
        <f t="shared" si="3"/>
        <v/>
      </c>
      <c r="F31" s="330" t="str">
        <f t="shared" si="4"/>
        <v/>
      </c>
      <c r="G31" s="390">
        <f t="shared" ca="1" si="5"/>
        <v>23</v>
      </c>
      <c r="H31" s="76">
        <v>23</v>
      </c>
      <c r="I31" s="98" t="s">
        <v>224</v>
      </c>
      <c r="J31" s="800">
        <v>43</v>
      </c>
      <c r="K31" s="801">
        <f t="array" aca="1" ref="K31" ca="1">(IF(COUNT(V31,X31,AA31,AB31,AC31,AE31)&lt;4,SUM(V31,X31,AA31,AB31,AC31,AE31),SUM(LARGE((V31,X31,AA31,AB31,AC31,AE31),{1;2;3;4}))))+(IF(COUNT(W31,Y31,Z31,AD31,AF31)&lt;4,SUM(W31,Y31,Z31,AD31,AF31),SUM(LARGE((W31,Y31,Z31,AD31,AF31),{1;2;3;4}))))</f>
        <v>43</v>
      </c>
      <c r="L31" s="397" t="str">
        <f ca="1">INDEX(ETAPP!B$1:B$32,MATCH(COUNTIF(V31:AF31,PUNKTID!A$1),ETAPP!A$1:A$32,0))&amp;INDEX(ETAPP!B$1:B$32,MATCH(COUNTIF(V31:AF31,PUNKTID!A$2),ETAPP!A$1:A$32,0))&amp;INDEX(ETAPP!B$1:B$32,MATCH(COUNTIF(V31:AF31,PUNKTID!A$3),ETAPP!A$1:A$32,0))&amp;INDEX(ETAPP!B$1:B$32,MATCH(COUNTIF(V31:AF31,PUNKTID!A$4),ETAPP!A$1:A$32,0))&amp;INDEX(ETAPP!B$1:B$32,MATCH(COUNTIF(V31:AF31,PUNKTID!A$5),ETAPP!A$1:A$32,0))&amp;INDEX(ETAPP!B$1:B$32,MATCH(COUNTIF(V31:AF31,PUNKTID!A$6),ETAPP!A$1:A$32,0))&amp;INDEX(ETAPP!B$1:B$32,MATCH(COUNTIF(V31:AF31,PUNKTID!A$7),ETAPP!A$1:A$32,0))&amp;INDEX(ETAPP!B$1:B$32,MATCH(COUNTIF(V31:AF31,PUNKTID!A$8),ETAPP!A$1:A$32,0))&amp;INDEX(ETAPP!B$1:B$32,MATCH(COUNTIF(V31:AF31,PUNKTID!A$9),ETAPP!A$1:A$32,0))&amp;INDEX(ETAPP!B$1:B$32,MATCH(COUNTIF(V31:AF31,PUNKTID!A$10),ETAPP!A$1:A$32,0))&amp;INDEX(ETAPP!B$1:B$32,MATCH(COUNTIF(V31:AF31,PUNKTID!A$11),ETAPP!A$1:A$32,0))&amp;INDEX(ETAPP!B$1:B$32,MATCH(COUNTIF(V31:AF31,PUNKTID!A$12),ETAPP!A$1:A$32,0))&amp;INDEX(ETAPP!B$1:B$32,MATCH(COUNTIF(V31:AF31,PUNKTID!A$13),ETAPP!A$1:A$32,0))&amp;INDEX(ETAPP!B$1:B$32,MATCH(COUNTIF(V31:AF31,PUNKTID!A$14),ETAPP!A$1:A$32,0))</f>
        <v>A000000C0C000D</v>
      </c>
      <c r="M31" s="397" t="str">
        <f t="shared" ca="1" si="6"/>
        <v>043,0-A000000C0C000D</v>
      </c>
      <c r="N31" s="320">
        <f t="shared" ca="1" si="7"/>
        <v>23</v>
      </c>
      <c r="O31" s="320">
        <f t="shared" si="8"/>
        <v>13</v>
      </c>
      <c r="P31" s="397" t="str">
        <f t="shared" ca="1" si="9"/>
        <v>043,0-A000000C0C000D-013</v>
      </c>
      <c r="Q31" s="320">
        <f t="shared" ca="1" si="10"/>
        <v>77</v>
      </c>
      <c r="R31" s="328" t="s">
        <v>562</v>
      </c>
      <c r="S31" s="380"/>
      <c r="T31" s="400"/>
      <c r="U31" s="559"/>
      <c r="V31" s="97" t="str">
        <f>IFERROR(INDEX('1'!C$300:C$400,MATCH("*"&amp;I31&amp;"*",'1'!B$300:B$400,0)),"  ")</f>
        <v xml:space="preserve">  </v>
      </c>
      <c r="W31" s="97">
        <f>IFERROR(INDEX('2'!C$300:C$400,MATCH("*"&amp;I31&amp;"*",'2'!B$300:B$400,0)),"  ")</f>
        <v>25</v>
      </c>
      <c r="X31" s="97">
        <f>IFERROR(INDEX('3'!C$300:C$400,MATCH("*"&amp;I31&amp;"*",'3'!B$300:B$400,0)),"  ")</f>
        <v>4</v>
      </c>
      <c r="Y31" s="97">
        <f>IFERROR(INDEX('4'!C$300:C$400,MATCH("*"&amp;I31&amp;"*",'4'!B$300:B$400,0)),"  ")</f>
        <v>2</v>
      </c>
      <c r="Z31" s="97" t="str">
        <f>IFERROR(INDEX('5'!C$300:C$400,MATCH("*"&amp;I31&amp;"*",'5'!B$300:B$400,0)),"  ")</f>
        <v xml:space="preserve">  </v>
      </c>
      <c r="AA31" s="97">
        <f>IFERROR(INDEX('6'!C$300:C$400,MATCH("*"&amp;I31&amp;"*",'6'!B$300:B$400,0)),"  ")</f>
        <v>4</v>
      </c>
      <c r="AB31" s="97" t="str">
        <f>IFERROR(INDEX('7'!C$300:C$400,MATCH("*"&amp;I31&amp;"*",'7'!B$300:B$400,0)),"  ")</f>
        <v xml:space="preserve">  </v>
      </c>
      <c r="AC31" s="97">
        <f>IFERROR(INDEX('8'!C$300:C$400,MATCH("*"&amp;I31&amp;"*",'8'!B$300:B$400,0)),"  ")</f>
        <v>4</v>
      </c>
      <c r="AD31" s="97">
        <f ca="1">IFERROR(INDEX('9'!C$300:C$400,MATCH("*"&amp;I31&amp;"*",'9'!B$300:B$400,0)),"  ")</f>
        <v>2</v>
      </c>
      <c r="AE31" s="97" t="str">
        <f>IFERROR(INDEX('10'!C$300:C$400,MATCH("*"&amp;I31&amp;"*",'10'!B$300:B$400,0)),"  ")</f>
        <v xml:space="preserve">  </v>
      </c>
      <c r="AF31" s="97">
        <f>IFERROR(INDEX('11'!C$300:C$400,MATCH("*"&amp;I31&amp;"*",'11'!B$300:B$400,0)),"  ")</f>
        <v>2</v>
      </c>
      <c r="AG31" s="294">
        <f t="shared" ca="1" si="11"/>
        <v>7</v>
      </c>
      <c r="AH31" s="794">
        <f t="shared" ca="1" si="12"/>
        <v>1</v>
      </c>
      <c r="AI31" s="796">
        <f t="shared" ca="1" si="13"/>
        <v>1</v>
      </c>
      <c r="AJ31" s="303">
        <f t="shared" ca="1" si="14"/>
        <v>1</v>
      </c>
      <c r="AK31" s="405">
        <f t="shared" si="15"/>
        <v>1E-4</v>
      </c>
      <c r="AL31" s="405">
        <f t="shared" ca="1" si="16"/>
        <v>5.0000000000000001E-4</v>
      </c>
      <c r="AM31" s="442">
        <f t="array" aca="1" ref="AM31" ca="1">MIN(IF(V$5:AF$5="ESMV",IF(V31:AF31="  ",FALSE,V31:AF31)+COLUMN(V:AF)/10000))</f>
        <v>2.5999999999999999E-3</v>
      </c>
      <c r="AN31" s="405">
        <f t="shared" si="17"/>
        <v>6.9999999999999999E-4</v>
      </c>
    </row>
    <row r="32" spans="1:40" s="2" customFormat="1" x14ac:dyDescent="0.2">
      <c r="A32" s="328" t="s">
        <v>257</v>
      </c>
      <c r="B32" s="331" t="str">
        <f t="shared" si="1"/>
        <v/>
      </c>
      <c r="C32" s="329" t="str">
        <f t="shared" si="2"/>
        <v/>
      </c>
      <c r="D32" s="907" t="s">
        <v>257</v>
      </c>
      <c r="E32" s="331" t="str">
        <f t="shared" si="3"/>
        <v/>
      </c>
      <c r="F32" s="330" t="str">
        <f t="shared" si="4"/>
        <v/>
      </c>
      <c r="G32" s="390">
        <f t="shared" ca="1" si="5"/>
        <v>24</v>
      </c>
      <c r="H32" s="76">
        <v>24</v>
      </c>
      <c r="I32" s="98" t="s">
        <v>28</v>
      </c>
      <c r="J32" s="800">
        <v>37</v>
      </c>
      <c r="K32" s="801">
        <f t="array" aca="1" ref="K32" ca="1">(IF(COUNT(V32,X32,AA32,AB32,AC32,AE32)&lt;4,SUM(V32,X32,AA32,AB32,AC32,AE32),SUM(LARGE((V32,X32,AA32,AB32,AC32,AE32),{1;2;3;4}))))+(IF(COUNT(W32,Y32,Z32,AD32,AF32)&lt;4,SUM(W32,Y32,Z32,AD32,AF32),SUM(LARGE((W32,Y32,Z32,AD32,AF32),{1;2;3;4}))))</f>
        <v>37</v>
      </c>
      <c r="L32" s="397" t="str">
        <f ca="1">INDEX(ETAPP!B$1:B$32,MATCH(COUNTIF(V32:AF32,PUNKTID!A$1),ETAPP!A$1:A$32,0))&amp;INDEX(ETAPP!B$1:B$32,MATCH(COUNTIF(V32:AF32,PUNKTID!A$2),ETAPP!A$1:A$32,0))&amp;INDEX(ETAPP!B$1:B$32,MATCH(COUNTIF(V32:AF32,PUNKTID!A$3),ETAPP!A$1:A$32,0))&amp;INDEX(ETAPP!B$1:B$32,MATCH(COUNTIF(V32:AF32,PUNKTID!A$4),ETAPP!A$1:A$32,0))&amp;INDEX(ETAPP!B$1:B$32,MATCH(COUNTIF(V32:AF32,PUNKTID!A$5),ETAPP!A$1:A$32,0))&amp;INDEX(ETAPP!B$1:B$32,MATCH(COUNTIF(V32:AF32,PUNKTID!A$6),ETAPP!A$1:A$32,0))&amp;INDEX(ETAPP!B$1:B$32,MATCH(COUNTIF(V32:AF32,PUNKTID!A$7),ETAPP!A$1:A$32,0))&amp;INDEX(ETAPP!B$1:B$32,MATCH(COUNTIF(V32:AF32,PUNKTID!A$8),ETAPP!A$1:A$32,0))&amp;INDEX(ETAPP!B$1:B$32,MATCH(COUNTIF(V32:AF32,PUNKTID!A$9),ETAPP!A$1:A$32,0))&amp;INDEX(ETAPP!B$1:B$32,MATCH(COUNTIF(V32:AF32,PUNKTID!A$10),ETAPP!A$1:A$32,0))&amp;INDEX(ETAPP!B$1:B$32,MATCH(COUNTIF(V32:AF32,PUNKTID!A$11),ETAPP!A$1:A$32,0))&amp;INDEX(ETAPP!B$1:B$32,MATCH(COUNTIF(V32:AF32,PUNKTID!A$12),ETAPP!A$1:A$32,0))&amp;INDEX(ETAPP!B$1:B$32,MATCH(COUNTIF(V32:AF32,PUNKTID!A$13),ETAPP!A$1:A$32,0))&amp;INDEX(ETAPP!B$1:B$32,MATCH(COUNTIF(V32:AF32,PUNKTID!A$14),ETAPP!A$1:A$32,0))</f>
        <v>0000BB000B0A0D</v>
      </c>
      <c r="M32" s="397" t="str">
        <f t="shared" ca="1" si="6"/>
        <v>037,0-0000BB000B0A0D</v>
      </c>
      <c r="N32" s="320">
        <f t="shared" ca="1" si="7"/>
        <v>25</v>
      </c>
      <c r="O32" s="320">
        <f t="shared" si="8"/>
        <v>50</v>
      </c>
      <c r="P32" s="397" t="str">
        <f t="shared" ca="1" si="9"/>
        <v>037,0-0000BB000B0A0D-050</v>
      </c>
      <c r="Q32" s="320">
        <f t="shared" ca="1" si="10"/>
        <v>76</v>
      </c>
      <c r="R32" s="328"/>
      <c r="S32" s="380"/>
      <c r="T32" s="400" t="s">
        <v>605</v>
      </c>
      <c r="U32" s="559"/>
      <c r="V32" s="97">
        <f>IFERROR(INDEX('1'!C$300:C$400,MATCH("*"&amp;I32&amp;"*",'1'!B$300:B$400,0)),"  ")</f>
        <v>9</v>
      </c>
      <c r="W32" s="97">
        <f>IFERROR(INDEX('2'!C$300:C$400,MATCH("*"&amp;I32&amp;"*",'2'!B$300:B$400,0)),"  ")</f>
        <v>7</v>
      </c>
      <c r="X32" s="97">
        <f>IFERROR(INDEX('3'!C$300:C$400,MATCH("*"&amp;I32&amp;"*",'3'!B$300:B$400,0)),"  ")</f>
        <v>1</v>
      </c>
      <c r="Y32" s="97" t="str">
        <f>IFERROR(INDEX('4'!C$300:C$400,MATCH("*"&amp;I32&amp;"*",'4'!B$300:B$400,0)),"  ")</f>
        <v xml:space="preserve">  </v>
      </c>
      <c r="Z32" s="97">
        <f>IFERROR(INDEX('5'!C$300:C$400,MATCH("*"&amp;I32&amp;"*",'5'!B$300:B$400,0)),"  ")</f>
        <v>2</v>
      </c>
      <c r="AA32" s="97">
        <f>IFERROR(INDEX('6'!C$300:C$400,MATCH("*"&amp;I32&amp;"*",'6'!B$300:B$400,0)),"  ")</f>
        <v>7</v>
      </c>
      <c r="AB32" s="97">
        <f>IFERROR(INDEX('7'!C$300:C$400,MATCH("*"&amp;I32&amp;"*",'7'!B$300:B$400,0)),"  ")</f>
        <v>9</v>
      </c>
      <c r="AC32" s="97" t="str">
        <f>IFERROR(INDEX('8'!C$300:C$400,MATCH("*"&amp;I32&amp;"*",'8'!B$300:B$400,0)),"  ")</f>
        <v xml:space="preserve">  </v>
      </c>
      <c r="AD32" s="97" t="str">
        <f ca="1">IFERROR(INDEX('9'!C$300:C$400,MATCH("*"&amp;I32&amp;"*",'9'!B$300:B$400,0)),"  ")</f>
        <v xml:space="preserve">  </v>
      </c>
      <c r="AE32" s="97" t="str">
        <f>IFERROR(INDEX('10'!C$300:C$400,MATCH("*"&amp;I32&amp;"*",'10'!B$300:B$400,0)),"  ")</f>
        <v xml:space="preserve">  </v>
      </c>
      <c r="AF32" s="97">
        <f>IFERROR(INDEX('11'!C$300:C$400,MATCH("*"&amp;I32&amp;"*",'11'!B$300:B$400,0)),"  ")</f>
        <v>2</v>
      </c>
      <c r="AG32" s="294">
        <f t="shared" ca="1" si="11"/>
        <v>7</v>
      </c>
      <c r="AH32" s="794">
        <f t="shared" ca="1" si="12"/>
        <v>0</v>
      </c>
      <c r="AI32" s="796">
        <f t="shared" ca="1" si="13"/>
        <v>0</v>
      </c>
      <c r="AJ32" s="303">
        <f t="shared" ca="1" si="14"/>
        <v>0</v>
      </c>
      <c r="AK32" s="405">
        <f t="shared" si="15"/>
        <v>8.0000000000000004E-4</v>
      </c>
      <c r="AL32" s="405">
        <f t="shared" ca="1" si="16"/>
        <v>4.0000000000000002E-4</v>
      </c>
      <c r="AM32" s="442">
        <f t="array" aca="1" ref="AM32" ca="1">MIN(IF(V$5:AF$5="ESMV",IF(V32:AF32="  ",FALSE,V32:AF32)+COLUMN(V:AF)/10000))</f>
        <v>2.5000000000000001E-3</v>
      </c>
      <c r="AN32" s="405">
        <f t="shared" si="17"/>
        <v>1E-3</v>
      </c>
    </row>
    <row r="33" spans="1:40" s="2" customFormat="1" x14ac:dyDescent="0.2">
      <c r="A33" s="328" t="s">
        <v>257</v>
      </c>
      <c r="B33" s="331" t="str">
        <f t="shared" si="1"/>
        <v/>
      </c>
      <c r="C33" s="329" t="str">
        <f t="shared" si="2"/>
        <v/>
      </c>
      <c r="D33" s="908">
        <v>1</v>
      </c>
      <c r="E33" s="331">
        <f t="shared" ca="1" si="3"/>
        <v>1</v>
      </c>
      <c r="F33" s="330" t="str">
        <f t="shared" ca="1" si="4"/>
        <v>037,0-0000BB000B0A0D</v>
      </c>
      <c r="G33" s="390">
        <f t="shared" ca="1" si="5"/>
        <v>24</v>
      </c>
      <c r="H33" s="76">
        <v>24</v>
      </c>
      <c r="I33" s="98" t="s">
        <v>44</v>
      </c>
      <c r="J33" s="800">
        <v>37</v>
      </c>
      <c r="K33" s="801">
        <f t="array" aca="1" ref="K33" ca="1">(IF(COUNT(V33,X33,AA33,AB33,AC33,AE33)&lt;4,SUM(V33,X33,AA33,AB33,AC33,AE33),SUM(LARGE((V33,X33,AA33,AB33,AC33,AE33),{1;2;3;4}))))+(IF(COUNT(W33,Y33,Z33,AD33,AF33)&lt;4,SUM(W33,Y33,Z33,AD33,AF33),SUM(LARGE((W33,Y33,Z33,AD33,AF33),{1;2;3;4}))))</f>
        <v>37</v>
      </c>
      <c r="L33" s="397" t="str">
        <f ca="1">INDEX(ETAPP!B$1:B$32,MATCH(COUNTIF(V33:AF33,PUNKTID!A$1),ETAPP!A$1:A$32,0))&amp;INDEX(ETAPP!B$1:B$32,MATCH(COUNTIF(V33:AF33,PUNKTID!A$2),ETAPP!A$1:A$32,0))&amp;INDEX(ETAPP!B$1:B$32,MATCH(COUNTIF(V33:AF33,PUNKTID!A$3),ETAPP!A$1:A$32,0))&amp;INDEX(ETAPP!B$1:B$32,MATCH(COUNTIF(V33:AF33,PUNKTID!A$4),ETAPP!A$1:A$32,0))&amp;INDEX(ETAPP!B$1:B$32,MATCH(COUNTIF(V33:AF33,PUNKTID!A$5),ETAPP!A$1:A$32,0))&amp;INDEX(ETAPP!B$1:B$32,MATCH(COUNTIF(V33:AF33,PUNKTID!A$6),ETAPP!A$1:A$32,0))&amp;INDEX(ETAPP!B$1:B$32,MATCH(COUNTIF(V33:AF33,PUNKTID!A$7),ETAPP!A$1:A$32,0))&amp;INDEX(ETAPP!B$1:B$32,MATCH(COUNTIF(V33:AF33,PUNKTID!A$8),ETAPP!A$1:A$32,0))&amp;INDEX(ETAPP!B$1:B$32,MATCH(COUNTIF(V33:AF33,PUNKTID!A$9),ETAPP!A$1:A$32,0))&amp;INDEX(ETAPP!B$1:B$32,MATCH(COUNTIF(V33:AF33,PUNKTID!A$10),ETAPP!A$1:A$32,0))&amp;INDEX(ETAPP!B$1:B$32,MATCH(COUNTIF(V33:AF33,PUNKTID!A$11),ETAPP!A$1:A$32,0))&amp;INDEX(ETAPP!B$1:B$32,MATCH(COUNTIF(V33:AF33,PUNKTID!A$12),ETAPP!A$1:A$32,0))&amp;INDEX(ETAPP!B$1:B$32,MATCH(COUNTIF(V33:AF33,PUNKTID!A$13),ETAPP!A$1:A$32,0))&amp;INDEX(ETAPP!B$1:B$32,MATCH(COUNTIF(V33:AF33,PUNKTID!A$14),ETAPP!A$1:A$32,0))</f>
        <v>0000BB000B0A0D</v>
      </c>
      <c r="M33" s="397" t="str">
        <f t="shared" ca="1" si="6"/>
        <v>037,0-0000BB000B0A0D</v>
      </c>
      <c r="N33" s="320">
        <f t="shared" ca="1" si="7"/>
        <v>25</v>
      </c>
      <c r="O33" s="320">
        <f t="shared" si="8"/>
        <v>29</v>
      </c>
      <c r="P33" s="397" t="str">
        <f t="shared" ca="1" si="9"/>
        <v>037,0-0000BB000B0A0D-029</v>
      </c>
      <c r="Q33" s="320">
        <f t="shared" ca="1" si="10"/>
        <v>75</v>
      </c>
      <c r="R33" s="328"/>
      <c r="S33" s="380" t="s">
        <v>563</v>
      </c>
      <c r="T33" s="400" t="s">
        <v>605</v>
      </c>
      <c r="U33" s="559"/>
      <c r="V33" s="97">
        <f>IFERROR(INDEX('1'!C$300:C$400,MATCH("*"&amp;I33&amp;"*",'1'!B$300:B$400,0)),"  ")</f>
        <v>9</v>
      </c>
      <c r="W33" s="97">
        <f>IFERROR(INDEX('2'!C$300:C$400,MATCH("*"&amp;I33&amp;"*",'2'!B$300:B$400,0)),"  ")</f>
        <v>7</v>
      </c>
      <c r="X33" s="97">
        <f>IFERROR(INDEX('3'!C$300:C$400,MATCH("*"&amp;I33&amp;"*",'3'!B$300:B$400,0)),"  ")</f>
        <v>1</v>
      </c>
      <c r="Y33" s="97" t="str">
        <f>IFERROR(INDEX('4'!C$300:C$400,MATCH("*"&amp;I33&amp;"*",'4'!B$300:B$400,0)),"  ")</f>
        <v xml:space="preserve">  </v>
      </c>
      <c r="Z33" s="97">
        <f>IFERROR(INDEX('5'!C$300:C$400,MATCH("*"&amp;I33&amp;"*",'5'!B$300:B$400,0)),"  ")</f>
        <v>2</v>
      </c>
      <c r="AA33" s="97">
        <f>IFERROR(INDEX('6'!C$300:C$400,MATCH("*"&amp;I33&amp;"*",'6'!B$300:B$400,0)),"  ")</f>
        <v>7</v>
      </c>
      <c r="AB33" s="97">
        <f>IFERROR(INDEX('7'!C$300:C$400,MATCH("*"&amp;I33&amp;"*",'7'!B$300:B$400,0)),"  ")</f>
        <v>9</v>
      </c>
      <c r="AC33" s="97" t="str">
        <f>IFERROR(INDEX('8'!C$300:C$400,MATCH("*"&amp;I33&amp;"*",'8'!B$300:B$400,0)),"  ")</f>
        <v xml:space="preserve">  </v>
      </c>
      <c r="AD33" s="97" t="str">
        <f ca="1">IFERROR(INDEX('9'!C$300:C$400,MATCH("*"&amp;I33&amp;"*",'9'!B$300:B$400,0)),"  ")</f>
        <v xml:space="preserve">  </v>
      </c>
      <c r="AE33" s="97" t="str">
        <f>IFERROR(INDEX('10'!C$300:C$400,MATCH("*"&amp;I33&amp;"*",'10'!B$300:B$400,0)),"  ")</f>
        <v xml:space="preserve">  </v>
      </c>
      <c r="AF33" s="97">
        <f>IFERROR(INDEX('11'!C$300:C$400,MATCH("*"&amp;I33&amp;"*",'11'!B$300:B$400,0)),"  ")</f>
        <v>2</v>
      </c>
      <c r="AG33" s="294">
        <f t="shared" ca="1" si="11"/>
        <v>7</v>
      </c>
      <c r="AH33" s="794">
        <f t="shared" ca="1" si="12"/>
        <v>0</v>
      </c>
      <c r="AI33" s="796">
        <f t="shared" ca="1" si="13"/>
        <v>0</v>
      </c>
      <c r="AJ33" s="303">
        <f t="shared" ca="1" si="14"/>
        <v>0</v>
      </c>
      <c r="AK33" s="405">
        <f t="shared" si="15"/>
        <v>8.0000000000000004E-4</v>
      </c>
      <c r="AL33" s="405">
        <f t="shared" ca="1" si="16"/>
        <v>4.0000000000000002E-4</v>
      </c>
      <c r="AM33" s="442">
        <f t="array" aca="1" ref="AM33" ca="1">MIN(IF(V$5:AF$5="ESMV",IF(V33:AF33="  ",FALSE,V33:AF33)+COLUMN(V:AF)/10000))</f>
        <v>2.5000000000000001E-3</v>
      </c>
      <c r="AN33" s="405">
        <f t="shared" si="17"/>
        <v>1E-3</v>
      </c>
    </row>
    <row r="34" spans="1:40" s="2" customFormat="1" x14ac:dyDescent="0.2">
      <c r="A34" s="328" t="s">
        <v>257</v>
      </c>
      <c r="B34" s="331" t="str">
        <f t="shared" si="1"/>
        <v/>
      </c>
      <c r="C34" s="329" t="str">
        <f t="shared" si="2"/>
        <v/>
      </c>
      <c r="D34" s="907" t="s">
        <v>257</v>
      </c>
      <c r="E34" s="331" t="str">
        <f t="shared" si="3"/>
        <v/>
      </c>
      <c r="F34" s="330" t="str">
        <f t="shared" si="4"/>
        <v/>
      </c>
      <c r="G34" s="390">
        <f t="shared" ca="1" si="5"/>
        <v>26</v>
      </c>
      <c r="H34" s="76">
        <v>26</v>
      </c>
      <c r="I34" s="98" t="s">
        <v>574</v>
      </c>
      <c r="J34" s="800">
        <v>36</v>
      </c>
      <c r="K34" s="801">
        <f t="array" aca="1" ref="K34" ca="1">(IF(COUNT(V34,X34,AA34,AB34,AC34,AE34)&lt;4,SUM(V34,X34,AA34,AB34,AC34,AE34),SUM(LARGE((V34,X34,AA34,AB34,AC34,AE34),{1;2;3;4}))))+(IF(COUNT(W34,Y34,Z34,AD34,AF34)&lt;4,SUM(W34,Y34,Z34,AD34,AF34),SUM(LARGE((W34,Y34,Z34,AD34,AF34),{1;2;3;4}))))</f>
        <v>36</v>
      </c>
      <c r="L34" s="397" t="str">
        <f ca="1">INDEX(ETAPP!B$1:B$32,MATCH(COUNTIF(V34:AF34,PUNKTID!A$1),ETAPP!A$1:A$32,0))&amp;INDEX(ETAPP!B$1:B$32,MATCH(COUNTIF(V34:AF34,PUNKTID!A$2),ETAPP!A$1:A$32,0))&amp;INDEX(ETAPP!B$1:B$32,MATCH(COUNTIF(V34:AF34,PUNKTID!A$3),ETAPP!A$1:A$32,0))&amp;INDEX(ETAPP!B$1:B$32,MATCH(COUNTIF(V34:AF34,PUNKTID!A$4),ETAPP!A$1:A$32,0))&amp;INDEX(ETAPP!B$1:B$32,MATCH(COUNTIF(V34:AF34,PUNKTID!A$5),ETAPP!A$1:A$32,0))&amp;INDEX(ETAPP!B$1:B$32,MATCH(COUNTIF(V34:AF34,PUNKTID!A$6),ETAPP!A$1:A$32,0))&amp;INDEX(ETAPP!B$1:B$32,MATCH(COUNTIF(V34:AF34,PUNKTID!A$7),ETAPP!A$1:A$32,0))&amp;INDEX(ETAPP!B$1:B$32,MATCH(COUNTIF(V34:AF34,PUNKTID!A$8),ETAPP!A$1:A$32,0))&amp;INDEX(ETAPP!B$1:B$32,MATCH(COUNTIF(V34:AF34,PUNKTID!A$9),ETAPP!A$1:A$32,0))&amp;INDEX(ETAPP!B$1:B$32,MATCH(COUNTIF(V34:AF34,PUNKTID!A$10),ETAPP!A$1:A$32,0))&amp;INDEX(ETAPP!B$1:B$32,MATCH(COUNTIF(V34:AF34,PUNKTID!A$11),ETAPP!A$1:A$32,0))&amp;INDEX(ETAPP!B$1:B$32,MATCH(COUNTIF(V34:AF34,PUNKTID!A$12),ETAPP!A$1:A$32,0))&amp;INDEX(ETAPP!B$1:B$32,MATCH(COUNTIF(V34:AF34,PUNKTID!A$13),ETAPP!A$1:A$32,0))&amp;INDEX(ETAPP!B$1:B$32,MATCH(COUNTIF(V34:AF34,PUNKTID!A$14),ETAPP!A$1:A$32,0))</f>
        <v>0AA0000000000D</v>
      </c>
      <c r="M34" s="397" t="str">
        <f t="shared" ca="1" si="6"/>
        <v>036,0-0AA0000000000D</v>
      </c>
      <c r="N34" s="320">
        <f t="shared" ca="1" si="7"/>
        <v>26</v>
      </c>
      <c r="O34" s="320">
        <f t="shared" si="8"/>
        <v>34</v>
      </c>
      <c r="P34" s="397" t="str">
        <f t="shared" ca="1" si="9"/>
        <v>036,0-0AA0000000000D-034</v>
      </c>
      <c r="Q34" s="320">
        <f t="shared" ca="1" si="10"/>
        <v>74</v>
      </c>
      <c r="R34" s="328"/>
      <c r="S34" s="380"/>
      <c r="T34" s="400"/>
      <c r="U34" s="559"/>
      <c r="V34" s="97" t="str">
        <f>IFERROR(INDEX('1'!C$300:C$400,MATCH("*"&amp;I34&amp;"*",'1'!B$300:B$400,0)),"  ")</f>
        <v xml:space="preserve">  </v>
      </c>
      <c r="W34" s="97" t="str">
        <f>IFERROR(INDEX('2'!C$300:C$400,MATCH("*"&amp;I34&amp;"*",'2'!B$300:B$400,0)),"  ")</f>
        <v xml:space="preserve">  </v>
      </c>
      <c r="X34" s="97" t="str">
        <f>IFERROR(INDEX('3'!C$300:C$400,MATCH("*"&amp;I34&amp;"*",'3'!B$300:B$400,0)),"  ")</f>
        <v xml:space="preserve">  </v>
      </c>
      <c r="Y34" s="97" t="str">
        <f>IFERROR(INDEX('4'!C$300:C$400,MATCH("*"&amp;I34&amp;"*",'4'!B$300:B$400,0)),"  ")</f>
        <v xml:space="preserve">  </v>
      </c>
      <c r="Z34" s="97" t="str">
        <f>IFERROR(INDEX('5'!C$300:C$400,MATCH("*"&amp;I34&amp;"*",'5'!B$300:B$400,0)),"  ")</f>
        <v xml:space="preserve">  </v>
      </c>
      <c r="AA34" s="97" t="str">
        <f>IFERROR(INDEX('6'!C$300:C$400,MATCH("*"&amp;I34&amp;"*",'6'!B$300:B$400,0)),"  ")</f>
        <v xml:space="preserve">  </v>
      </c>
      <c r="AB34" s="97">
        <f>IFERROR(INDEX('7'!C$300:C$400,MATCH("*"&amp;I34&amp;"*",'7'!B$300:B$400,0)),"  ")</f>
        <v>20</v>
      </c>
      <c r="AC34" s="97" t="str">
        <f>IFERROR(INDEX('8'!C$300:C$400,MATCH("*"&amp;I34&amp;"*",'8'!B$300:B$400,0)),"  ")</f>
        <v xml:space="preserve">  </v>
      </c>
      <c r="AD34" s="97" t="str">
        <f ca="1">IFERROR(INDEX('9'!C$300:C$400,MATCH("*"&amp;I34&amp;"*",'9'!B$300:B$400,0)),"  ")</f>
        <v xml:space="preserve">  </v>
      </c>
      <c r="AE34" s="97" t="str">
        <f>IFERROR(INDEX('10'!C$300:C$400,MATCH("*"&amp;I34&amp;"*",'10'!B$300:B$400,0)),"  ")</f>
        <v xml:space="preserve">  </v>
      </c>
      <c r="AF34" s="97">
        <f>IFERROR(INDEX('11'!C$300:C$400,MATCH("*"&amp;I34&amp;"*",'11'!B$300:B$400,0)),"  ")</f>
        <v>16</v>
      </c>
      <c r="AG34" s="294">
        <f t="shared" ca="1" si="11"/>
        <v>2</v>
      </c>
      <c r="AH34" s="794">
        <f t="shared" ca="1" si="12"/>
        <v>2</v>
      </c>
      <c r="AI34" s="796">
        <f t="shared" ca="1" si="13"/>
        <v>1</v>
      </c>
      <c r="AJ34" s="303">
        <f t="shared" ca="1" si="14"/>
        <v>0</v>
      </c>
      <c r="AK34" s="405">
        <f t="shared" si="15"/>
        <v>1E-4</v>
      </c>
      <c r="AL34" s="405">
        <f t="shared" ca="1" si="16"/>
        <v>2.0000000000000001E-4</v>
      </c>
      <c r="AM34" s="442">
        <f t="array" aca="1" ref="AM34" ca="1">MIN(IF(V$5:AF$5="ESMV",IF(V34:AF34="  ",FALSE,V34:AF34)+COLUMN(V:AF)/10000))</f>
        <v>2.3E-3</v>
      </c>
      <c r="AN34" s="405">
        <f t="shared" si="17"/>
        <v>2.9999999999999997E-4</v>
      </c>
    </row>
    <row r="35" spans="1:40" s="2" customFormat="1" x14ac:dyDescent="0.2">
      <c r="A35" s="328" t="s">
        <v>257</v>
      </c>
      <c r="B35" s="331" t="str">
        <f t="shared" si="1"/>
        <v/>
      </c>
      <c r="C35" s="329" t="str">
        <f t="shared" si="2"/>
        <v/>
      </c>
      <c r="D35" s="907" t="s">
        <v>257</v>
      </c>
      <c r="E35" s="331" t="str">
        <f t="shared" si="3"/>
        <v/>
      </c>
      <c r="F35" s="330" t="str">
        <f t="shared" si="4"/>
        <v/>
      </c>
      <c r="G35" s="390">
        <f t="shared" ca="1" si="5"/>
        <v>27</v>
      </c>
      <c r="H35" s="76">
        <v>27</v>
      </c>
      <c r="I35" s="98" t="s">
        <v>102</v>
      </c>
      <c r="J35" s="800">
        <v>32</v>
      </c>
      <c r="K35" s="801">
        <f t="array" aca="1" ref="K35" ca="1">(IF(COUNT(V35,X35,AA35,AB35,AC35,AE35)&lt;4,SUM(V35,X35,AA35,AB35,AC35,AE35),SUM(LARGE((V35,X35,AA35,AB35,AC35,AE35),{1;2;3;4}))))+(IF(COUNT(W35,Y35,Z35,AD35,AF35)&lt;4,SUM(W35,Y35,Z35,AD35,AF35),SUM(LARGE((W35,Y35,Z35,AD35,AF35),{1;2;3;4}))))</f>
        <v>32</v>
      </c>
      <c r="L35" s="397" t="str">
        <f ca="1">INDEX(ETAPP!B$1:B$32,MATCH(COUNTIF(V35:AF35,PUNKTID!A$1),ETAPP!A$1:A$32,0))&amp;INDEX(ETAPP!B$1:B$32,MATCH(COUNTIF(V35:AF35,PUNKTID!A$2),ETAPP!A$1:A$32,0))&amp;INDEX(ETAPP!B$1:B$32,MATCH(COUNTIF(V35:AF35,PUNKTID!A$3),ETAPP!A$1:A$32,0))&amp;INDEX(ETAPP!B$1:B$32,MATCH(COUNTIF(V35:AF35,PUNKTID!A$4),ETAPP!A$1:A$32,0))&amp;INDEX(ETAPP!B$1:B$32,MATCH(COUNTIF(V35:AF35,PUNKTID!A$5),ETAPP!A$1:A$32,0))&amp;INDEX(ETAPP!B$1:B$32,MATCH(COUNTIF(V35:AF35,PUNKTID!A$6),ETAPP!A$1:A$32,0))&amp;INDEX(ETAPP!B$1:B$32,MATCH(COUNTIF(V35:AF35,PUNKTID!A$7),ETAPP!A$1:A$32,0))&amp;INDEX(ETAPP!B$1:B$32,MATCH(COUNTIF(V35:AF35,PUNKTID!A$8),ETAPP!A$1:A$32,0))&amp;INDEX(ETAPP!B$1:B$32,MATCH(COUNTIF(V35:AF35,PUNKTID!A$9),ETAPP!A$1:A$32,0))&amp;INDEX(ETAPP!B$1:B$32,MATCH(COUNTIF(V35:AF35,PUNKTID!A$10),ETAPP!A$1:A$32,0))&amp;INDEX(ETAPP!B$1:B$32,MATCH(COUNTIF(V35:AF35,PUNKTID!A$11),ETAPP!A$1:A$32,0))&amp;INDEX(ETAPP!B$1:B$32,MATCH(COUNTIF(V35:AF35,PUNKTID!A$12),ETAPP!A$1:A$32,0))&amp;INDEX(ETAPP!B$1:B$32,MATCH(COUNTIF(V35:AF35,PUNKTID!A$13),ETAPP!A$1:A$32,0))&amp;INDEX(ETAPP!B$1:B$32,MATCH(COUNTIF(V35:AF35,PUNKTID!A$14),ETAPP!A$1:A$32,0))</f>
        <v>0A0A000000000D</v>
      </c>
      <c r="M35" s="397" t="str">
        <f t="shared" ca="1" si="6"/>
        <v>032,0-0A0A000000000D</v>
      </c>
      <c r="N35" s="320">
        <f t="shared" ca="1" si="7"/>
        <v>27</v>
      </c>
      <c r="O35" s="320">
        <f t="shared" si="8"/>
        <v>27</v>
      </c>
      <c r="P35" s="397" t="str">
        <f t="shared" ca="1" si="9"/>
        <v>032,0-0A0A000000000D-027</v>
      </c>
      <c r="Q35" s="320">
        <f t="shared" ca="1" si="10"/>
        <v>73</v>
      </c>
      <c r="R35" s="328"/>
      <c r="S35" s="380"/>
      <c r="T35" s="400"/>
      <c r="U35" s="559"/>
      <c r="V35" s="97" t="str">
        <f>IFERROR(INDEX('1'!C$300:C$400,MATCH("*"&amp;I35&amp;"*",'1'!B$300:B$400,0)),"  ")</f>
        <v xml:space="preserve">  </v>
      </c>
      <c r="W35" s="97" t="str">
        <f>IFERROR(INDEX('2'!C$300:C$400,MATCH("*"&amp;I35&amp;"*",'2'!B$300:B$400,0)),"  ")</f>
        <v xml:space="preserve">  </v>
      </c>
      <c r="X35" s="97">
        <f>IFERROR(INDEX('3'!C$300:C$400,MATCH("*"&amp;I35&amp;"*",'3'!B$300:B$400,0)),"  ")</f>
        <v>20</v>
      </c>
      <c r="Y35" s="97" t="str">
        <f>IFERROR(INDEX('4'!C$300:C$400,MATCH("*"&amp;I35&amp;"*",'4'!B$300:B$400,0)),"  ")</f>
        <v xml:space="preserve">  </v>
      </c>
      <c r="Z35" s="97">
        <f>IFERROR(INDEX('5'!C$300:C$400,MATCH("*"&amp;I35&amp;"*",'5'!B$300:B$400,0)),"  ")</f>
        <v>12</v>
      </c>
      <c r="AA35" s="97" t="str">
        <f>IFERROR(INDEX('6'!C$300:C$400,MATCH("*"&amp;I35&amp;"*",'6'!B$300:B$400,0)),"  ")</f>
        <v xml:space="preserve">  </v>
      </c>
      <c r="AB35" s="97" t="str">
        <f>IFERROR(INDEX('7'!C$300:C$400,MATCH("*"&amp;I35&amp;"*",'7'!B$300:B$400,0)),"  ")</f>
        <v xml:space="preserve">  </v>
      </c>
      <c r="AC35" s="97" t="str">
        <f>IFERROR(INDEX('8'!C$300:C$400,MATCH("*"&amp;I35&amp;"*",'8'!B$300:B$400,0)),"  ")</f>
        <v xml:space="preserve">  </v>
      </c>
      <c r="AD35" s="97" t="str">
        <f ca="1">IFERROR(INDEX('9'!C$300:C$400,MATCH("*"&amp;I35&amp;"*",'9'!B$300:B$400,0)),"  ")</f>
        <v xml:space="preserve">  </v>
      </c>
      <c r="AE35" s="97" t="str">
        <f>IFERROR(INDEX('10'!C$300:C$400,MATCH("*"&amp;I35&amp;"*",'10'!B$300:B$400,0)),"  ")</f>
        <v xml:space="preserve">  </v>
      </c>
      <c r="AF35" s="97" t="str">
        <f>IFERROR(INDEX('11'!C$300:C$400,MATCH("*"&amp;I35&amp;"*",'11'!B$300:B$400,0)),"  ")</f>
        <v xml:space="preserve">  </v>
      </c>
      <c r="AG35" s="294">
        <f t="shared" ca="1" si="11"/>
        <v>2</v>
      </c>
      <c r="AH35" s="794">
        <f t="shared" ca="1" si="12"/>
        <v>1</v>
      </c>
      <c r="AI35" s="796">
        <f t="shared" ca="1" si="13"/>
        <v>1</v>
      </c>
      <c r="AJ35" s="303">
        <f t="shared" ca="1" si="14"/>
        <v>0</v>
      </c>
      <c r="AK35" s="405">
        <f t="shared" si="15"/>
        <v>1E-4</v>
      </c>
      <c r="AL35" s="405">
        <f t="shared" ca="1" si="16"/>
        <v>2.0000000000000001E-4</v>
      </c>
      <c r="AM35" s="442">
        <f t="array" aca="1" ref="AM35" ca="1">MIN(IF(V$5:AF$5="ESMV",IF(V35:AF35="  ",FALSE,V35:AF35)+COLUMN(V:AF)/10000))</f>
        <v>2.3E-3</v>
      </c>
      <c r="AN35" s="405">
        <f t="shared" si="17"/>
        <v>5.9999999999999995E-4</v>
      </c>
    </row>
    <row r="36" spans="1:40" s="2" customFormat="1" x14ac:dyDescent="0.2">
      <c r="A36" s="328">
        <v>7</v>
      </c>
      <c r="B36" s="331">
        <f t="shared" ca="1" si="1"/>
        <v>7</v>
      </c>
      <c r="C36" s="329" t="str">
        <f t="shared" ca="1" si="2"/>
        <v>032,0-0A00A0000A0A0G</v>
      </c>
      <c r="D36" s="907" t="s">
        <v>257</v>
      </c>
      <c r="E36" s="331" t="str">
        <f t="shared" si="3"/>
        <v/>
      </c>
      <c r="F36" s="330" t="str">
        <f t="shared" si="4"/>
        <v/>
      </c>
      <c r="G36" s="390">
        <f t="shared" ca="1" si="5"/>
        <v>28</v>
      </c>
      <c r="H36" s="76">
        <v>28</v>
      </c>
      <c r="I36" s="98" t="s">
        <v>188</v>
      </c>
      <c r="J36" s="800">
        <v>32</v>
      </c>
      <c r="K36" s="801">
        <f t="array" aca="1" ref="K36" ca="1">(IF(COUNT(V36,X36,AA36,AB36,AC36,AE36)&lt;4,SUM(V36,X36,AA36,AB36,AC36,AE36),SUM(LARGE((V36,X36,AA36,AB36,AC36,AE36),{1;2;3;4}))))+(IF(COUNT(W36,Y36,Z36,AD36,AF36)&lt;4,SUM(W36,Y36,Z36,AD36,AF36),SUM(LARGE((W36,Y36,Z36,AD36,AF36),{1;2;3;4}))))</f>
        <v>32</v>
      </c>
      <c r="L36" s="397" t="str">
        <f ca="1">INDEX(ETAPP!B$1:B$32,MATCH(COUNTIF(V36:AF36,PUNKTID!A$1),ETAPP!A$1:A$32,0))&amp;INDEX(ETAPP!B$1:B$32,MATCH(COUNTIF(V36:AF36,PUNKTID!A$2),ETAPP!A$1:A$32,0))&amp;INDEX(ETAPP!B$1:B$32,MATCH(COUNTIF(V36:AF36,PUNKTID!A$3),ETAPP!A$1:A$32,0))&amp;INDEX(ETAPP!B$1:B$32,MATCH(COUNTIF(V36:AF36,PUNKTID!A$4),ETAPP!A$1:A$32,0))&amp;INDEX(ETAPP!B$1:B$32,MATCH(COUNTIF(V36:AF36,PUNKTID!A$5),ETAPP!A$1:A$32,0))&amp;INDEX(ETAPP!B$1:B$32,MATCH(COUNTIF(V36:AF36,PUNKTID!A$6),ETAPP!A$1:A$32,0))&amp;INDEX(ETAPP!B$1:B$32,MATCH(COUNTIF(V36:AF36,PUNKTID!A$7),ETAPP!A$1:A$32,0))&amp;INDEX(ETAPP!B$1:B$32,MATCH(COUNTIF(V36:AF36,PUNKTID!A$8),ETAPP!A$1:A$32,0))&amp;INDEX(ETAPP!B$1:B$32,MATCH(COUNTIF(V36:AF36,PUNKTID!A$9),ETAPP!A$1:A$32,0))&amp;INDEX(ETAPP!B$1:B$32,MATCH(COUNTIF(V36:AF36,PUNKTID!A$10),ETAPP!A$1:A$32,0))&amp;INDEX(ETAPP!B$1:B$32,MATCH(COUNTIF(V36:AF36,PUNKTID!A$11),ETAPP!A$1:A$32,0))&amp;INDEX(ETAPP!B$1:B$32,MATCH(COUNTIF(V36:AF36,PUNKTID!A$12),ETAPP!A$1:A$32,0))&amp;INDEX(ETAPP!B$1:B$32,MATCH(COUNTIF(V36:AF36,PUNKTID!A$13),ETAPP!A$1:A$32,0))&amp;INDEX(ETAPP!B$1:B$32,MATCH(COUNTIF(V36:AF36,PUNKTID!A$14),ETAPP!A$1:A$32,0))</f>
        <v>0A00A0000A0A0G</v>
      </c>
      <c r="M36" s="397" t="str">
        <f t="shared" ca="1" si="6"/>
        <v>032,0-0A00A0000A0A0G</v>
      </c>
      <c r="N36" s="320">
        <f t="shared" ca="1" si="7"/>
        <v>28</v>
      </c>
      <c r="O36" s="320">
        <f t="shared" si="8"/>
        <v>33</v>
      </c>
      <c r="P36" s="397" t="str">
        <f t="shared" ca="1" si="9"/>
        <v>032,0-0A00A0000A0A0G-033</v>
      </c>
      <c r="Q36" s="320">
        <f t="shared" ca="1" si="10"/>
        <v>72</v>
      </c>
      <c r="R36" s="328" t="s">
        <v>562</v>
      </c>
      <c r="S36" s="380"/>
      <c r="T36" s="400"/>
      <c r="U36" s="559"/>
      <c r="V36" s="97" t="str">
        <f>IFERROR(INDEX('1'!C$300:C$400,MATCH("*"&amp;I36&amp;"*",'1'!B$300:B$400,0)),"  ")</f>
        <v xml:space="preserve">  </v>
      </c>
      <c r="W36" s="97">
        <f>IFERROR(INDEX('2'!C$300:C$400,MATCH("*"&amp;I36&amp;"*",'2'!B$300:B$400,0)),"  ")</f>
        <v>2</v>
      </c>
      <c r="X36" s="97" t="str">
        <f>IFERROR(INDEX('3'!C$300:C$400,MATCH("*"&amp;I36&amp;"*",'3'!B$300:B$400,0)),"  ")</f>
        <v xml:space="preserve">  </v>
      </c>
      <c r="Y36" s="97">
        <f>IFERROR(INDEX('4'!C$300:C$400,MATCH("*"&amp;I36&amp;"*",'4'!B$300:B$400,0)),"  ")</f>
        <v>9</v>
      </c>
      <c r="Z36" s="97">
        <f>IFERROR(INDEX('5'!C$300:C$400,MATCH("*"&amp;I36&amp;"*",'5'!B$300:B$400,0)),"  ")</f>
        <v>20</v>
      </c>
      <c r="AA36" s="97" t="str">
        <f>IFERROR(INDEX('6'!C$300:C$400,MATCH("*"&amp;I36&amp;"*",'6'!B$300:B$400,0)),"  ")</f>
        <v xml:space="preserve">  </v>
      </c>
      <c r="AB36" s="97">
        <f>IFERROR(INDEX('7'!C$300:C$400,MATCH("*"&amp;I36&amp;"*",'7'!B$300:B$400,0)),"  ")</f>
        <v>1</v>
      </c>
      <c r="AC36" s="97" t="str">
        <f>IFERROR(INDEX('8'!C$300:C$400,MATCH("*"&amp;I36&amp;"*",'8'!B$300:B$400,0)),"  ")</f>
        <v xml:space="preserve">  </v>
      </c>
      <c r="AD36" s="97" t="str">
        <f ca="1">IFERROR(INDEX('9'!C$300:C$400,MATCH("*"&amp;I36&amp;"*",'9'!B$300:B$400,0)),"  ")</f>
        <v xml:space="preserve">  </v>
      </c>
      <c r="AE36" s="97" t="str">
        <f>IFERROR(INDEX('10'!C$300:C$400,MATCH("*"&amp;I36&amp;"*",'10'!B$300:B$400,0)),"  ")</f>
        <v xml:space="preserve">  </v>
      </c>
      <c r="AF36" s="97" t="str">
        <f>IFERROR(INDEX('11'!C$300:C$400,MATCH("*"&amp;I36&amp;"*",'11'!B$300:B$400,0)),"  ")</f>
        <v xml:space="preserve">  </v>
      </c>
      <c r="AG36" s="294">
        <f t="shared" ca="1" si="11"/>
        <v>4</v>
      </c>
      <c r="AH36" s="794">
        <f t="shared" ca="1" si="12"/>
        <v>1</v>
      </c>
      <c r="AI36" s="796">
        <f t="shared" ca="1" si="13"/>
        <v>0</v>
      </c>
      <c r="AJ36" s="303">
        <f t="shared" ca="1" si="14"/>
        <v>0</v>
      </c>
      <c r="AK36" s="405">
        <f t="shared" si="15"/>
        <v>1E-4</v>
      </c>
      <c r="AL36" s="405">
        <f t="shared" ca="1" si="16"/>
        <v>8.9999999999999998E-4</v>
      </c>
      <c r="AM36" s="442">
        <f t="array" aca="1" ref="AM36" ca="1">MIN(IF(V$5:AF$5="ESMV",IF(V36:AF36="  ",FALSE,V36:AF36)+COLUMN(V:AF)/10000))</f>
        <v>3.0000000000000001E-3</v>
      </c>
      <c r="AN36" s="405">
        <f t="shared" si="17"/>
        <v>2.9999999999999997E-4</v>
      </c>
    </row>
    <row r="37" spans="1:40" s="2" customFormat="1" x14ac:dyDescent="0.2">
      <c r="A37" s="328" t="s">
        <v>257</v>
      </c>
      <c r="B37" s="331" t="str">
        <f t="shared" si="1"/>
        <v/>
      </c>
      <c r="C37" s="329" t="str">
        <f t="shared" si="2"/>
        <v/>
      </c>
      <c r="D37" s="907" t="s">
        <v>257</v>
      </c>
      <c r="E37" s="331" t="str">
        <f t="shared" si="3"/>
        <v/>
      </c>
      <c r="F37" s="330" t="str">
        <f t="shared" si="4"/>
        <v/>
      </c>
      <c r="G37" s="390">
        <f t="shared" ca="1" si="5"/>
        <v>29</v>
      </c>
      <c r="H37" s="76">
        <v>29</v>
      </c>
      <c r="I37" s="98" t="s">
        <v>35</v>
      </c>
      <c r="J37" s="800">
        <v>29</v>
      </c>
      <c r="K37" s="801">
        <f t="array" aca="1" ref="K37" ca="1">(IF(COUNT(V37,X37,AA37,AB37,AC37,AE37)&lt;4,SUM(V37,X37,AA37,AB37,AC37,AE37),SUM(LARGE((V37,X37,AA37,AB37,AC37,AE37),{1;2;3;4}))))+(IF(COUNT(W37,Y37,Z37,AD37,AF37)&lt;4,SUM(W37,Y37,Z37,AD37,AF37),SUM(LARGE((W37,Y37,Z37,AD37,AF37),{1;2;3;4}))))</f>
        <v>29</v>
      </c>
      <c r="L37" s="397" t="str">
        <f ca="1">INDEX(ETAPP!B$1:B$32,MATCH(COUNTIF(V37:AF37,PUNKTID!A$1),ETAPP!A$1:A$32,0))&amp;INDEX(ETAPP!B$1:B$32,MATCH(COUNTIF(V37:AF37,PUNKTID!A$2),ETAPP!A$1:A$32,0))&amp;INDEX(ETAPP!B$1:B$32,MATCH(COUNTIF(V37:AF37,PUNKTID!A$3),ETAPP!A$1:A$32,0))&amp;INDEX(ETAPP!B$1:B$32,MATCH(COUNTIF(V37:AF37,PUNKTID!A$4),ETAPP!A$1:A$32,0))&amp;INDEX(ETAPP!B$1:B$32,MATCH(COUNTIF(V37:AF37,PUNKTID!A$5),ETAPP!A$1:A$32,0))&amp;INDEX(ETAPP!B$1:B$32,MATCH(COUNTIF(V37:AF37,PUNKTID!A$6),ETAPP!A$1:A$32,0))&amp;INDEX(ETAPP!B$1:B$32,MATCH(COUNTIF(V37:AF37,PUNKTID!A$7),ETAPP!A$1:A$32,0))&amp;INDEX(ETAPP!B$1:B$32,MATCH(COUNTIF(V37:AF37,PUNKTID!A$8),ETAPP!A$1:A$32,0))&amp;INDEX(ETAPP!B$1:B$32,MATCH(COUNTIF(V37:AF37,PUNKTID!A$9),ETAPP!A$1:A$32,0))&amp;INDEX(ETAPP!B$1:B$32,MATCH(COUNTIF(V37:AF37,PUNKTID!A$10),ETAPP!A$1:A$32,0))&amp;INDEX(ETAPP!B$1:B$32,MATCH(COUNTIF(V37:AF37,PUNKTID!A$11),ETAPP!A$1:A$32,0))&amp;INDEX(ETAPP!B$1:B$32,MATCH(COUNTIF(V37:AF37,PUNKTID!A$12),ETAPP!A$1:A$32,0))&amp;INDEX(ETAPP!B$1:B$32,MATCH(COUNTIF(V37:AF37,PUNKTID!A$13),ETAPP!A$1:A$32,0))&amp;INDEX(ETAPP!B$1:B$32,MATCH(COUNTIF(V37:AF37,PUNKTID!A$14),ETAPP!A$1:A$32,0))</f>
        <v>A000000A00000D</v>
      </c>
      <c r="M37" s="397" t="str">
        <f t="shared" ca="1" si="6"/>
        <v>029,0-A000000A00000D</v>
      </c>
      <c r="N37" s="320">
        <f t="shared" ca="1" si="7"/>
        <v>29</v>
      </c>
      <c r="O37" s="320">
        <f t="shared" si="8"/>
        <v>83</v>
      </c>
      <c r="P37" s="397" t="str">
        <f t="shared" ca="1" si="9"/>
        <v>029,0-A000000A00000D-083</v>
      </c>
      <c r="Q37" s="320">
        <f t="shared" ca="1" si="10"/>
        <v>71</v>
      </c>
      <c r="R37" s="328"/>
      <c r="S37" s="380"/>
      <c r="T37" s="400"/>
      <c r="U37" s="559"/>
      <c r="V37" s="97">
        <f>IFERROR(INDEX('1'!C$300:C$400,MATCH("*"&amp;I37&amp;"*",'1'!B$300:B$400,0)),"  ")</f>
        <v>4</v>
      </c>
      <c r="W37" s="97" t="str">
        <f>IFERROR(INDEX('2'!C$300:C$400,MATCH("*"&amp;I37&amp;"*",'2'!B$300:B$400,0)),"  ")</f>
        <v xml:space="preserve">  </v>
      </c>
      <c r="X37" s="97" t="str">
        <f>IFERROR(INDEX('3'!C$300:C$400,MATCH("*"&amp;I37&amp;"*",'3'!B$300:B$400,0)),"  ")</f>
        <v xml:space="preserve">  </v>
      </c>
      <c r="Y37" s="97" t="str">
        <f>IFERROR(INDEX('4'!C$300:C$400,MATCH("*"&amp;I37&amp;"*",'4'!B$300:B$400,0)),"  ")</f>
        <v xml:space="preserve">  </v>
      </c>
      <c r="Z37" s="97" t="str">
        <f>IFERROR(INDEX('5'!C$300:C$400,MATCH("*"&amp;I37&amp;"*",'5'!B$300:B$400,0)),"  ")</f>
        <v xml:space="preserve">  </v>
      </c>
      <c r="AA37" s="97" t="str">
        <f>IFERROR(INDEX('6'!C$300:C$400,MATCH("*"&amp;I37&amp;"*",'6'!B$300:B$400,0)),"  ")</f>
        <v xml:space="preserve">  </v>
      </c>
      <c r="AB37" s="97" t="str">
        <f>IFERROR(INDEX('7'!C$300:C$400,MATCH("*"&amp;I37&amp;"*",'7'!B$300:B$400,0)),"  ")</f>
        <v xml:space="preserve">  </v>
      </c>
      <c r="AC37" s="97" t="str">
        <f>IFERROR(INDEX('8'!C$300:C$400,MATCH("*"&amp;I37&amp;"*",'8'!B$300:B$400,0)),"  ")</f>
        <v xml:space="preserve">  </v>
      </c>
      <c r="AD37" s="97" t="str">
        <f ca="1">IFERROR(INDEX('9'!C$300:C$400,MATCH("*"&amp;I37&amp;"*",'9'!B$300:B$400,0)),"  ")</f>
        <v xml:space="preserve">  </v>
      </c>
      <c r="AE37" s="97" t="str">
        <f>IFERROR(INDEX('10'!C$300:C$400,MATCH("*"&amp;I37&amp;"*",'10'!B$300:B$400,0)),"  ")</f>
        <v xml:space="preserve">  </v>
      </c>
      <c r="AF37" s="97">
        <f>IFERROR(INDEX('11'!C$300:C$400,MATCH("*"&amp;I37&amp;"*",'11'!B$300:B$400,0)),"  ")</f>
        <v>25</v>
      </c>
      <c r="AG37" s="294">
        <f t="shared" ca="1" si="11"/>
        <v>2</v>
      </c>
      <c r="AH37" s="794">
        <f t="shared" ca="1" si="12"/>
        <v>1</v>
      </c>
      <c r="AI37" s="796">
        <f t="shared" ca="1" si="13"/>
        <v>1</v>
      </c>
      <c r="AJ37" s="303">
        <f t="shared" ca="1" si="14"/>
        <v>1</v>
      </c>
      <c r="AK37" s="405">
        <f t="shared" si="15"/>
        <v>2.9999999999999997E-4</v>
      </c>
      <c r="AL37" s="405">
        <f t="shared" ca="1" si="16"/>
        <v>2.0000000000000001E-4</v>
      </c>
      <c r="AM37" s="442">
        <f t="array" aca="1" ref="AM37" ca="1">MIN(IF(V$5:AF$5="ESMV",IF(V37:AF37="  ",FALSE,V37:AF37)+COLUMN(V:AF)/10000))</f>
        <v>2.3E-3</v>
      </c>
      <c r="AN37" s="405">
        <f t="shared" si="17"/>
        <v>5.9999999999999995E-4</v>
      </c>
    </row>
    <row r="38" spans="1:40" s="2" customFormat="1" x14ac:dyDescent="0.2">
      <c r="A38" s="328" t="s">
        <v>257</v>
      </c>
      <c r="B38" s="331" t="str">
        <f t="shared" si="1"/>
        <v/>
      </c>
      <c r="C38" s="329" t="str">
        <f t="shared" si="2"/>
        <v/>
      </c>
      <c r="D38" s="907" t="s">
        <v>257</v>
      </c>
      <c r="E38" s="331" t="str">
        <f t="shared" si="3"/>
        <v/>
      </c>
      <c r="F38" s="330" t="str">
        <f t="shared" si="4"/>
        <v/>
      </c>
      <c r="G38" s="390">
        <f t="shared" ca="1" si="5"/>
        <v>30</v>
      </c>
      <c r="H38" s="76">
        <v>30</v>
      </c>
      <c r="I38" s="98" t="s">
        <v>142</v>
      </c>
      <c r="J38" s="800">
        <v>25</v>
      </c>
      <c r="K38" s="801">
        <f t="array" aca="1" ref="K38" ca="1">(IF(COUNT(V38,X38,AA38,AB38,AC38,AE38)&lt;4,SUM(V38,X38,AA38,AB38,AC38,AE38),SUM(LARGE((V38,X38,AA38,AB38,AC38,AE38),{1;2;3;4}))))+(IF(COUNT(W38,Y38,Z38,AD38,AF38)&lt;4,SUM(W38,Y38,Z38,AD38,AF38),SUM(LARGE((W38,Y38,Z38,AD38,AF38),{1;2;3;4}))))</f>
        <v>25</v>
      </c>
      <c r="L38" s="397" t="str">
        <f ca="1">INDEX(ETAPP!B$1:B$32,MATCH(COUNTIF(V38:AF38,PUNKTID!A$1),ETAPP!A$1:A$32,0))&amp;INDEX(ETAPP!B$1:B$32,MATCH(COUNTIF(V38:AF38,PUNKTID!A$2),ETAPP!A$1:A$32,0))&amp;INDEX(ETAPP!B$1:B$32,MATCH(COUNTIF(V38:AF38,PUNKTID!A$3),ETAPP!A$1:A$32,0))&amp;INDEX(ETAPP!B$1:B$32,MATCH(COUNTIF(V38:AF38,PUNKTID!A$4),ETAPP!A$1:A$32,0))&amp;INDEX(ETAPP!B$1:B$32,MATCH(COUNTIF(V38:AF38,PUNKTID!A$5),ETAPP!A$1:A$32,0))&amp;INDEX(ETAPP!B$1:B$32,MATCH(COUNTIF(V38:AF38,PUNKTID!A$6),ETAPP!A$1:A$32,0))&amp;INDEX(ETAPP!B$1:B$32,MATCH(COUNTIF(V38:AF38,PUNKTID!A$7),ETAPP!A$1:A$32,0))&amp;INDEX(ETAPP!B$1:B$32,MATCH(COUNTIF(V38:AF38,PUNKTID!A$8),ETAPP!A$1:A$32,0))&amp;INDEX(ETAPP!B$1:B$32,MATCH(COUNTIF(V38:AF38,PUNKTID!A$9),ETAPP!A$1:A$32,0))&amp;INDEX(ETAPP!B$1:B$32,MATCH(COUNTIF(V38:AF38,PUNKTID!A$10),ETAPP!A$1:A$32,0))&amp;INDEX(ETAPP!B$1:B$32,MATCH(COUNTIF(V38:AF38,PUNKTID!A$11),ETAPP!A$1:A$32,0))&amp;INDEX(ETAPP!B$1:B$32,MATCH(COUNTIF(V38:AF38,PUNKTID!A$12),ETAPP!A$1:A$32,0))&amp;INDEX(ETAPP!B$1:B$32,MATCH(COUNTIF(V38:AF38,PUNKTID!A$13),ETAPP!A$1:A$32,0))&amp;INDEX(ETAPP!B$1:B$32,MATCH(COUNTIF(V38:AF38,PUNKTID!A$14),ETAPP!A$1:A$32,0))</f>
        <v>0000B0000C0A0E</v>
      </c>
      <c r="M38" s="397" t="str">
        <f t="shared" ca="1" si="6"/>
        <v>025,0-0000B0000C0A0E</v>
      </c>
      <c r="N38" s="320">
        <f t="shared" ca="1" si="7"/>
        <v>31</v>
      </c>
      <c r="O38" s="320">
        <f t="shared" si="8"/>
        <v>91</v>
      </c>
      <c r="P38" s="397" t="str">
        <f t="shared" ca="1" si="9"/>
        <v>025,0-0000B0000C0A0E-091</v>
      </c>
      <c r="Q38" s="320">
        <f t="shared" ca="1" si="10"/>
        <v>70</v>
      </c>
      <c r="R38" s="328"/>
      <c r="S38" s="380"/>
      <c r="T38" s="400" t="s">
        <v>605</v>
      </c>
      <c r="U38" s="559"/>
      <c r="V38" s="97">
        <f>IFERROR(INDEX('1'!C$300:C$400,MATCH("*"&amp;I38&amp;"*",'1'!B$300:B$400,0)),"  ")</f>
        <v>1</v>
      </c>
      <c r="W38" s="97">
        <f>IFERROR(INDEX('2'!C$300:C$400,MATCH("*"&amp;I38&amp;"*",'2'!B$300:B$400,0)),"  ")</f>
        <v>2</v>
      </c>
      <c r="X38" s="97">
        <f>IFERROR(INDEX('3'!C$300:C$400,MATCH("*"&amp;I38&amp;"*",'3'!B$300:B$400,0)),"  ")</f>
        <v>9</v>
      </c>
      <c r="Y38" s="97">
        <f>IFERROR(INDEX('4'!C$300:C$400,MATCH("*"&amp;I38&amp;"*",'4'!B$300:B$400,0)),"  ")</f>
        <v>2</v>
      </c>
      <c r="Z38" s="97">
        <f>IFERROR(INDEX('5'!C$300:C$400,MATCH("*"&amp;I38&amp;"*",'5'!B$300:B$400,0)),"  ")</f>
        <v>2</v>
      </c>
      <c r="AA38" s="97">
        <f>IFERROR(INDEX('6'!C$300:C$400,MATCH("*"&amp;I38&amp;"*",'6'!B$300:B$400,0)),"  ")</f>
        <v>9</v>
      </c>
      <c r="AB38" s="97" t="str">
        <f>IFERROR(INDEX('7'!C$300:C$400,MATCH("*"&amp;I38&amp;"*",'7'!B$300:B$400,0)),"  ")</f>
        <v xml:space="preserve">  </v>
      </c>
      <c r="AC38" s="97" t="str">
        <f>IFERROR(INDEX('8'!C$300:C$400,MATCH("*"&amp;I38&amp;"*",'8'!B$300:B$400,0)),"  ")</f>
        <v xml:space="preserve">  </v>
      </c>
      <c r="AD38" s="97" t="str">
        <f ca="1">IFERROR(INDEX('9'!C$300:C$400,MATCH("*"&amp;I38&amp;"*",'9'!B$300:B$400,0)),"  ")</f>
        <v xml:space="preserve">  </v>
      </c>
      <c r="AE38" s="97" t="str">
        <f>IFERROR(INDEX('10'!C$300:C$400,MATCH("*"&amp;I38&amp;"*",'10'!B$300:B$400,0)),"  ")</f>
        <v xml:space="preserve">  </v>
      </c>
      <c r="AF38" s="97" t="str">
        <f>IFERROR(INDEX('11'!C$300:C$400,MATCH("*"&amp;I38&amp;"*",'11'!B$300:B$400,0)),"  ")</f>
        <v xml:space="preserve">  </v>
      </c>
      <c r="AG38" s="294">
        <f t="shared" ca="1" si="11"/>
        <v>6</v>
      </c>
      <c r="AH38" s="794">
        <f t="shared" ca="1" si="12"/>
        <v>0</v>
      </c>
      <c r="AI38" s="796">
        <f t="shared" ca="1" si="13"/>
        <v>0</v>
      </c>
      <c r="AJ38" s="303">
        <f t="shared" ca="1" si="14"/>
        <v>0</v>
      </c>
      <c r="AK38" s="405">
        <f t="shared" si="15"/>
        <v>6.9999999999999999E-4</v>
      </c>
      <c r="AL38" s="405">
        <f t="shared" ca="1" si="16"/>
        <v>8.9999999999999998E-4</v>
      </c>
      <c r="AM38" s="442">
        <f t="array" aca="1" ref="AM38" ca="1">MIN(IF(V$5:AF$5="ESMV",IF(V38:AF38="  ",FALSE,V38:AF38)+COLUMN(V:AF)/10000))</f>
        <v>3.0000000000000001E-3</v>
      </c>
      <c r="AN38" s="405">
        <f t="shared" si="17"/>
        <v>8.0000000000000004E-4</v>
      </c>
    </row>
    <row r="39" spans="1:40" s="2" customFormat="1" x14ac:dyDescent="0.2">
      <c r="A39" s="328">
        <v>8</v>
      </c>
      <c r="B39" s="331">
        <f t="shared" ca="1" si="1"/>
        <v>8</v>
      </c>
      <c r="C39" s="329" t="str">
        <f t="shared" ca="1" si="2"/>
        <v>025,0-0000B0000C0A0E</v>
      </c>
      <c r="D39" s="907" t="s">
        <v>257</v>
      </c>
      <c r="E39" s="331" t="str">
        <f t="shared" si="3"/>
        <v/>
      </c>
      <c r="F39" s="330" t="str">
        <f t="shared" si="4"/>
        <v/>
      </c>
      <c r="G39" s="390">
        <f t="shared" ca="1" si="5"/>
        <v>30</v>
      </c>
      <c r="H39" s="76">
        <v>30</v>
      </c>
      <c r="I39" s="98" t="s">
        <v>141</v>
      </c>
      <c r="J39" s="800">
        <v>25</v>
      </c>
      <c r="K39" s="801">
        <f t="array" aca="1" ref="K39" ca="1">(IF(COUNT(V39,X39,AA39,AB39,AC39,AE39)&lt;4,SUM(V39,X39,AA39,AB39,AC39,AE39),SUM(LARGE((V39,X39,AA39,AB39,AC39,AE39),{1;2;3;4}))))+(IF(COUNT(W39,Y39,Z39,AD39,AF39)&lt;4,SUM(W39,Y39,Z39,AD39,AF39),SUM(LARGE((W39,Y39,Z39,AD39,AF39),{1;2;3;4}))))</f>
        <v>25</v>
      </c>
      <c r="L39" s="397" t="str">
        <f ca="1">INDEX(ETAPP!B$1:B$32,MATCH(COUNTIF(V39:AF39,PUNKTID!A$1),ETAPP!A$1:A$32,0))&amp;INDEX(ETAPP!B$1:B$32,MATCH(COUNTIF(V39:AF39,PUNKTID!A$2),ETAPP!A$1:A$32,0))&amp;INDEX(ETAPP!B$1:B$32,MATCH(COUNTIF(V39:AF39,PUNKTID!A$3),ETAPP!A$1:A$32,0))&amp;INDEX(ETAPP!B$1:B$32,MATCH(COUNTIF(V39:AF39,PUNKTID!A$4),ETAPP!A$1:A$32,0))&amp;INDEX(ETAPP!B$1:B$32,MATCH(COUNTIF(V39:AF39,PUNKTID!A$5),ETAPP!A$1:A$32,0))&amp;INDEX(ETAPP!B$1:B$32,MATCH(COUNTIF(V39:AF39,PUNKTID!A$6),ETAPP!A$1:A$32,0))&amp;INDEX(ETAPP!B$1:B$32,MATCH(COUNTIF(V39:AF39,PUNKTID!A$7),ETAPP!A$1:A$32,0))&amp;INDEX(ETAPP!B$1:B$32,MATCH(COUNTIF(V39:AF39,PUNKTID!A$8),ETAPP!A$1:A$32,0))&amp;INDEX(ETAPP!B$1:B$32,MATCH(COUNTIF(V39:AF39,PUNKTID!A$9),ETAPP!A$1:A$32,0))&amp;INDEX(ETAPP!B$1:B$32,MATCH(COUNTIF(V39:AF39,PUNKTID!A$10),ETAPP!A$1:A$32,0))&amp;INDEX(ETAPP!B$1:B$32,MATCH(COUNTIF(V39:AF39,PUNKTID!A$11),ETAPP!A$1:A$32,0))&amp;INDEX(ETAPP!B$1:B$32,MATCH(COUNTIF(V39:AF39,PUNKTID!A$12),ETAPP!A$1:A$32,0))&amp;INDEX(ETAPP!B$1:B$32,MATCH(COUNTIF(V39:AF39,PUNKTID!A$13),ETAPP!A$1:A$32,0))&amp;INDEX(ETAPP!B$1:B$32,MATCH(COUNTIF(V39:AF39,PUNKTID!A$14),ETAPP!A$1:A$32,0))</f>
        <v>0000B0000C0A0E</v>
      </c>
      <c r="M39" s="397" t="str">
        <f t="shared" ca="1" si="6"/>
        <v>025,0-0000B0000C0A0E</v>
      </c>
      <c r="N39" s="320">
        <f t="shared" ca="1" si="7"/>
        <v>31</v>
      </c>
      <c r="O39" s="320">
        <f t="shared" si="8"/>
        <v>20</v>
      </c>
      <c r="P39" s="397" t="str">
        <f t="shared" ca="1" si="9"/>
        <v>025,0-0000B0000C0A0E-020</v>
      </c>
      <c r="Q39" s="320">
        <f t="shared" ca="1" si="10"/>
        <v>69</v>
      </c>
      <c r="R39" s="328" t="s">
        <v>562</v>
      </c>
      <c r="S39" s="380"/>
      <c r="T39" s="400" t="s">
        <v>605</v>
      </c>
      <c r="U39" s="559"/>
      <c r="V39" s="97">
        <f>IFERROR(INDEX('1'!C$300:C$400,MATCH("*"&amp;I39&amp;"*",'1'!B$300:B$400,0)),"  ")</f>
        <v>1</v>
      </c>
      <c r="W39" s="97">
        <f>IFERROR(INDEX('2'!C$300:C$400,MATCH("*"&amp;I39&amp;"*",'2'!B$300:B$400,0)),"  ")</f>
        <v>2</v>
      </c>
      <c r="X39" s="97">
        <f>IFERROR(INDEX('3'!C$300:C$400,MATCH("*"&amp;I39&amp;"*",'3'!B$300:B$400,0)),"  ")</f>
        <v>9</v>
      </c>
      <c r="Y39" s="97">
        <f>IFERROR(INDEX('4'!C$300:C$400,MATCH("*"&amp;I39&amp;"*",'4'!B$300:B$400,0)),"  ")</f>
        <v>2</v>
      </c>
      <c r="Z39" s="97">
        <f>IFERROR(INDEX('5'!C$300:C$400,MATCH("*"&amp;I39&amp;"*",'5'!B$300:B$400,0)),"  ")</f>
        <v>2</v>
      </c>
      <c r="AA39" s="97">
        <f>IFERROR(INDEX('6'!C$300:C$400,MATCH("*"&amp;I39&amp;"*",'6'!B$300:B$400,0)),"  ")</f>
        <v>9</v>
      </c>
      <c r="AB39" s="97" t="str">
        <f>IFERROR(INDEX('7'!C$300:C$400,MATCH("*"&amp;I39&amp;"*",'7'!B$300:B$400,0)),"  ")</f>
        <v xml:space="preserve">  </v>
      </c>
      <c r="AC39" s="97" t="str">
        <f>IFERROR(INDEX('8'!C$300:C$400,MATCH("*"&amp;I39&amp;"*",'8'!B$300:B$400,0)),"  ")</f>
        <v xml:space="preserve">  </v>
      </c>
      <c r="AD39" s="97" t="str">
        <f ca="1">IFERROR(INDEX('9'!C$300:C$400,MATCH("*"&amp;I39&amp;"*",'9'!B$300:B$400,0)),"  ")</f>
        <v xml:space="preserve">  </v>
      </c>
      <c r="AE39" s="97" t="str">
        <f>IFERROR(INDEX('10'!C$300:C$400,MATCH("*"&amp;I39&amp;"*",'10'!B$300:B$400,0)),"  ")</f>
        <v xml:space="preserve">  </v>
      </c>
      <c r="AF39" s="97" t="str">
        <f>IFERROR(INDEX('11'!C$300:C$400,MATCH("*"&amp;I39&amp;"*",'11'!B$300:B$400,0)),"  ")</f>
        <v xml:space="preserve">  </v>
      </c>
      <c r="AG39" s="294">
        <f t="shared" ca="1" si="11"/>
        <v>6</v>
      </c>
      <c r="AH39" s="794">
        <f t="shared" ca="1" si="12"/>
        <v>0</v>
      </c>
      <c r="AI39" s="796">
        <f t="shared" ca="1" si="13"/>
        <v>0</v>
      </c>
      <c r="AJ39" s="303">
        <f t="shared" ca="1" si="14"/>
        <v>0</v>
      </c>
      <c r="AK39" s="405">
        <f t="shared" si="15"/>
        <v>6.9999999999999999E-4</v>
      </c>
      <c r="AL39" s="405">
        <f t="shared" ca="1" si="16"/>
        <v>8.9999999999999998E-4</v>
      </c>
      <c r="AM39" s="442">
        <f t="array" aca="1" ref="AM39" ca="1">MIN(IF(V$5:AF$5="ESMV",IF(V39:AF39="  ",FALSE,V39:AF39)+COLUMN(V:AF)/10000))</f>
        <v>3.0000000000000001E-3</v>
      </c>
      <c r="AN39" s="405">
        <f t="shared" si="17"/>
        <v>8.0000000000000004E-4</v>
      </c>
    </row>
    <row r="40" spans="1:40" s="2" customFormat="1" x14ac:dyDescent="0.2">
      <c r="A40" s="328" t="s">
        <v>257</v>
      </c>
      <c r="B40" s="331" t="str">
        <f t="shared" si="1"/>
        <v/>
      </c>
      <c r="C40" s="329" t="str">
        <f t="shared" si="2"/>
        <v/>
      </c>
      <c r="D40" s="907" t="s">
        <v>257</v>
      </c>
      <c r="E40" s="331" t="str">
        <f t="shared" si="3"/>
        <v/>
      </c>
      <c r="F40" s="330" t="str">
        <f t="shared" si="4"/>
        <v/>
      </c>
      <c r="G40" s="390">
        <f t="shared" ca="1" si="5"/>
        <v>32</v>
      </c>
      <c r="H40" s="76">
        <v>32</v>
      </c>
      <c r="I40" s="98" t="s">
        <v>144</v>
      </c>
      <c r="J40" s="800">
        <v>23</v>
      </c>
      <c r="K40" s="801">
        <f t="array" aca="1" ref="K40" ca="1">(IF(COUNT(V40,X40,AA40,AB40,AC40,AE40)&lt;4,SUM(V40,X40,AA40,AB40,AC40,AE40),SUM(LARGE((V40,X40,AA40,AB40,AC40,AE40),{1;2;3;4}))))+(IF(COUNT(W40,Y40,Z40,AD40,AF40)&lt;4,SUM(W40,Y40,Z40,AD40,AF40),SUM(LARGE((W40,Y40,Z40,AD40,AF40),{1;2;3;4}))))</f>
        <v>23</v>
      </c>
      <c r="L40" s="397" t="str">
        <f ca="1">INDEX(ETAPP!B$1:B$32,MATCH(COUNTIF(V40:AF40,PUNKTID!A$1),ETAPP!A$1:A$32,0))&amp;INDEX(ETAPP!B$1:B$32,MATCH(COUNTIF(V40:AF40,PUNKTID!A$2),ETAPP!A$1:A$32,0))&amp;INDEX(ETAPP!B$1:B$32,MATCH(COUNTIF(V40:AF40,PUNKTID!A$3),ETAPP!A$1:A$32,0))&amp;INDEX(ETAPP!B$1:B$32,MATCH(COUNTIF(V40:AF40,PUNKTID!A$4),ETAPP!A$1:A$32,0))&amp;INDEX(ETAPP!B$1:B$32,MATCH(COUNTIF(V40:AF40,PUNKTID!A$5),ETAPP!A$1:A$32,0))&amp;INDEX(ETAPP!B$1:B$32,MATCH(COUNTIF(V40:AF40,PUNKTID!A$6),ETAPP!A$1:A$32,0))&amp;INDEX(ETAPP!B$1:B$32,MATCH(COUNTIF(V40:AF40,PUNKTID!A$7),ETAPP!A$1:A$32,0))&amp;INDEX(ETAPP!B$1:B$32,MATCH(COUNTIF(V40:AF40,PUNKTID!A$8),ETAPP!A$1:A$32,0))&amp;INDEX(ETAPP!B$1:B$32,MATCH(COUNTIF(V40:AF40,PUNKTID!A$9),ETAPP!A$1:A$32,0))&amp;INDEX(ETAPP!B$1:B$32,MATCH(COUNTIF(V40:AF40,PUNKTID!A$10),ETAPP!A$1:A$32,0))&amp;INDEX(ETAPP!B$1:B$32,MATCH(COUNTIF(V40:AF40,PUNKTID!A$11),ETAPP!A$1:A$32,0))&amp;INDEX(ETAPP!B$1:B$32,MATCH(COUNTIF(V40:AF40,PUNKTID!A$12),ETAPP!A$1:A$32,0))&amp;INDEX(ETAPP!B$1:B$32,MATCH(COUNTIF(V40:AF40,PUNKTID!A$13),ETAPP!A$1:A$32,0))&amp;INDEX(ETAPP!B$1:B$32,MATCH(COUNTIF(V40:AF40,PUNKTID!A$14),ETAPP!A$1:A$32,0))</f>
        <v>000A0A00A00A0G</v>
      </c>
      <c r="M40" s="397" t="str">
        <f t="shared" ca="1" si="6"/>
        <v>023,0-000A0A00A00A0G</v>
      </c>
      <c r="N40" s="320">
        <f t="shared" ca="1" si="7"/>
        <v>32</v>
      </c>
      <c r="O40" s="320">
        <f t="shared" si="8"/>
        <v>76</v>
      </c>
      <c r="P40" s="397" t="str">
        <f t="shared" ca="1" si="9"/>
        <v>023,0-000A0A00A00A0G-076</v>
      </c>
      <c r="Q40" s="320">
        <f t="shared" ca="1" si="10"/>
        <v>68</v>
      </c>
      <c r="R40" s="328"/>
      <c r="S40" s="380"/>
      <c r="T40" s="400"/>
      <c r="U40" s="559"/>
      <c r="V40" s="97">
        <f>IFERROR(INDEX('1'!C$300:C$400,MATCH("*"&amp;I40&amp;"*",'1'!B$300:B$400,0)),"  ")</f>
        <v>7</v>
      </c>
      <c r="W40" s="97" t="str">
        <f>IFERROR(INDEX('2'!C$300:C$400,MATCH("*"&amp;I40&amp;"*",'2'!B$300:B$400,0)),"  ")</f>
        <v xml:space="preserve">  </v>
      </c>
      <c r="X40" s="97">
        <f>IFERROR(INDEX('3'!C$300:C$400,MATCH("*"&amp;I40&amp;"*",'3'!B$300:B$400,0)),"  ")</f>
        <v>1</v>
      </c>
      <c r="Y40" s="97" t="str">
        <f>IFERROR(INDEX('4'!C$300:C$400,MATCH("*"&amp;I40&amp;"*",'4'!B$300:B$400,0)),"  ")</f>
        <v xml:space="preserve">  </v>
      </c>
      <c r="Z40" s="97" t="str">
        <f>IFERROR(INDEX('5'!C$300:C$400,MATCH("*"&amp;I40&amp;"*",'5'!B$300:B$400,0)),"  ")</f>
        <v xml:space="preserve">  </v>
      </c>
      <c r="AA40" s="97" t="str">
        <f>IFERROR(INDEX('6'!C$300:C$400,MATCH("*"&amp;I40&amp;"*",'6'!B$300:B$400,0)),"  ")</f>
        <v xml:space="preserve">  </v>
      </c>
      <c r="AB40" s="97" t="str">
        <f>IFERROR(INDEX('7'!C$300:C$400,MATCH("*"&amp;I40&amp;"*",'7'!B$300:B$400,0)),"  ")</f>
        <v xml:space="preserve">  </v>
      </c>
      <c r="AC40" s="97" t="str">
        <f>IFERROR(INDEX('8'!C$300:C$400,MATCH("*"&amp;I40&amp;"*",'8'!B$300:B$400,0)),"  ")</f>
        <v xml:space="preserve">  </v>
      </c>
      <c r="AD40" s="97" t="str">
        <f ca="1">IFERROR(INDEX('9'!C$300:C$400,MATCH("*"&amp;I40&amp;"*",'9'!B$300:B$400,0)),"  ")</f>
        <v xml:space="preserve">  </v>
      </c>
      <c r="AE40" s="97">
        <f>IFERROR(INDEX('10'!C$300:C$400,MATCH("*"&amp;I40&amp;"*",'10'!B$300:B$400,0)),"  ")</f>
        <v>3</v>
      </c>
      <c r="AF40" s="97">
        <f>IFERROR(INDEX('11'!C$300:C$400,MATCH("*"&amp;I40&amp;"*",'11'!B$300:B$400,0)),"  ")</f>
        <v>12</v>
      </c>
      <c r="AG40" s="294">
        <f t="shared" ca="1" si="11"/>
        <v>4</v>
      </c>
      <c r="AH40" s="794">
        <f t="shared" ca="1" si="12"/>
        <v>0</v>
      </c>
      <c r="AI40" s="796">
        <f t="shared" ca="1" si="13"/>
        <v>0</v>
      </c>
      <c r="AJ40" s="303">
        <f t="shared" ca="1" si="14"/>
        <v>0</v>
      </c>
      <c r="AK40" s="405">
        <f t="shared" si="15"/>
        <v>5.9999999999999995E-4</v>
      </c>
      <c r="AL40" s="405">
        <f t="shared" ca="1" si="16"/>
        <v>2.0000000000000001E-4</v>
      </c>
      <c r="AM40" s="442">
        <f t="array" aca="1" ref="AM40" ca="1">MIN(IF(V$5:AF$5="ESMV",IF(V40:AF40="  ",FALSE,V40:AF40)+COLUMN(V:AF)/10000))</f>
        <v>2.3E-3</v>
      </c>
      <c r="AN40" s="405">
        <f t="shared" si="17"/>
        <v>6.9999999999999999E-4</v>
      </c>
    </row>
    <row r="41" spans="1:40" s="2" customFormat="1" x14ac:dyDescent="0.2">
      <c r="A41" s="328">
        <v>9</v>
      </c>
      <c r="B41" s="331">
        <f t="shared" ref="B41:B72" ca="1" si="18">IF(C41="","",COUNTIF(C$9:C$107,"&gt;="&amp;C41))</f>
        <v>9</v>
      </c>
      <c r="C41" s="329" t="str">
        <f t="shared" ref="C41:C72" ca="1" si="19">IF(R41="n",M41,"")</f>
        <v>023,0-000000D00A0A0E</v>
      </c>
      <c r="D41" s="907" t="s">
        <v>257</v>
      </c>
      <c r="E41" s="331" t="str">
        <f t="shared" ref="E41:E72" si="20">IF(F41="","",COUNTIF(F$9:F$107,"&gt;="&amp;F41))</f>
        <v/>
      </c>
      <c r="F41" s="330" t="str">
        <f t="shared" ref="F41:F72" si="21">IF(S41="j",M41,"")</f>
        <v/>
      </c>
      <c r="G41" s="390">
        <f t="shared" ref="G41:G72" ca="1" si="22">RANK(N41,N$9:N$107,1)</f>
        <v>33</v>
      </c>
      <c r="H41" s="76">
        <v>33</v>
      </c>
      <c r="I41" s="83" t="s">
        <v>36</v>
      </c>
      <c r="J41" s="800">
        <v>23</v>
      </c>
      <c r="K41" s="801">
        <f t="array" aca="1" ref="K41" ca="1">(IF(COUNT(V41,X41,AA41,AB41,AC41,AE41)&lt;4,SUM(V41,X41,AA41,AB41,AC41,AE41),SUM(LARGE((V41,X41,AA41,AB41,AC41,AE41),{1;2;3;4}))))+(IF(COUNT(W41,Y41,Z41,AD41,AF41)&lt;4,SUM(W41,Y41,Z41,AD41,AF41),SUM(LARGE((W41,Y41,Z41,AD41,AF41),{1;2;3;4}))))</f>
        <v>23</v>
      </c>
      <c r="L41" s="397" t="str">
        <f ca="1">INDEX(ETAPP!B$1:B$32,MATCH(COUNTIF(V41:AF41,PUNKTID!A$1),ETAPP!A$1:A$32,0))&amp;INDEX(ETAPP!B$1:B$32,MATCH(COUNTIF(V41:AF41,PUNKTID!A$2),ETAPP!A$1:A$32,0))&amp;INDEX(ETAPP!B$1:B$32,MATCH(COUNTIF(V41:AF41,PUNKTID!A$3),ETAPP!A$1:A$32,0))&amp;INDEX(ETAPP!B$1:B$32,MATCH(COUNTIF(V41:AF41,PUNKTID!A$4),ETAPP!A$1:A$32,0))&amp;INDEX(ETAPP!B$1:B$32,MATCH(COUNTIF(V41:AF41,PUNKTID!A$5),ETAPP!A$1:A$32,0))&amp;INDEX(ETAPP!B$1:B$32,MATCH(COUNTIF(V41:AF41,PUNKTID!A$6),ETAPP!A$1:A$32,0))&amp;INDEX(ETAPP!B$1:B$32,MATCH(COUNTIF(V41:AF41,PUNKTID!A$7),ETAPP!A$1:A$32,0))&amp;INDEX(ETAPP!B$1:B$32,MATCH(COUNTIF(V41:AF41,PUNKTID!A$8),ETAPP!A$1:A$32,0))&amp;INDEX(ETAPP!B$1:B$32,MATCH(COUNTIF(V41:AF41,PUNKTID!A$9),ETAPP!A$1:A$32,0))&amp;INDEX(ETAPP!B$1:B$32,MATCH(COUNTIF(V41:AF41,PUNKTID!A$10),ETAPP!A$1:A$32,0))&amp;INDEX(ETAPP!B$1:B$32,MATCH(COUNTIF(V41:AF41,PUNKTID!A$11),ETAPP!A$1:A$32,0))&amp;INDEX(ETAPP!B$1:B$32,MATCH(COUNTIF(V41:AF41,PUNKTID!A$12),ETAPP!A$1:A$32,0))&amp;INDEX(ETAPP!B$1:B$32,MATCH(COUNTIF(V41:AF41,PUNKTID!A$13),ETAPP!A$1:A$32,0))&amp;INDEX(ETAPP!B$1:B$32,MATCH(COUNTIF(V41:AF41,PUNKTID!A$14),ETAPP!A$1:A$32,0))</f>
        <v>000000D00A0A0E</v>
      </c>
      <c r="M41" s="397" t="str">
        <f t="shared" ref="M41:M72" ca="1" si="23">TEXT(K41,"000,0")&amp;"-"&amp;L41</f>
        <v>023,0-000000D00A0A0E</v>
      </c>
      <c r="N41" s="320">
        <f t="shared" ref="N41:N72" ca="1" si="24">COUNTIF(M$9:M$107,"&gt;="&amp;M41)</f>
        <v>33</v>
      </c>
      <c r="O41" s="320">
        <f t="shared" ref="O41:O72" si="25">COUNTIF(I$9:I$107,"&gt;="&amp;I41)</f>
        <v>63</v>
      </c>
      <c r="P41" s="397" t="str">
        <f t="shared" ref="P41:P72" ca="1" si="26">TEXT(K41,"000,0")&amp;"-"&amp;L41&amp;"-"&amp;TEXT(O41,"000")</f>
        <v>023,0-000000D00A0A0E-063</v>
      </c>
      <c r="Q41" s="320">
        <f t="shared" ref="Q41:Q72" ca="1" si="27">COUNTIF(P$9:P$107,"&lt;="&amp;P41)</f>
        <v>67</v>
      </c>
      <c r="R41" s="328" t="s">
        <v>562</v>
      </c>
      <c r="S41" s="380"/>
      <c r="T41" s="400"/>
      <c r="U41" s="559"/>
      <c r="V41" s="97">
        <f>IFERROR(INDEX('1'!C$300:C$400,MATCH("*"&amp;I41&amp;"*",'1'!B$300:B$400,0)),"  ")</f>
        <v>5</v>
      </c>
      <c r="W41" s="97">
        <f>IFERROR(INDEX('2'!C$300:C$400,MATCH("*"&amp;I41&amp;"*",'2'!B$300:B$400,0)),"  ")</f>
        <v>5</v>
      </c>
      <c r="X41" s="97" t="str">
        <f>IFERROR(INDEX('3'!C$300:C$400,MATCH("*"&amp;I41&amp;"*",'3'!B$300:B$400,0)),"  ")</f>
        <v xml:space="preserve">  </v>
      </c>
      <c r="Y41" s="97">
        <f>IFERROR(INDEX('4'!C$300:C$400,MATCH("*"&amp;I41&amp;"*",'4'!B$300:B$400,0)),"  ")</f>
        <v>2</v>
      </c>
      <c r="Z41" s="97" t="str">
        <f>IFERROR(INDEX('5'!C$300:C$400,MATCH("*"&amp;I41&amp;"*",'5'!B$300:B$400,0)),"  ")</f>
        <v xml:space="preserve">  </v>
      </c>
      <c r="AA41" s="97" t="str">
        <f>IFERROR(INDEX('6'!C$300:C$400,MATCH("*"&amp;I41&amp;"*",'6'!B$300:B$400,0)),"  ")</f>
        <v xml:space="preserve">  </v>
      </c>
      <c r="AB41" s="97" t="str">
        <f>IFERROR(INDEX('7'!C$300:C$400,MATCH("*"&amp;I41&amp;"*",'7'!B$300:B$400,0)),"  ")</f>
        <v xml:space="preserve">  </v>
      </c>
      <c r="AC41" s="97">
        <f>IFERROR(INDEX('8'!C$300:C$400,MATCH("*"&amp;I41&amp;"*",'8'!B$300:B$400,0)),"  ")</f>
        <v>1</v>
      </c>
      <c r="AD41" s="97" t="str">
        <f ca="1">IFERROR(INDEX('9'!C$300:C$400,MATCH("*"&amp;I41&amp;"*",'9'!B$300:B$400,0)),"  ")</f>
        <v xml:space="preserve">  </v>
      </c>
      <c r="AE41" s="97">
        <f>IFERROR(INDEX('10'!C$300:C$400,MATCH("*"&amp;I41&amp;"*",'10'!B$300:B$400,0)),"  ")</f>
        <v>5</v>
      </c>
      <c r="AF41" s="97">
        <f>IFERROR(INDEX('11'!C$300:C$400,MATCH("*"&amp;I41&amp;"*",'11'!B$300:B$400,0)),"  ")</f>
        <v>5</v>
      </c>
      <c r="AG41" s="294">
        <f t="shared" ref="AG41:AG72" ca="1" si="28">COUNTIF(V41:AF41,"&gt;=0")</f>
        <v>6</v>
      </c>
      <c r="AH41" s="794">
        <f t="shared" ref="AH41:AH72" ca="1" si="29">COUNTIF(V41,"&gt;=12")+COUNTIF(X41,"&gt;=12")+COUNTIF(AA41:AC41,"&gt;=12")+COUNTIF(AE41,"&gt;=12")+COUNTIF(W41,"&gt;=16")+COUNTIF(Y41:Z41,"&gt;=16")+COUNTIF(AD41,"&gt;=16")+COUNTIF(AF41,"&gt;=16")</f>
        <v>0</v>
      </c>
      <c r="AI41" s="796">
        <f t="shared" ref="AI41:AI72" ca="1" si="30">COUNTIF(V41,"=20")+COUNTIF(X41,"=20")+COUNTIF(AA41:AC41,"=20")+COUNTIF(AE41,"=20")+COUNTIF(V41:AF41,"=25")</f>
        <v>0</v>
      </c>
      <c r="AJ41" s="303">
        <f t="shared" ref="AJ41:AJ72" ca="1" si="31">COUNTIF(V41:AF41,"=25")</f>
        <v>0</v>
      </c>
      <c r="AK41" s="405">
        <f t="shared" ref="AK41:AK72" si="32">MIN(IF($V41="  ",FALSE,$V41)+$V$8/10000,IF($X41="  ",FALSE,$X41)+$X$8/10000,IF($AA41="  ",FALSE,$AA41)+$AA$8/10000,IF($AB41="  ",FALSE,$AB41)+$AB$8/10000,IF($AC41="  ",FALSE,$AC41)+$AC$8/10000,IF($AE41="  ",FALSE,$AE41)+$AE$8/10000)</f>
        <v>2.9999999999999997E-4</v>
      </c>
      <c r="AL41" s="405">
        <f t="shared" ref="AL41:AL72" ca="1" si="33">MIN(IF($W41="  ",FALSE,$W41)+$W$8/10000,IF($Y41="  ",FALSE,$Y41)+$Y$8/10000,IF($Z41="  ",FALSE,$Z41)+$Z$8/10000,IF($AD41="  ",FALSE,$AD41)+$AD$8/10000,IF($AF41="  ",FALSE,$AF41)+$AF$8/10000)</f>
        <v>5.0000000000000001E-4</v>
      </c>
      <c r="AM41" s="442">
        <f t="array" aca="1" ref="AM41" ca="1">MIN(IF(V$5:AF$5="ESMV",IF(V41:AF41="  ",FALSE,V41:AF41)+COLUMN(V:AF)/10000))</f>
        <v>2.5999999999999999E-3</v>
      </c>
      <c r="AN41" s="405">
        <f t="shared" si="17"/>
        <v>5.9999999999999995E-4</v>
      </c>
    </row>
    <row r="42" spans="1:40" s="2" customFormat="1" x14ac:dyDescent="0.2">
      <c r="A42" s="328" t="s">
        <v>257</v>
      </c>
      <c r="B42" s="331" t="str">
        <f t="shared" si="18"/>
        <v/>
      </c>
      <c r="C42" s="329" t="str">
        <f t="shared" si="19"/>
        <v/>
      </c>
      <c r="D42" s="907" t="s">
        <v>257</v>
      </c>
      <c r="E42" s="331" t="str">
        <f t="shared" si="20"/>
        <v/>
      </c>
      <c r="F42" s="330" t="str">
        <f t="shared" si="21"/>
        <v/>
      </c>
      <c r="G42" s="390">
        <f t="shared" ca="1" si="22"/>
        <v>34</v>
      </c>
      <c r="H42" s="76">
        <v>34</v>
      </c>
      <c r="I42" s="98" t="s">
        <v>193</v>
      </c>
      <c r="J42" s="800">
        <v>22</v>
      </c>
      <c r="K42" s="801">
        <f t="array" aca="1" ref="K42" ca="1">(IF(COUNT(V42,X42,AA42,AB42,AC42,AE42)&lt;4,SUM(V42,X42,AA42,AB42,AC42,AE42),SUM(LARGE((V42,X42,AA42,AB42,AC42,AE42),{1;2;3;4}))))+(IF(COUNT(W42,Y42,Z42,AD42,AF42)&lt;4,SUM(W42,Y42,Z42,AD42,AF42),SUM(LARGE((W42,Y42,Z42,AD42,AF42),{1;2;3;4}))))</f>
        <v>22</v>
      </c>
      <c r="L42" s="397" t="str">
        <f ca="1">INDEX(ETAPP!B$1:B$32,MATCH(COUNTIF(V42:AF42,PUNKTID!A$1),ETAPP!A$1:A$32,0))&amp;INDEX(ETAPP!B$1:B$32,MATCH(COUNTIF(V42:AF42,PUNKTID!A$2),ETAPP!A$1:A$32,0))&amp;INDEX(ETAPP!B$1:B$32,MATCH(COUNTIF(V42:AF42,PUNKTID!A$3),ETAPP!A$1:A$32,0))&amp;INDEX(ETAPP!B$1:B$32,MATCH(COUNTIF(V42:AF42,PUNKTID!A$4),ETAPP!A$1:A$32,0))&amp;INDEX(ETAPP!B$1:B$32,MATCH(COUNTIF(V42:AF42,PUNKTID!A$5),ETAPP!A$1:A$32,0))&amp;INDEX(ETAPP!B$1:B$32,MATCH(COUNTIF(V42:AF42,PUNKTID!A$6),ETAPP!A$1:A$32,0))&amp;INDEX(ETAPP!B$1:B$32,MATCH(COUNTIF(V42:AF42,PUNKTID!A$7),ETAPP!A$1:A$32,0))&amp;INDEX(ETAPP!B$1:B$32,MATCH(COUNTIF(V42:AF42,PUNKTID!A$8),ETAPP!A$1:A$32,0))&amp;INDEX(ETAPP!B$1:B$32,MATCH(COUNTIF(V42:AF42,PUNKTID!A$9),ETAPP!A$1:A$32,0))&amp;INDEX(ETAPP!B$1:B$32,MATCH(COUNTIF(V42:AF42,PUNKTID!A$10),ETAPP!A$1:A$32,0))&amp;INDEX(ETAPP!B$1:B$32,MATCH(COUNTIF(V42:AF42,PUNKTID!A$11),ETAPP!A$1:A$32,0))&amp;INDEX(ETAPP!B$1:B$32,MATCH(COUNTIF(V42:AF42,PUNKTID!A$12),ETAPP!A$1:A$32,0))&amp;INDEX(ETAPP!B$1:B$32,MATCH(COUNTIF(V42:AF42,PUNKTID!A$13),ETAPP!A$1:A$32,0))&amp;INDEX(ETAPP!B$1:B$32,MATCH(COUNTIF(V42:AF42,PUNKTID!A$14),ETAPP!A$1:A$32,0))</f>
        <v>0A0000000A000D</v>
      </c>
      <c r="M42" s="397" t="str">
        <f t="shared" ca="1" si="23"/>
        <v>022,0-0A0000000A000D</v>
      </c>
      <c r="N42" s="320">
        <f t="shared" ca="1" si="24"/>
        <v>34</v>
      </c>
      <c r="O42" s="320">
        <f t="shared" si="25"/>
        <v>96</v>
      </c>
      <c r="P42" s="397" t="str">
        <f t="shared" ca="1" si="26"/>
        <v>022,0-0A0000000A000D-096</v>
      </c>
      <c r="Q42" s="320">
        <f t="shared" ca="1" si="27"/>
        <v>66</v>
      </c>
      <c r="R42" s="328"/>
      <c r="S42" s="380"/>
      <c r="T42" s="400"/>
      <c r="U42" s="559"/>
      <c r="V42" s="97" t="str">
        <f>IFERROR(INDEX('1'!C$300:C$400,MATCH("*"&amp;I42&amp;"*",'1'!B$300:B$400,0)),"  ")</f>
        <v xml:space="preserve">  </v>
      </c>
      <c r="W42" s="97" t="str">
        <f>IFERROR(INDEX('2'!C$300:C$400,MATCH("*"&amp;I42&amp;"*",'2'!B$300:B$400,0)),"  ")</f>
        <v xml:space="preserve">  </v>
      </c>
      <c r="X42" s="97" t="str">
        <f>IFERROR(INDEX('3'!C$300:C$400,MATCH("*"&amp;I42&amp;"*",'3'!B$300:B$400,0)),"  ")</f>
        <v xml:space="preserve">  </v>
      </c>
      <c r="Y42" s="97" t="str">
        <f>IFERROR(INDEX('4'!C$300:C$400,MATCH("*"&amp;I42&amp;"*",'4'!B$300:B$400,0)),"  ")</f>
        <v xml:space="preserve">  </v>
      </c>
      <c r="Z42" s="97">
        <f>IFERROR(INDEX('5'!C$300:C$400,MATCH("*"&amp;I42&amp;"*",'5'!B$300:B$400,0)),"  ")</f>
        <v>2</v>
      </c>
      <c r="AA42" s="97">
        <f>IFERROR(INDEX('6'!C$300:C$400,MATCH("*"&amp;I42&amp;"*",'6'!B$300:B$400,0)),"  ")</f>
        <v>20</v>
      </c>
      <c r="AB42" s="97" t="str">
        <f>IFERROR(INDEX('7'!C$300:C$400,MATCH("*"&amp;I42&amp;"*",'7'!B$300:B$400,0)),"  ")</f>
        <v xml:space="preserve">  </v>
      </c>
      <c r="AC42" s="97" t="str">
        <f>IFERROR(INDEX('8'!C$300:C$400,MATCH("*"&amp;I42&amp;"*",'8'!B$300:B$400,0)),"  ")</f>
        <v xml:space="preserve">  </v>
      </c>
      <c r="AD42" s="97" t="str">
        <f ca="1">IFERROR(INDEX('9'!C$300:C$400,MATCH("*"&amp;I42&amp;"*",'9'!B$300:B$400,0)),"  ")</f>
        <v xml:space="preserve">  </v>
      </c>
      <c r="AE42" s="97" t="str">
        <f>IFERROR(INDEX('10'!C$300:C$400,MATCH("*"&amp;I42&amp;"*",'10'!B$300:B$400,0)),"  ")</f>
        <v xml:space="preserve">  </v>
      </c>
      <c r="AF42" s="97" t="str">
        <f>IFERROR(INDEX('11'!C$300:C$400,MATCH("*"&amp;I42&amp;"*",'11'!B$300:B$400,0)),"  ")</f>
        <v xml:space="preserve">  </v>
      </c>
      <c r="AG42" s="294">
        <f t="shared" ca="1" si="28"/>
        <v>2</v>
      </c>
      <c r="AH42" s="794">
        <f t="shared" ca="1" si="29"/>
        <v>1</v>
      </c>
      <c r="AI42" s="796">
        <f t="shared" ca="1" si="30"/>
        <v>1</v>
      </c>
      <c r="AJ42" s="303">
        <f t="shared" ca="1" si="31"/>
        <v>0</v>
      </c>
      <c r="AK42" s="405">
        <f t="shared" si="32"/>
        <v>1E-4</v>
      </c>
      <c r="AL42" s="405">
        <f t="shared" ca="1" si="33"/>
        <v>2.0000000000000001E-4</v>
      </c>
      <c r="AM42" s="442">
        <f t="array" aca="1" ref="AM42" ca="1">MIN(IF(V$5:AF$5="ESMV",IF(V42:AF42="  ",FALSE,V42:AF42)+COLUMN(V:AF)/10000))</f>
        <v>2.3E-3</v>
      </c>
      <c r="AN42" s="405">
        <f t="shared" si="17"/>
        <v>2.9999999999999997E-4</v>
      </c>
    </row>
    <row r="43" spans="1:40" s="2" customFormat="1" x14ac:dyDescent="0.2">
      <c r="A43" s="328" t="s">
        <v>257</v>
      </c>
      <c r="B43" s="331" t="str">
        <f t="shared" si="18"/>
        <v/>
      </c>
      <c r="C43" s="329" t="str">
        <f t="shared" si="19"/>
        <v/>
      </c>
      <c r="D43" s="907" t="s">
        <v>257</v>
      </c>
      <c r="E43" s="331" t="str">
        <f t="shared" si="20"/>
        <v/>
      </c>
      <c r="F43" s="330" t="str">
        <f t="shared" si="21"/>
        <v/>
      </c>
      <c r="G43" s="390">
        <f t="shared" ca="1" si="22"/>
        <v>35</v>
      </c>
      <c r="H43" s="76">
        <v>35</v>
      </c>
      <c r="I43" s="98" t="s">
        <v>46</v>
      </c>
      <c r="J43" s="800">
        <v>22</v>
      </c>
      <c r="K43" s="801">
        <f t="array" aca="1" ref="K43" ca="1">(IF(COUNT(V43,X43,AA43,AB43,AC43,AE43)&lt;4,SUM(V43,X43,AA43,AB43,AC43,AE43),SUM(LARGE((V43,X43,AA43,AB43,AC43,AE43),{1;2;3;4}))))+(IF(COUNT(W43,Y43,Z43,AD43,AF43)&lt;4,SUM(W43,Y43,Z43,AD43,AF43),SUM(LARGE((W43,Y43,Z43,AD43,AF43),{1;2;3;4}))))</f>
        <v>22</v>
      </c>
      <c r="L43" s="397" t="str">
        <f ca="1">INDEX(ETAPP!B$1:B$32,MATCH(COUNTIF(V43:AF43,PUNKTID!A$1),ETAPP!A$1:A$32,0))&amp;INDEX(ETAPP!B$1:B$32,MATCH(COUNTIF(V43:AF43,PUNKTID!A$2),ETAPP!A$1:A$32,0))&amp;INDEX(ETAPP!B$1:B$32,MATCH(COUNTIF(V43:AF43,PUNKTID!A$3),ETAPP!A$1:A$32,0))&amp;INDEX(ETAPP!B$1:B$32,MATCH(COUNTIF(V43:AF43,PUNKTID!A$4),ETAPP!A$1:A$32,0))&amp;INDEX(ETAPP!B$1:B$32,MATCH(COUNTIF(V43:AF43,PUNKTID!A$5),ETAPP!A$1:A$32,0))&amp;INDEX(ETAPP!B$1:B$32,MATCH(COUNTIF(V43:AF43,PUNKTID!A$6),ETAPP!A$1:A$32,0))&amp;INDEX(ETAPP!B$1:B$32,MATCH(COUNTIF(V43:AF43,PUNKTID!A$7),ETAPP!A$1:A$32,0))&amp;INDEX(ETAPP!B$1:B$32,MATCH(COUNTIF(V43:AF43,PUNKTID!A$8),ETAPP!A$1:A$32,0))&amp;INDEX(ETAPP!B$1:B$32,MATCH(COUNTIF(V43:AF43,PUNKTID!A$9),ETAPP!A$1:A$32,0))&amp;INDEX(ETAPP!B$1:B$32,MATCH(COUNTIF(V43:AF43,PUNKTID!A$10),ETAPP!A$1:A$32,0))&amp;INDEX(ETAPP!B$1:B$32,MATCH(COUNTIF(V43:AF43,PUNKTID!A$11),ETAPP!A$1:A$32,0))&amp;INDEX(ETAPP!B$1:B$32,MATCH(COUNTIF(V43:AF43,PUNKTID!A$12),ETAPP!A$1:A$32,0))&amp;INDEX(ETAPP!B$1:B$32,MATCH(COUNTIF(V43:AF43,PUNKTID!A$13),ETAPP!A$1:A$32,0))&amp;INDEX(ETAPP!B$1:B$32,MATCH(COUNTIF(V43:AF43,PUNKTID!A$14),ETAPP!A$1:A$32,0))</f>
        <v>000A0A000A0A0G</v>
      </c>
      <c r="M43" s="397" t="str">
        <f t="shared" ca="1" si="23"/>
        <v>022,0-000A0A000A0A0G</v>
      </c>
      <c r="N43" s="320">
        <f t="shared" ca="1" si="24"/>
        <v>35</v>
      </c>
      <c r="O43" s="320">
        <f t="shared" si="25"/>
        <v>47</v>
      </c>
      <c r="P43" s="397" t="str">
        <f t="shared" ca="1" si="26"/>
        <v>022,0-000A0A000A0A0G-047</v>
      </c>
      <c r="Q43" s="320">
        <f t="shared" ca="1" si="27"/>
        <v>65</v>
      </c>
      <c r="R43" s="328"/>
      <c r="S43" s="380"/>
      <c r="T43" s="400"/>
      <c r="U43" s="559"/>
      <c r="V43" s="97">
        <f>IFERROR(INDEX('1'!C$300:C$400,MATCH("*"&amp;I43&amp;"*",'1'!B$300:B$400,0)),"  ")</f>
        <v>7</v>
      </c>
      <c r="W43" s="97">
        <f>IFERROR(INDEX('2'!C$300:C$400,MATCH("*"&amp;I43&amp;"*",'2'!B$300:B$400,0)),"  ")</f>
        <v>12</v>
      </c>
      <c r="X43" s="97">
        <f>IFERROR(INDEX('3'!C$300:C$400,MATCH("*"&amp;I43&amp;"*",'3'!B$300:B$400,0)),"  ")</f>
        <v>1</v>
      </c>
      <c r="Y43" s="97">
        <f>IFERROR(INDEX('4'!C$300:C$400,MATCH("*"&amp;I43&amp;"*",'4'!B$300:B$400,0)),"  ")</f>
        <v>2</v>
      </c>
      <c r="Z43" s="97" t="str">
        <f>IFERROR(INDEX('5'!C$300:C$400,MATCH("*"&amp;I43&amp;"*",'5'!B$300:B$400,0)),"  ")</f>
        <v xml:space="preserve">  </v>
      </c>
      <c r="AA43" s="97" t="str">
        <f>IFERROR(INDEX('6'!C$300:C$400,MATCH("*"&amp;I43&amp;"*",'6'!B$300:B$400,0)),"  ")</f>
        <v xml:space="preserve">  </v>
      </c>
      <c r="AB43" s="97" t="str">
        <f>IFERROR(INDEX('7'!C$300:C$400,MATCH("*"&amp;I43&amp;"*",'7'!B$300:B$400,0)),"  ")</f>
        <v xml:space="preserve">  </v>
      </c>
      <c r="AC43" s="97" t="str">
        <f>IFERROR(INDEX('8'!C$300:C$400,MATCH("*"&amp;I43&amp;"*",'8'!B$300:B$400,0)),"  ")</f>
        <v xml:space="preserve">  </v>
      </c>
      <c r="AD43" s="97" t="str">
        <f ca="1">IFERROR(INDEX('9'!C$300:C$400,MATCH("*"&amp;I43&amp;"*",'9'!B$300:B$400,0)),"  ")</f>
        <v xml:space="preserve">  </v>
      </c>
      <c r="AE43" s="97" t="str">
        <f>IFERROR(INDEX('10'!C$300:C$400,MATCH("*"&amp;I43&amp;"*",'10'!B$300:B$400,0)),"  ")</f>
        <v xml:space="preserve">  </v>
      </c>
      <c r="AF43" s="97" t="str">
        <f>IFERROR(INDEX('11'!C$300:C$400,MATCH("*"&amp;I43&amp;"*",'11'!B$300:B$400,0)),"  ")</f>
        <v xml:space="preserve">  </v>
      </c>
      <c r="AG43" s="294">
        <f t="shared" ca="1" si="28"/>
        <v>4</v>
      </c>
      <c r="AH43" s="794">
        <f t="shared" ca="1" si="29"/>
        <v>0</v>
      </c>
      <c r="AI43" s="796">
        <f t="shared" ca="1" si="30"/>
        <v>0</v>
      </c>
      <c r="AJ43" s="303">
        <f t="shared" ca="1" si="31"/>
        <v>0</v>
      </c>
      <c r="AK43" s="405">
        <f t="shared" si="32"/>
        <v>5.9999999999999995E-4</v>
      </c>
      <c r="AL43" s="405">
        <f t="shared" ca="1" si="33"/>
        <v>5.0000000000000001E-4</v>
      </c>
      <c r="AM43" s="442">
        <f t="array" aca="1" ref="AM43" ca="1">MIN(IF(V$5:AF$5="ESMV",IF(V43:AF43="  ",FALSE,V43:AF43)+COLUMN(V:AF)/10000))</f>
        <v>2.5999999999999999E-3</v>
      </c>
      <c r="AN43" s="405">
        <f t="shared" si="17"/>
        <v>6.9999999999999999E-4</v>
      </c>
    </row>
    <row r="44" spans="1:40" s="2" customFormat="1" x14ac:dyDescent="0.2">
      <c r="A44" s="328" t="s">
        <v>257</v>
      </c>
      <c r="B44" s="331" t="str">
        <f t="shared" si="18"/>
        <v/>
      </c>
      <c r="C44" s="329" t="str">
        <f t="shared" si="19"/>
        <v/>
      </c>
      <c r="D44" s="907" t="s">
        <v>257</v>
      </c>
      <c r="E44" s="331" t="str">
        <f t="shared" si="20"/>
        <v/>
      </c>
      <c r="F44" s="330" t="str">
        <f t="shared" si="21"/>
        <v/>
      </c>
      <c r="G44" s="390">
        <f t="shared" ca="1" si="22"/>
        <v>36</v>
      </c>
      <c r="H44" s="76">
        <v>36</v>
      </c>
      <c r="I44" s="98" t="s">
        <v>38</v>
      </c>
      <c r="J44" s="800">
        <v>22</v>
      </c>
      <c r="K44" s="801">
        <f t="array" aca="1" ref="K44" ca="1">(IF(COUNT(V44,X44,AA44,AB44,AC44,AE44)&lt;4,SUM(V44,X44,AA44,AB44,AC44,AE44),SUM(LARGE((V44,X44,AA44,AB44,AC44,AE44),{1;2;3;4}))))+(IF(COUNT(W44,Y44,Z44,AD44,AF44)&lt;4,SUM(W44,Y44,Z44,AD44,AF44),SUM(LARGE((W44,Y44,Z44,AD44,AF44),{1;2;3;4}))))</f>
        <v>22</v>
      </c>
      <c r="L44" s="397" t="str">
        <f ca="1">INDEX(ETAPP!B$1:B$32,MATCH(COUNTIF(V44:AF44,PUNKTID!A$1),ETAPP!A$1:A$32,0))&amp;INDEX(ETAPP!B$1:B$32,MATCH(COUNTIF(V44:AF44,PUNKTID!A$2),ETAPP!A$1:A$32,0))&amp;INDEX(ETAPP!B$1:B$32,MATCH(COUNTIF(V44:AF44,PUNKTID!A$3),ETAPP!A$1:A$32,0))&amp;INDEX(ETAPP!B$1:B$32,MATCH(COUNTIF(V44:AF44,PUNKTID!A$4),ETAPP!A$1:A$32,0))&amp;INDEX(ETAPP!B$1:B$32,MATCH(COUNTIF(V44:AF44,PUNKTID!A$5),ETAPP!A$1:A$32,0))&amp;INDEX(ETAPP!B$1:B$32,MATCH(COUNTIF(V44:AF44,PUNKTID!A$6),ETAPP!A$1:A$32,0))&amp;INDEX(ETAPP!B$1:B$32,MATCH(COUNTIF(V44:AF44,PUNKTID!A$7),ETAPP!A$1:A$32,0))&amp;INDEX(ETAPP!B$1:B$32,MATCH(COUNTIF(V44:AF44,PUNKTID!A$8),ETAPP!A$1:A$32,0))&amp;INDEX(ETAPP!B$1:B$32,MATCH(COUNTIF(V44:AF44,PUNKTID!A$9),ETAPP!A$1:A$32,0))&amp;INDEX(ETAPP!B$1:B$32,MATCH(COUNTIF(V44:AF44,PUNKTID!A$10),ETAPP!A$1:A$32,0))&amp;INDEX(ETAPP!B$1:B$32,MATCH(COUNTIF(V44:AF44,PUNKTID!A$11),ETAPP!A$1:A$32,0))&amp;INDEX(ETAPP!B$1:B$32,MATCH(COUNTIF(V44:AF44,PUNKTID!A$12),ETAPP!A$1:A$32,0))&amp;INDEX(ETAPP!B$1:B$32,MATCH(COUNTIF(V44:AF44,PUNKTID!A$13),ETAPP!A$1:A$32,0))&amp;INDEX(ETAPP!B$1:B$32,MATCH(COUNTIF(V44:AF44,PUNKTID!A$14),ETAPP!A$1:A$32,0))</f>
        <v>000A000B0A000G</v>
      </c>
      <c r="M44" s="397" t="str">
        <f t="shared" ca="1" si="23"/>
        <v>022,0-000A000B0A000G</v>
      </c>
      <c r="N44" s="320">
        <f t="shared" ca="1" si="24"/>
        <v>36</v>
      </c>
      <c r="O44" s="320">
        <f t="shared" si="25"/>
        <v>22</v>
      </c>
      <c r="P44" s="397" t="str">
        <f t="shared" ca="1" si="26"/>
        <v>022,0-000A000B0A000G-022</v>
      </c>
      <c r="Q44" s="320">
        <f t="shared" ca="1" si="27"/>
        <v>64</v>
      </c>
      <c r="R44" s="328"/>
      <c r="S44" s="380"/>
      <c r="T44" s="400"/>
      <c r="U44" s="559"/>
      <c r="V44" s="97">
        <f>IFERROR(INDEX('1'!C$300:C$400,MATCH("*"&amp;I44&amp;"*",'1'!B$300:B$400,0)),"  ")</f>
        <v>4</v>
      </c>
      <c r="W44" s="97">
        <f>IFERROR(INDEX('2'!C$300:C$400,MATCH("*"&amp;I44&amp;"*",'2'!B$300:B$400,0)),"  ")</f>
        <v>2</v>
      </c>
      <c r="X44" s="97" t="str">
        <f>IFERROR(INDEX('3'!C$300:C$400,MATCH("*"&amp;I44&amp;"*",'3'!B$300:B$400,0)),"  ")</f>
        <v xml:space="preserve">  </v>
      </c>
      <c r="Y44" s="97" t="str">
        <f>IFERROR(INDEX('4'!C$300:C$400,MATCH("*"&amp;I44&amp;"*",'4'!B$300:B$400,0)),"  ")</f>
        <v xml:space="preserve">  </v>
      </c>
      <c r="Z44" s="97" t="str">
        <f>IFERROR(INDEX('5'!C$300:C$400,MATCH("*"&amp;I44&amp;"*",'5'!B$300:B$400,0)),"  ")</f>
        <v xml:space="preserve">  </v>
      </c>
      <c r="AA44" s="97" t="str">
        <f>IFERROR(INDEX('6'!C$300:C$400,MATCH("*"&amp;I44&amp;"*",'6'!B$300:B$400,0)),"  ")</f>
        <v xml:space="preserve">  </v>
      </c>
      <c r="AB44" s="97" t="str">
        <f>IFERROR(INDEX('7'!C$300:C$400,MATCH("*"&amp;I44&amp;"*",'7'!B$300:B$400,0)),"  ")</f>
        <v xml:space="preserve">  </v>
      </c>
      <c r="AC44" s="97" t="str">
        <f>IFERROR(INDEX('8'!C$300:C$400,MATCH("*"&amp;I44&amp;"*",'8'!B$300:B$400,0)),"  ")</f>
        <v xml:space="preserve">  </v>
      </c>
      <c r="AD44" s="97" t="str">
        <f ca="1">IFERROR(INDEX('9'!C$300:C$400,MATCH("*"&amp;I44&amp;"*",'9'!B$300:B$400,0)),"  ")</f>
        <v xml:space="preserve">  </v>
      </c>
      <c r="AE44" s="97">
        <f>IFERROR(INDEX('10'!C$300:C$400,MATCH("*"&amp;I44&amp;"*",'10'!B$300:B$400,0)),"  ")</f>
        <v>12</v>
      </c>
      <c r="AF44" s="97">
        <f>IFERROR(INDEX('11'!C$300:C$400,MATCH("*"&amp;I44&amp;"*",'11'!B$300:B$400,0)),"  ")</f>
        <v>4</v>
      </c>
      <c r="AG44" s="294">
        <f t="shared" ca="1" si="28"/>
        <v>4</v>
      </c>
      <c r="AH44" s="794">
        <f t="shared" ca="1" si="29"/>
        <v>1</v>
      </c>
      <c r="AI44" s="796">
        <f t="shared" ca="1" si="30"/>
        <v>0</v>
      </c>
      <c r="AJ44" s="303">
        <f t="shared" ca="1" si="31"/>
        <v>0</v>
      </c>
      <c r="AK44" s="405">
        <f t="shared" si="32"/>
        <v>2.9999999999999997E-4</v>
      </c>
      <c r="AL44" s="405">
        <f t="shared" ca="1" si="33"/>
        <v>4.0000000000000002E-4</v>
      </c>
      <c r="AM44" s="442">
        <f t="array" aca="1" ref="AM44" ca="1">MIN(IF(V$5:AF$5="ESMV",IF(V44:AF44="  ",FALSE,V44:AF44)+COLUMN(V:AF)/10000))</f>
        <v>2.5000000000000001E-3</v>
      </c>
      <c r="AN44" s="405">
        <f t="shared" si="17"/>
        <v>5.9999999999999995E-4</v>
      </c>
    </row>
    <row r="45" spans="1:40" s="2" customFormat="1" x14ac:dyDescent="0.2">
      <c r="A45" s="328" t="s">
        <v>257</v>
      </c>
      <c r="B45" s="331" t="str">
        <f t="shared" si="18"/>
        <v/>
      </c>
      <c r="C45" s="329" t="str">
        <f t="shared" si="19"/>
        <v/>
      </c>
      <c r="D45" s="907" t="s">
        <v>257</v>
      </c>
      <c r="E45" s="331" t="str">
        <f t="shared" si="20"/>
        <v/>
      </c>
      <c r="F45" s="330" t="str">
        <f t="shared" si="21"/>
        <v/>
      </c>
      <c r="G45" s="390">
        <f t="shared" ca="1" si="22"/>
        <v>37</v>
      </c>
      <c r="H45" s="76">
        <v>37</v>
      </c>
      <c r="I45" s="98" t="s">
        <v>39</v>
      </c>
      <c r="J45" s="800">
        <v>21</v>
      </c>
      <c r="K45" s="801">
        <f t="array" aca="1" ref="K45" ca="1">(IF(COUNT(V45,X45,AA45,AB45,AC45,AE45)&lt;4,SUM(V45,X45,AA45,AB45,AC45,AE45),SUM(LARGE((V45,X45,AA45,AB45,AC45,AE45),{1;2;3;4}))))+(IF(COUNT(W45,Y45,Z45,AD45,AF45)&lt;4,SUM(W45,Y45,Z45,AD45,AF45),SUM(LARGE((W45,Y45,Z45,AD45,AF45),{1;2;3;4}))))</f>
        <v>21</v>
      </c>
      <c r="L45" s="397" t="str">
        <f ca="1">INDEX(ETAPP!B$1:B$32,MATCH(COUNTIF(V45:AF45,PUNKTID!A$1),ETAPP!A$1:A$32,0))&amp;INDEX(ETAPP!B$1:B$32,MATCH(COUNTIF(V45:AF45,PUNKTID!A$2),ETAPP!A$1:A$32,0))&amp;INDEX(ETAPP!B$1:B$32,MATCH(COUNTIF(V45:AF45,PUNKTID!A$3),ETAPP!A$1:A$32,0))&amp;INDEX(ETAPP!B$1:B$32,MATCH(COUNTIF(V45:AF45,PUNKTID!A$4),ETAPP!A$1:A$32,0))&amp;INDEX(ETAPP!B$1:B$32,MATCH(COUNTIF(V45:AF45,PUNKTID!A$5),ETAPP!A$1:A$32,0))&amp;INDEX(ETAPP!B$1:B$32,MATCH(COUNTIF(V45:AF45,PUNKTID!A$6),ETAPP!A$1:A$32,0))&amp;INDEX(ETAPP!B$1:B$32,MATCH(COUNTIF(V45:AF45,PUNKTID!A$7),ETAPP!A$1:A$32,0))&amp;INDEX(ETAPP!B$1:B$32,MATCH(COUNTIF(V45:AF45,PUNKTID!A$8),ETAPP!A$1:A$32,0))&amp;INDEX(ETAPP!B$1:B$32,MATCH(COUNTIF(V45:AF45,PUNKTID!A$9),ETAPP!A$1:A$32,0))&amp;INDEX(ETAPP!B$1:B$32,MATCH(COUNTIF(V45:AF45,PUNKTID!A$10),ETAPP!A$1:A$32,0))&amp;INDEX(ETAPP!B$1:B$32,MATCH(COUNTIF(V45:AF45,PUNKTID!A$11),ETAPP!A$1:A$32,0))&amp;INDEX(ETAPP!B$1:B$32,MATCH(COUNTIF(V45:AF45,PUNKTID!A$12),ETAPP!A$1:A$32,0))&amp;INDEX(ETAPP!B$1:B$32,MATCH(COUNTIF(V45:AF45,PUNKTID!A$13),ETAPP!A$1:A$32,0))&amp;INDEX(ETAPP!B$1:B$32,MATCH(COUNTIF(V45:AF45,PUNKTID!A$14),ETAPP!A$1:A$32,0))</f>
        <v>0000A0AA0A0A0F</v>
      </c>
      <c r="M45" s="397" t="str">
        <f t="shared" ca="1" si="23"/>
        <v>021,0-0000A0AA0A0A0F</v>
      </c>
      <c r="N45" s="320">
        <f t="shared" ca="1" si="24"/>
        <v>37</v>
      </c>
      <c r="O45" s="320">
        <f t="shared" si="25"/>
        <v>99</v>
      </c>
      <c r="P45" s="397" t="str">
        <f t="shared" ca="1" si="26"/>
        <v>021,0-0000A0AA0A0A0F-099</v>
      </c>
      <c r="Q45" s="320">
        <f t="shared" ca="1" si="27"/>
        <v>63</v>
      </c>
      <c r="R45" s="328"/>
      <c r="S45" s="380"/>
      <c r="T45" s="400" t="s">
        <v>605</v>
      </c>
      <c r="U45" s="559"/>
      <c r="V45" s="97">
        <f>IFERROR(INDEX('1'!C$300:C$400,MATCH("*"&amp;I45&amp;"*",'1'!B$300:B$400,0)),"  ")</f>
        <v>1</v>
      </c>
      <c r="W45" s="97">
        <f>IFERROR(INDEX('2'!C$300:C$400,MATCH("*"&amp;I45&amp;"*",'2'!B$300:B$400,0)),"  ")</f>
        <v>2</v>
      </c>
      <c r="X45" s="97" t="str">
        <f>IFERROR(INDEX('3'!C$300:C$400,MATCH("*"&amp;I45&amp;"*",'3'!B$300:B$400,0)),"  ")</f>
        <v xml:space="preserve">  </v>
      </c>
      <c r="Y45" s="97" t="str">
        <f>IFERROR(INDEX('4'!C$300:C$400,MATCH("*"&amp;I45&amp;"*",'4'!B$300:B$400,0)),"  ")</f>
        <v xml:space="preserve">  </v>
      </c>
      <c r="Z45" s="97">
        <f>IFERROR(INDEX('5'!C$300:C$400,MATCH("*"&amp;I45&amp;"*",'5'!B$300:B$400,0)),"  ")</f>
        <v>4</v>
      </c>
      <c r="AA45" s="97">
        <f>IFERROR(INDEX('6'!C$300:C$400,MATCH("*"&amp;I45&amp;"*",'6'!B$300:B$400,0)),"  ")</f>
        <v>9</v>
      </c>
      <c r="AB45" s="97">
        <f>IFERROR(INDEX('7'!C$300:C$400,MATCH("*"&amp;I45&amp;"*",'7'!B$300:B$400,0)),"  ")</f>
        <v>5</v>
      </c>
      <c r="AC45" s="97" t="str">
        <f>IFERROR(INDEX('8'!C$300:C$400,MATCH("*"&amp;I45&amp;"*",'8'!B$300:B$400,0)),"  ")</f>
        <v xml:space="preserve">  </v>
      </c>
      <c r="AD45" s="97" t="str">
        <f ca="1">IFERROR(INDEX('9'!C$300:C$400,MATCH("*"&amp;I45&amp;"*",'9'!B$300:B$400,0)),"  ")</f>
        <v xml:space="preserve">  </v>
      </c>
      <c r="AE45" s="97" t="str">
        <f>IFERROR(INDEX('10'!C$300:C$400,MATCH("*"&amp;I45&amp;"*",'10'!B$300:B$400,0)),"  ")</f>
        <v xml:space="preserve">  </v>
      </c>
      <c r="AF45" s="97" t="str">
        <f>IFERROR(INDEX('11'!C$300:C$400,MATCH("*"&amp;I45&amp;"*",'11'!B$300:B$400,0)),"  ")</f>
        <v xml:space="preserve">  </v>
      </c>
      <c r="AG45" s="294">
        <f t="shared" ca="1" si="28"/>
        <v>5</v>
      </c>
      <c r="AH45" s="794">
        <f t="shared" ca="1" si="29"/>
        <v>0</v>
      </c>
      <c r="AI45" s="796">
        <f t="shared" ca="1" si="30"/>
        <v>0</v>
      </c>
      <c r="AJ45" s="303">
        <f t="shared" ca="1" si="31"/>
        <v>0</v>
      </c>
      <c r="AK45" s="405">
        <f t="shared" si="32"/>
        <v>2.9999999999999997E-4</v>
      </c>
      <c r="AL45" s="405">
        <f t="shared" ca="1" si="33"/>
        <v>4.0000000000000002E-4</v>
      </c>
      <c r="AM45" s="442">
        <f t="array" aca="1" ref="AM45" ca="1">MIN(IF(V$5:AF$5="ESMV",IF(V45:AF45="  ",FALSE,V45:AF45)+COLUMN(V:AF)/10000))</f>
        <v>2.5000000000000001E-3</v>
      </c>
      <c r="AN45" s="405">
        <f t="shared" si="17"/>
        <v>8.0000000000000004E-4</v>
      </c>
    </row>
    <row r="46" spans="1:40" s="2" customFormat="1" x14ac:dyDescent="0.2">
      <c r="A46" s="328" t="s">
        <v>257</v>
      </c>
      <c r="B46" s="331" t="str">
        <f t="shared" si="18"/>
        <v/>
      </c>
      <c r="C46" s="329" t="str">
        <f t="shared" si="19"/>
        <v/>
      </c>
      <c r="D46" s="907" t="s">
        <v>257</v>
      </c>
      <c r="E46" s="331" t="str">
        <f t="shared" si="20"/>
        <v/>
      </c>
      <c r="F46" s="330" t="str">
        <f t="shared" si="21"/>
        <v/>
      </c>
      <c r="G46" s="390">
        <f t="shared" ca="1" si="22"/>
        <v>38</v>
      </c>
      <c r="H46" s="76">
        <v>38</v>
      </c>
      <c r="I46" s="568" t="s">
        <v>817</v>
      </c>
      <c r="J46" s="800">
        <v>20</v>
      </c>
      <c r="K46" s="801">
        <f t="array" aca="1" ref="K46" ca="1">(IF(COUNT(V46,X46,AA46,AB46,AC46,AE46)&lt;4,SUM(V46,X46,AA46,AB46,AC46,AE46),SUM(LARGE((V46,X46,AA46,AB46,AC46,AE46),{1;2;3;4}))))+(IF(COUNT(W46,Y46,Z46,AD46,AF46)&lt;4,SUM(W46,Y46,Z46,AD46,AF46),SUM(LARGE((W46,Y46,Z46,AD46,AF46),{1;2;3;4}))))</f>
        <v>20</v>
      </c>
      <c r="L46" s="397" t="str">
        <f ca="1">INDEX(ETAPP!B$1:B$32,MATCH(COUNTIF(V46:AF46,PUNKTID!A$1),ETAPP!A$1:A$32,0))&amp;INDEX(ETAPP!B$1:B$32,MATCH(COUNTIF(V46:AF46,PUNKTID!A$2),ETAPP!A$1:A$32,0))&amp;INDEX(ETAPP!B$1:B$32,MATCH(COUNTIF(V46:AF46,PUNKTID!A$3),ETAPP!A$1:A$32,0))&amp;INDEX(ETAPP!B$1:B$32,MATCH(COUNTIF(V46:AF46,PUNKTID!A$4),ETAPP!A$1:A$32,0))&amp;INDEX(ETAPP!B$1:B$32,MATCH(COUNTIF(V46:AF46,PUNKTID!A$5),ETAPP!A$1:A$32,0))&amp;INDEX(ETAPP!B$1:B$32,MATCH(COUNTIF(V46:AF46,PUNKTID!A$6),ETAPP!A$1:A$32,0))&amp;INDEX(ETAPP!B$1:B$32,MATCH(COUNTIF(V46:AF46,PUNKTID!A$7),ETAPP!A$1:A$32,0))&amp;INDEX(ETAPP!B$1:B$32,MATCH(COUNTIF(V46:AF46,PUNKTID!A$8),ETAPP!A$1:A$32,0))&amp;INDEX(ETAPP!B$1:B$32,MATCH(COUNTIF(V46:AF46,PUNKTID!A$9),ETAPP!A$1:A$32,0))&amp;INDEX(ETAPP!B$1:B$32,MATCH(COUNTIF(V46:AF46,PUNKTID!A$10),ETAPP!A$1:A$32,0))&amp;INDEX(ETAPP!B$1:B$32,MATCH(COUNTIF(V46:AF46,PUNKTID!A$11),ETAPP!A$1:A$32,0))&amp;INDEX(ETAPP!B$1:B$32,MATCH(COUNTIF(V46:AF46,PUNKTID!A$12),ETAPP!A$1:A$32,0))&amp;INDEX(ETAPP!B$1:B$32,MATCH(COUNTIF(V46:AF46,PUNKTID!A$13),ETAPP!A$1:A$32,0))&amp;INDEX(ETAPP!B$1:B$32,MATCH(COUNTIF(V46:AF46,PUNKTID!A$14),ETAPP!A$1:A$32,0))</f>
        <v>0A00000000000E</v>
      </c>
      <c r="M46" s="397" t="str">
        <f t="shared" ca="1" si="23"/>
        <v>020,0-0A00000000000E</v>
      </c>
      <c r="N46" s="320">
        <f t="shared" ca="1" si="24"/>
        <v>38</v>
      </c>
      <c r="O46" s="320">
        <f t="shared" si="25"/>
        <v>19</v>
      </c>
      <c r="P46" s="397" t="str">
        <f t="shared" ca="1" si="26"/>
        <v>020,0-0A00000000000E-019</v>
      </c>
      <c r="Q46" s="320">
        <f t="shared" ca="1" si="27"/>
        <v>62</v>
      </c>
      <c r="R46" s="328"/>
      <c r="S46" s="380"/>
      <c r="T46" s="400"/>
      <c r="U46" s="560"/>
      <c r="V46" s="97" t="str">
        <f>IFERROR(INDEX('1'!C$300:C$400,MATCH("*"&amp;I46&amp;"*",'1'!B$300:B$400,0)),"  ")</f>
        <v xml:space="preserve">  </v>
      </c>
      <c r="W46" s="97" t="str">
        <f>IFERROR(INDEX('2'!C$300:C$400,MATCH("*"&amp;I46&amp;"*",'2'!B$300:B$400,0)),"  ")</f>
        <v xml:space="preserve">  </v>
      </c>
      <c r="X46" s="97" t="str">
        <f>IFERROR(INDEX('3'!C$300:C$400,MATCH("*"&amp;I46&amp;"*",'3'!B$300:B$400,0)),"  ")</f>
        <v xml:space="preserve">  </v>
      </c>
      <c r="Y46" s="97" t="str">
        <f>IFERROR(INDEX('4'!C$300:C$400,MATCH("*"&amp;I46&amp;"*",'4'!B$300:B$400,0)),"  ")</f>
        <v xml:space="preserve">  </v>
      </c>
      <c r="Z46" s="97" t="str">
        <f>IFERROR(INDEX('5'!C$300:C$400,MATCH("*"&amp;I46&amp;"*",'5'!B$300:B$400,0)),"  ")</f>
        <v xml:space="preserve">  </v>
      </c>
      <c r="AA46" s="97" t="str">
        <f>IFERROR(INDEX('6'!C$300:C$400,MATCH("*"&amp;I46&amp;"*",'6'!B$300:B$400,0)),"  ")</f>
        <v xml:space="preserve">  </v>
      </c>
      <c r="AB46" s="97" t="str">
        <f>IFERROR(INDEX('7'!C$300:C$400,MATCH("*"&amp;I46&amp;"*",'7'!B$300:B$400,0)),"  ")</f>
        <v xml:space="preserve">  </v>
      </c>
      <c r="AC46" s="97">
        <f>IFERROR(INDEX('8'!C$300:C$400,MATCH("*"&amp;I46&amp;"*",'8'!B$300:B$400,0)),"  ")</f>
        <v>20</v>
      </c>
      <c r="AD46" s="97" t="str">
        <f ca="1">IFERROR(INDEX('9'!C$300:C$400,MATCH("*"&amp;I46&amp;"*",'9'!B$300:B$400,0)),"  ")</f>
        <v xml:space="preserve">  </v>
      </c>
      <c r="AE46" s="97" t="str">
        <f>IFERROR(INDEX('10'!C$300:C$400,MATCH("*"&amp;I46&amp;"*",'10'!B$300:B$400,0)),"  ")</f>
        <v xml:space="preserve">  </v>
      </c>
      <c r="AF46" s="97" t="str">
        <f>IFERROR(INDEX('11'!C$300:C$400,MATCH("*"&amp;I46&amp;"*",'11'!B$300:B$400,0)),"  ")</f>
        <v xml:space="preserve">  </v>
      </c>
      <c r="AG46" s="294">
        <f t="shared" ca="1" si="28"/>
        <v>1</v>
      </c>
      <c r="AH46" s="794">
        <f t="shared" ca="1" si="29"/>
        <v>1</v>
      </c>
      <c r="AI46" s="796">
        <f t="shared" ca="1" si="30"/>
        <v>1</v>
      </c>
      <c r="AJ46" s="303">
        <f t="shared" ca="1" si="31"/>
        <v>0</v>
      </c>
      <c r="AK46" s="405">
        <f t="shared" si="32"/>
        <v>1E-4</v>
      </c>
      <c r="AL46" s="405">
        <f t="shared" ca="1" si="33"/>
        <v>2.0000000000000001E-4</v>
      </c>
      <c r="AM46" s="442">
        <f t="array" aca="1" ref="AM46" ca="1">MIN(IF(V$5:AF$5="ESMV",IF(V46:AF46="  ",FALSE,V46:AF46)+COLUMN(V:AF)/10000))</f>
        <v>2.3E-3</v>
      </c>
      <c r="AN46" s="405">
        <f t="shared" si="17"/>
        <v>2.9999999999999997E-4</v>
      </c>
    </row>
    <row r="47" spans="1:40" s="2" customFormat="1" x14ac:dyDescent="0.2">
      <c r="A47" s="328">
        <v>10</v>
      </c>
      <c r="B47" s="331">
        <f t="shared" ca="1" si="18"/>
        <v>10</v>
      </c>
      <c r="C47" s="329" t="str">
        <f t="shared" ca="1" si="19"/>
        <v>020,0-00A0000A00000D</v>
      </c>
      <c r="D47" s="907" t="s">
        <v>257</v>
      </c>
      <c r="E47" s="331" t="str">
        <f t="shared" si="20"/>
        <v/>
      </c>
      <c r="F47" s="330" t="str">
        <f t="shared" si="21"/>
        <v/>
      </c>
      <c r="G47" s="390">
        <f t="shared" ca="1" si="22"/>
        <v>39</v>
      </c>
      <c r="H47" s="76">
        <v>39</v>
      </c>
      <c r="I47" s="98" t="s">
        <v>145</v>
      </c>
      <c r="J47" s="800">
        <v>20</v>
      </c>
      <c r="K47" s="801">
        <f t="array" aca="1" ref="K47" ca="1">(IF(COUNT(V47,X47,AA47,AB47,AC47,AE47)&lt;4,SUM(V47,X47,AA47,AB47,AC47,AE47),SUM(LARGE((V47,X47,AA47,AB47,AC47,AE47),{1;2;3;4}))))+(IF(COUNT(W47,Y47,Z47,AD47,AF47)&lt;4,SUM(W47,Y47,Z47,AD47,AF47),SUM(LARGE((W47,Y47,Z47,AD47,AF47),{1;2;3;4}))))</f>
        <v>20</v>
      </c>
      <c r="L47" s="397" t="str">
        <f ca="1">INDEX(ETAPP!B$1:B$32,MATCH(COUNTIF(V47:AF47,PUNKTID!A$1),ETAPP!A$1:A$32,0))&amp;INDEX(ETAPP!B$1:B$32,MATCH(COUNTIF(V47:AF47,PUNKTID!A$2),ETAPP!A$1:A$32,0))&amp;INDEX(ETAPP!B$1:B$32,MATCH(COUNTIF(V47:AF47,PUNKTID!A$3),ETAPP!A$1:A$32,0))&amp;INDEX(ETAPP!B$1:B$32,MATCH(COUNTIF(V47:AF47,PUNKTID!A$4),ETAPP!A$1:A$32,0))&amp;INDEX(ETAPP!B$1:B$32,MATCH(COUNTIF(V47:AF47,PUNKTID!A$5),ETAPP!A$1:A$32,0))&amp;INDEX(ETAPP!B$1:B$32,MATCH(COUNTIF(V47:AF47,PUNKTID!A$6),ETAPP!A$1:A$32,0))&amp;INDEX(ETAPP!B$1:B$32,MATCH(COUNTIF(V47:AF47,PUNKTID!A$7),ETAPP!A$1:A$32,0))&amp;INDEX(ETAPP!B$1:B$32,MATCH(COUNTIF(V47:AF47,PUNKTID!A$8),ETAPP!A$1:A$32,0))&amp;INDEX(ETAPP!B$1:B$32,MATCH(COUNTIF(V47:AF47,PUNKTID!A$9),ETAPP!A$1:A$32,0))&amp;INDEX(ETAPP!B$1:B$32,MATCH(COUNTIF(V47:AF47,PUNKTID!A$10),ETAPP!A$1:A$32,0))&amp;INDEX(ETAPP!B$1:B$32,MATCH(COUNTIF(V47:AF47,PUNKTID!A$11),ETAPP!A$1:A$32,0))&amp;INDEX(ETAPP!B$1:B$32,MATCH(COUNTIF(V47:AF47,PUNKTID!A$12),ETAPP!A$1:A$32,0))&amp;INDEX(ETAPP!B$1:B$32,MATCH(COUNTIF(V47:AF47,PUNKTID!A$13),ETAPP!A$1:A$32,0))&amp;INDEX(ETAPP!B$1:B$32,MATCH(COUNTIF(V47:AF47,PUNKTID!A$14),ETAPP!A$1:A$32,0))</f>
        <v>00A0000A00000D</v>
      </c>
      <c r="M47" s="397" t="str">
        <f t="shared" ca="1" si="23"/>
        <v>020,0-00A0000A00000D</v>
      </c>
      <c r="N47" s="320">
        <f t="shared" ca="1" si="24"/>
        <v>39</v>
      </c>
      <c r="O47" s="320">
        <f t="shared" si="25"/>
        <v>25</v>
      </c>
      <c r="P47" s="397" t="str">
        <f t="shared" ca="1" si="26"/>
        <v>020,0-00A0000A00000D-025</v>
      </c>
      <c r="Q47" s="320">
        <f t="shared" ca="1" si="27"/>
        <v>61</v>
      </c>
      <c r="R47" s="328" t="s">
        <v>562</v>
      </c>
      <c r="S47" s="380"/>
      <c r="T47" s="400"/>
      <c r="U47" s="559"/>
      <c r="V47" s="97" t="str">
        <f>IFERROR(INDEX('1'!C$300:C$400,MATCH("*"&amp;I47&amp;"*",'1'!B$300:B$400,0)),"  ")</f>
        <v xml:space="preserve">  </v>
      </c>
      <c r="W47" s="97">
        <f>IFERROR(INDEX('2'!C$300:C$400,MATCH("*"&amp;I47&amp;"*",'2'!B$300:B$400,0)),"  ")</f>
        <v>16</v>
      </c>
      <c r="X47" s="97" t="str">
        <f>IFERROR(INDEX('3'!C$300:C$400,MATCH("*"&amp;I47&amp;"*",'3'!B$300:B$400,0)),"  ")</f>
        <v xml:space="preserve">  </v>
      </c>
      <c r="Y47" s="97" t="str">
        <f>IFERROR(INDEX('4'!C$300:C$400,MATCH("*"&amp;I47&amp;"*",'4'!B$300:B$400,0)),"  ")</f>
        <v xml:space="preserve">  </v>
      </c>
      <c r="Z47" s="97" t="str">
        <f>IFERROR(INDEX('5'!C$300:C$400,MATCH("*"&amp;I47&amp;"*",'5'!B$300:B$400,0)),"  ")</f>
        <v xml:space="preserve">  </v>
      </c>
      <c r="AA47" s="97">
        <f>IFERROR(INDEX('6'!C$300:C$400,MATCH("*"&amp;I47&amp;"*",'6'!B$300:B$400,0)),"  ")</f>
        <v>4</v>
      </c>
      <c r="AB47" s="97" t="str">
        <f>IFERROR(INDEX('7'!C$300:C$400,MATCH("*"&amp;I47&amp;"*",'7'!B$300:B$400,0)),"  ")</f>
        <v xml:space="preserve">  </v>
      </c>
      <c r="AC47" s="97" t="str">
        <f>IFERROR(INDEX('8'!C$300:C$400,MATCH("*"&amp;I47&amp;"*",'8'!B$300:B$400,0)),"  ")</f>
        <v xml:space="preserve">  </v>
      </c>
      <c r="AD47" s="97" t="str">
        <f ca="1">IFERROR(INDEX('9'!C$300:C$400,MATCH("*"&amp;I47&amp;"*",'9'!B$300:B$400,0)),"  ")</f>
        <v xml:space="preserve">  </v>
      </c>
      <c r="AE47" s="97" t="str">
        <f>IFERROR(INDEX('10'!C$300:C$400,MATCH("*"&amp;I47&amp;"*",'10'!B$300:B$400,0)),"  ")</f>
        <v xml:space="preserve">  </v>
      </c>
      <c r="AF47" s="97" t="str">
        <f>IFERROR(INDEX('11'!C$300:C$400,MATCH("*"&amp;I47&amp;"*",'11'!B$300:B$400,0)),"  ")</f>
        <v xml:space="preserve">  </v>
      </c>
      <c r="AG47" s="294">
        <f t="shared" ca="1" si="28"/>
        <v>2</v>
      </c>
      <c r="AH47" s="794">
        <f t="shared" ca="1" si="29"/>
        <v>1</v>
      </c>
      <c r="AI47" s="796">
        <f t="shared" ca="1" si="30"/>
        <v>0</v>
      </c>
      <c r="AJ47" s="303">
        <f t="shared" ca="1" si="31"/>
        <v>0</v>
      </c>
      <c r="AK47" s="405">
        <f t="shared" si="32"/>
        <v>1E-4</v>
      </c>
      <c r="AL47" s="405">
        <f t="shared" ca="1" si="33"/>
        <v>4.0000000000000002E-4</v>
      </c>
      <c r="AM47" s="442">
        <f t="array" aca="1" ref="AM47" ca="1">MIN(IF(V$5:AF$5="ESMV",IF(V47:AF47="  ",FALSE,V47:AF47)+COLUMN(V:AF)/10000))</f>
        <v>2.5000000000000001E-3</v>
      </c>
      <c r="AN47" s="405">
        <f t="shared" si="17"/>
        <v>2.9999999999999997E-4</v>
      </c>
    </row>
    <row r="48" spans="1:40" s="2" customFormat="1" x14ac:dyDescent="0.2">
      <c r="A48" s="328" t="s">
        <v>257</v>
      </c>
      <c r="B48" s="331" t="str">
        <f t="shared" si="18"/>
        <v/>
      </c>
      <c r="C48" s="329" t="str">
        <f t="shared" si="19"/>
        <v/>
      </c>
      <c r="D48" s="907">
        <v>2</v>
      </c>
      <c r="E48" s="331">
        <f t="shared" ca="1" si="20"/>
        <v>2</v>
      </c>
      <c r="F48" s="330" t="str">
        <f t="shared" ca="1" si="21"/>
        <v>020,0-000A000B00000C</v>
      </c>
      <c r="G48" s="390">
        <f t="shared" ca="1" si="22"/>
        <v>40</v>
      </c>
      <c r="H48" s="76">
        <v>40</v>
      </c>
      <c r="I48" s="98" t="s">
        <v>140</v>
      </c>
      <c r="J48" s="800">
        <v>20</v>
      </c>
      <c r="K48" s="801">
        <f t="array" aca="1" ref="K48" ca="1">(IF(COUNT(V48,X48,AA48,AB48,AC48,AE48)&lt;4,SUM(V48,X48,AA48,AB48,AC48,AE48),SUM(LARGE((V48,X48,AA48,AB48,AC48,AE48),{1;2;3;4}))))+(IF(COUNT(W48,Y48,Z48,AD48,AF48)&lt;4,SUM(W48,Y48,Z48,AD48,AF48),SUM(LARGE((W48,Y48,Z48,AD48,AF48),{1;2;3;4}))))</f>
        <v>20</v>
      </c>
      <c r="L48" s="397" t="str">
        <f ca="1">INDEX(ETAPP!B$1:B$32,MATCH(COUNTIF(V48:AF48,PUNKTID!A$1),ETAPP!A$1:A$32,0))&amp;INDEX(ETAPP!B$1:B$32,MATCH(COUNTIF(V48:AF48,PUNKTID!A$2),ETAPP!A$1:A$32,0))&amp;INDEX(ETAPP!B$1:B$32,MATCH(COUNTIF(V48:AF48,PUNKTID!A$3),ETAPP!A$1:A$32,0))&amp;INDEX(ETAPP!B$1:B$32,MATCH(COUNTIF(V48:AF48,PUNKTID!A$4),ETAPP!A$1:A$32,0))&amp;INDEX(ETAPP!B$1:B$32,MATCH(COUNTIF(V48:AF48,PUNKTID!A$5),ETAPP!A$1:A$32,0))&amp;INDEX(ETAPP!B$1:B$32,MATCH(COUNTIF(V48:AF48,PUNKTID!A$6),ETAPP!A$1:A$32,0))&amp;INDEX(ETAPP!B$1:B$32,MATCH(COUNTIF(V48:AF48,PUNKTID!A$7),ETAPP!A$1:A$32,0))&amp;INDEX(ETAPP!B$1:B$32,MATCH(COUNTIF(V48:AF48,PUNKTID!A$8),ETAPP!A$1:A$32,0))&amp;INDEX(ETAPP!B$1:B$32,MATCH(COUNTIF(V48:AF48,PUNKTID!A$9),ETAPP!A$1:A$32,0))&amp;INDEX(ETAPP!B$1:B$32,MATCH(COUNTIF(V48:AF48,PUNKTID!A$10),ETAPP!A$1:A$32,0))&amp;INDEX(ETAPP!B$1:B$32,MATCH(COUNTIF(V48:AF48,PUNKTID!A$11),ETAPP!A$1:A$32,0))&amp;INDEX(ETAPP!B$1:B$32,MATCH(COUNTIF(V48:AF48,PUNKTID!A$12),ETAPP!A$1:A$32,0))&amp;INDEX(ETAPP!B$1:B$32,MATCH(COUNTIF(V48:AF48,PUNKTID!A$13),ETAPP!A$1:A$32,0))&amp;INDEX(ETAPP!B$1:B$32,MATCH(COUNTIF(V48:AF48,PUNKTID!A$14),ETAPP!A$1:A$32,0))</f>
        <v>000A000B00000C</v>
      </c>
      <c r="M48" s="397" t="str">
        <f t="shared" ca="1" si="23"/>
        <v>020,0-000A000B00000C</v>
      </c>
      <c r="N48" s="320">
        <f t="shared" ca="1" si="24"/>
        <v>40</v>
      </c>
      <c r="O48" s="320">
        <f t="shared" si="25"/>
        <v>54</v>
      </c>
      <c r="P48" s="397" t="str">
        <f t="shared" ca="1" si="26"/>
        <v>020,0-000A000B00000C-054</v>
      </c>
      <c r="Q48" s="320">
        <f t="shared" ca="1" si="27"/>
        <v>60</v>
      </c>
      <c r="R48" s="328"/>
      <c r="S48" s="380" t="s">
        <v>563</v>
      </c>
      <c r="T48" s="400"/>
      <c r="U48" s="559"/>
      <c r="V48" s="97">
        <f>IFERROR(INDEX('1'!C$300:C$400,MATCH("*"&amp;I48&amp;"*",'1'!B$300:B$400,0)),"  ")</f>
        <v>4</v>
      </c>
      <c r="W48" s="97" t="str">
        <f>IFERROR(INDEX('2'!C$300:C$400,MATCH("*"&amp;I48&amp;"*",'2'!B$300:B$400,0)),"  ")</f>
        <v xml:space="preserve">  </v>
      </c>
      <c r="X48" s="97" t="str">
        <f>IFERROR(INDEX('3'!C$300:C$400,MATCH("*"&amp;I48&amp;"*",'3'!B$300:B$400,0)),"  ")</f>
        <v xml:space="preserve">  </v>
      </c>
      <c r="Y48" s="97" t="str">
        <f>IFERROR(INDEX('4'!C$300:C$400,MATCH("*"&amp;I48&amp;"*",'4'!B$300:B$400,0)),"  ")</f>
        <v xml:space="preserve">  </v>
      </c>
      <c r="Z48" s="97" t="str">
        <f>IFERROR(INDEX('5'!C$300:C$400,MATCH("*"&amp;I48&amp;"*",'5'!B$300:B$400,0)),"  ")</f>
        <v xml:space="preserve">  </v>
      </c>
      <c r="AA48" s="97" t="str">
        <f>IFERROR(INDEX('6'!C$300:C$400,MATCH("*"&amp;I48&amp;"*",'6'!B$300:B$400,0)),"  ")</f>
        <v xml:space="preserve">  </v>
      </c>
      <c r="AB48" s="97" t="str">
        <f>IFERROR(INDEX('7'!C$300:C$400,MATCH("*"&amp;I48&amp;"*",'7'!B$300:B$400,0)),"  ")</f>
        <v xml:space="preserve">  </v>
      </c>
      <c r="AC48" s="97" t="str">
        <f>IFERROR(INDEX('8'!C$300:C$400,MATCH("*"&amp;I48&amp;"*",'8'!B$300:B$400,0)),"  ")</f>
        <v xml:space="preserve">  </v>
      </c>
      <c r="AD48" s="97" t="str">
        <f ca="1">IFERROR(INDEX('9'!C$300:C$400,MATCH("*"&amp;I48&amp;"*",'9'!B$300:B$400,0)),"  ")</f>
        <v xml:space="preserve">  </v>
      </c>
      <c r="AE48" s="97">
        <f>IFERROR(INDEX('10'!C$300:C$400,MATCH("*"&amp;I48&amp;"*",'10'!B$300:B$400,0)),"  ")</f>
        <v>12</v>
      </c>
      <c r="AF48" s="97">
        <f>IFERROR(INDEX('11'!C$300:C$400,MATCH("*"&amp;I48&amp;"*",'11'!B$300:B$400,0)),"  ")</f>
        <v>4</v>
      </c>
      <c r="AG48" s="294">
        <f t="shared" ca="1" si="28"/>
        <v>3</v>
      </c>
      <c r="AH48" s="794">
        <f t="shared" ca="1" si="29"/>
        <v>1</v>
      </c>
      <c r="AI48" s="796">
        <f t="shared" ca="1" si="30"/>
        <v>0</v>
      </c>
      <c r="AJ48" s="303">
        <f t="shared" ca="1" si="31"/>
        <v>0</v>
      </c>
      <c r="AK48" s="405">
        <f t="shared" si="32"/>
        <v>2.9999999999999997E-4</v>
      </c>
      <c r="AL48" s="405">
        <f t="shared" ca="1" si="33"/>
        <v>2.0000000000000001E-4</v>
      </c>
      <c r="AM48" s="442">
        <f t="array" aca="1" ref="AM48" ca="1">MIN(IF(V$5:AF$5="ESMV",IF(V48:AF48="  ",FALSE,V48:AF48)+COLUMN(V:AF)/10000))</f>
        <v>2.3E-3</v>
      </c>
      <c r="AN48" s="405">
        <f t="shared" si="17"/>
        <v>5.9999999999999995E-4</v>
      </c>
    </row>
    <row r="49" spans="1:40" s="2" customFormat="1" x14ac:dyDescent="0.2">
      <c r="A49" s="328" t="s">
        <v>257</v>
      </c>
      <c r="B49" s="331" t="str">
        <f t="shared" si="18"/>
        <v/>
      </c>
      <c r="C49" s="329" t="str">
        <f t="shared" si="19"/>
        <v/>
      </c>
      <c r="D49" s="907" t="s">
        <v>257</v>
      </c>
      <c r="E49" s="331" t="str">
        <f t="shared" si="20"/>
        <v/>
      </c>
      <c r="F49" s="330" t="str">
        <f t="shared" si="21"/>
        <v/>
      </c>
      <c r="G49" s="390">
        <f t="shared" ca="1" si="22"/>
        <v>41</v>
      </c>
      <c r="H49" s="76">
        <v>41</v>
      </c>
      <c r="I49" s="98" t="s">
        <v>143</v>
      </c>
      <c r="J49" s="800">
        <v>19</v>
      </c>
      <c r="K49" s="801">
        <f t="array" aca="1" ref="K49" ca="1">(IF(COUNT(V49,X49,AA49,AB49,AC49,AE49)&lt;4,SUM(V49,X49,AA49,AB49,AC49,AE49),SUM(LARGE((V49,X49,AA49,AB49,AC49,AE49),{1;2;3;4}))))+(IF(COUNT(W49,Y49,Z49,AD49,AF49)&lt;4,SUM(W49,Y49,Z49,AD49,AF49),SUM(LARGE((W49,Y49,Z49,AD49,AF49),{1;2;3;4}))))</f>
        <v>19</v>
      </c>
      <c r="L49" s="397" t="str">
        <f ca="1">INDEX(ETAPP!B$1:B$32,MATCH(COUNTIF(V49:AF49,PUNKTID!A$1),ETAPP!A$1:A$32,0))&amp;INDEX(ETAPP!B$1:B$32,MATCH(COUNTIF(V49:AF49,PUNKTID!A$2),ETAPP!A$1:A$32,0))&amp;INDEX(ETAPP!B$1:B$32,MATCH(COUNTIF(V49:AF49,PUNKTID!A$3),ETAPP!A$1:A$32,0))&amp;INDEX(ETAPP!B$1:B$32,MATCH(COUNTIF(V49:AF49,PUNKTID!A$4),ETAPP!A$1:A$32,0))&amp;INDEX(ETAPP!B$1:B$32,MATCH(COUNTIF(V49:AF49,PUNKTID!A$5),ETAPP!A$1:A$32,0))&amp;INDEX(ETAPP!B$1:B$32,MATCH(COUNTIF(V49:AF49,PUNKTID!A$6),ETAPP!A$1:A$32,0))&amp;INDEX(ETAPP!B$1:B$32,MATCH(COUNTIF(V49:AF49,PUNKTID!A$7),ETAPP!A$1:A$32,0))&amp;INDEX(ETAPP!B$1:B$32,MATCH(COUNTIF(V49:AF49,PUNKTID!A$8),ETAPP!A$1:A$32,0))&amp;INDEX(ETAPP!B$1:B$32,MATCH(COUNTIF(V49:AF49,PUNKTID!A$9),ETAPP!A$1:A$32,0))&amp;INDEX(ETAPP!B$1:B$32,MATCH(COUNTIF(V49:AF49,PUNKTID!A$10),ETAPP!A$1:A$32,0))&amp;INDEX(ETAPP!B$1:B$32,MATCH(COUNTIF(V49:AF49,PUNKTID!A$11),ETAPP!A$1:A$32,0))&amp;INDEX(ETAPP!B$1:B$32,MATCH(COUNTIF(V49:AF49,PUNKTID!A$12),ETAPP!A$1:A$32,0))&amp;INDEX(ETAPP!B$1:B$32,MATCH(COUNTIF(V49:AF49,PUNKTID!A$13),ETAPP!A$1:A$32,0))&amp;INDEX(ETAPP!B$1:B$32,MATCH(COUNTIF(V49:AF49,PUNKTID!A$14),ETAPP!A$1:A$32,0))</f>
        <v>0000000C0C0A0D</v>
      </c>
      <c r="M49" s="397" t="str">
        <f t="shared" ca="1" si="23"/>
        <v>019,0-0000000C0C0A0D</v>
      </c>
      <c r="N49" s="320">
        <f t="shared" ca="1" si="24"/>
        <v>41</v>
      </c>
      <c r="O49" s="320">
        <f t="shared" si="25"/>
        <v>10</v>
      </c>
      <c r="P49" s="397" t="str">
        <f t="shared" ca="1" si="26"/>
        <v>019,0-0000000C0C0A0D-010</v>
      </c>
      <c r="Q49" s="320">
        <f t="shared" ca="1" si="27"/>
        <v>59</v>
      </c>
      <c r="R49" s="328"/>
      <c r="S49" s="380"/>
      <c r="T49" s="400"/>
      <c r="U49" s="559"/>
      <c r="V49" s="97" t="str">
        <f>IFERROR(INDEX('1'!C$300:C$400,MATCH("*"&amp;I49&amp;"*",'1'!B$300:B$400,0)),"  ")</f>
        <v xml:space="preserve">  </v>
      </c>
      <c r="W49" s="97">
        <f>IFERROR(INDEX('2'!C$300:C$400,MATCH("*"&amp;I49&amp;"*",'2'!B$300:B$400,0)),"  ")</f>
        <v>2</v>
      </c>
      <c r="X49" s="97">
        <f>IFERROR(INDEX('3'!C$300:C$400,MATCH("*"&amp;I49&amp;"*",'3'!B$300:B$400,0)),"  ")</f>
        <v>4</v>
      </c>
      <c r="Y49" s="97" t="str">
        <f>IFERROR(INDEX('4'!C$300:C$400,MATCH("*"&amp;I49&amp;"*",'4'!B$300:B$400,0)),"  ")</f>
        <v xml:space="preserve">  </v>
      </c>
      <c r="Z49" s="97">
        <f>IFERROR(INDEX('5'!C$300:C$400,MATCH("*"&amp;I49&amp;"*",'5'!B$300:B$400,0)),"  ")</f>
        <v>2</v>
      </c>
      <c r="AA49" s="97">
        <f>IFERROR(INDEX('6'!C$300:C$400,MATCH("*"&amp;I49&amp;"*",'6'!B$300:B$400,0)),"  ")</f>
        <v>1</v>
      </c>
      <c r="AB49" s="97">
        <f>IFERROR(INDEX('7'!C$300:C$400,MATCH("*"&amp;I49&amp;"*",'7'!B$300:B$400,0)),"  ")</f>
        <v>4</v>
      </c>
      <c r="AC49" s="97">
        <f>IFERROR(INDEX('8'!C$300:C$400,MATCH("*"&amp;I49&amp;"*",'8'!B$300:B$400,0)),"  ")</f>
        <v>4</v>
      </c>
      <c r="AD49" s="97">
        <f ca="1">IFERROR(INDEX('9'!C$300:C$400,MATCH("*"&amp;I49&amp;"*",'9'!B$300:B$400,0)),"  ")</f>
        <v>2</v>
      </c>
      <c r="AE49" s="97" t="str">
        <f>IFERROR(INDEX('10'!C$300:C$400,MATCH("*"&amp;I49&amp;"*",'10'!B$300:B$400,0)),"  ")</f>
        <v xml:space="preserve">  </v>
      </c>
      <c r="AF49" s="97" t="str">
        <f>IFERROR(INDEX('11'!C$300:C$400,MATCH("*"&amp;I49&amp;"*",'11'!B$300:B$400,0)),"  ")</f>
        <v xml:space="preserve">  </v>
      </c>
      <c r="AG49" s="294">
        <f t="shared" ca="1" si="28"/>
        <v>7</v>
      </c>
      <c r="AH49" s="794">
        <f t="shared" ca="1" si="29"/>
        <v>0</v>
      </c>
      <c r="AI49" s="796">
        <f t="shared" ca="1" si="30"/>
        <v>0</v>
      </c>
      <c r="AJ49" s="303">
        <f t="shared" ca="1" si="31"/>
        <v>0</v>
      </c>
      <c r="AK49" s="405">
        <f t="shared" si="32"/>
        <v>1E-4</v>
      </c>
      <c r="AL49" s="405">
        <f t="shared" ca="1" si="33"/>
        <v>4.0000000000000002E-4</v>
      </c>
      <c r="AM49" s="442">
        <f t="array" aca="1" ref="AM49" ca="1">MIN(IF(V$5:AF$5="ESMV",IF(V49:AF49="  ",FALSE,V49:AF49)+COLUMN(V:AF)/10000))</f>
        <v>2.5000000000000001E-3</v>
      </c>
      <c r="AN49" s="405">
        <f t="shared" si="17"/>
        <v>1E-3</v>
      </c>
    </row>
    <row r="50" spans="1:40" s="2" customFormat="1" x14ac:dyDescent="0.2">
      <c r="A50" s="328">
        <v>11</v>
      </c>
      <c r="B50" s="331">
        <f t="shared" ca="1" si="18"/>
        <v>11</v>
      </c>
      <c r="C50" s="329" t="str">
        <f t="shared" ca="1" si="19"/>
        <v>018,0-000A000A0A000C</v>
      </c>
      <c r="D50" s="907" t="s">
        <v>257</v>
      </c>
      <c r="E50" s="331" t="str">
        <f t="shared" si="20"/>
        <v/>
      </c>
      <c r="F50" s="330" t="str">
        <f t="shared" si="21"/>
        <v/>
      </c>
      <c r="G50" s="390">
        <f t="shared" ca="1" si="22"/>
        <v>42</v>
      </c>
      <c r="H50" s="76">
        <v>42</v>
      </c>
      <c r="I50" s="98" t="s">
        <v>231</v>
      </c>
      <c r="J50" s="800">
        <v>18</v>
      </c>
      <c r="K50" s="801">
        <f t="array" aca="1" ref="K50" ca="1">(IF(COUNT(V50,X50,AA50,AB50,AC50,AE50)&lt;4,SUM(V50,X50,AA50,AB50,AC50,AE50),SUM(LARGE((V50,X50,AA50,AB50,AC50,AE50),{1;2;3;4}))))+(IF(COUNT(W50,Y50,Z50,AD50,AF50)&lt;4,SUM(W50,Y50,Z50,AD50,AF50),SUM(LARGE((W50,Y50,Z50,AD50,AF50),{1;2;3;4}))))</f>
        <v>18</v>
      </c>
      <c r="L50" s="397" t="str">
        <f ca="1">INDEX(ETAPP!B$1:B$32,MATCH(COUNTIF(V50:AF50,PUNKTID!A$1),ETAPP!A$1:A$32,0))&amp;INDEX(ETAPP!B$1:B$32,MATCH(COUNTIF(V50:AF50,PUNKTID!A$2),ETAPP!A$1:A$32,0))&amp;INDEX(ETAPP!B$1:B$32,MATCH(COUNTIF(V50:AF50,PUNKTID!A$3),ETAPP!A$1:A$32,0))&amp;INDEX(ETAPP!B$1:B$32,MATCH(COUNTIF(V50:AF50,PUNKTID!A$4),ETAPP!A$1:A$32,0))&amp;INDEX(ETAPP!B$1:B$32,MATCH(COUNTIF(V50:AF50,PUNKTID!A$5),ETAPP!A$1:A$32,0))&amp;INDEX(ETAPP!B$1:B$32,MATCH(COUNTIF(V50:AF50,PUNKTID!A$6),ETAPP!A$1:A$32,0))&amp;INDEX(ETAPP!B$1:B$32,MATCH(COUNTIF(V50:AF50,PUNKTID!A$7),ETAPP!A$1:A$32,0))&amp;INDEX(ETAPP!B$1:B$32,MATCH(COUNTIF(V50:AF50,PUNKTID!A$8),ETAPP!A$1:A$32,0))&amp;INDEX(ETAPP!B$1:B$32,MATCH(COUNTIF(V50:AF50,PUNKTID!A$9),ETAPP!A$1:A$32,0))&amp;INDEX(ETAPP!B$1:B$32,MATCH(COUNTIF(V50:AF50,PUNKTID!A$10),ETAPP!A$1:A$32,0))&amp;INDEX(ETAPP!B$1:B$32,MATCH(COUNTIF(V50:AF50,PUNKTID!A$11),ETAPP!A$1:A$32,0))&amp;INDEX(ETAPP!B$1:B$32,MATCH(COUNTIF(V50:AF50,PUNKTID!A$12),ETAPP!A$1:A$32,0))&amp;INDEX(ETAPP!B$1:B$32,MATCH(COUNTIF(V50:AF50,PUNKTID!A$13),ETAPP!A$1:A$32,0))&amp;INDEX(ETAPP!B$1:B$32,MATCH(COUNTIF(V50:AF50,PUNKTID!A$14),ETAPP!A$1:A$32,0))</f>
        <v>000A000A0A000C</v>
      </c>
      <c r="M50" s="397" t="str">
        <f t="shared" ca="1" si="23"/>
        <v>018,0-000A000A0A000C</v>
      </c>
      <c r="N50" s="320">
        <f t="shared" ca="1" si="24"/>
        <v>42</v>
      </c>
      <c r="O50" s="320">
        <f t="shared" si="25"/>
        <v>52</v>
      </c>
      <c r="P50" s="397" t="str">
        <f t="shared" ca="1" si="26"/>
        <v>018,0-000A000A0A000C-052</v>
      </c>
      <c r="Q50" s="320">
        <f t="shared" ca="1" si="27"/>
        <v>58</v>
      </c>
      <c r="R50" s="328" t="s">
        <v>562</v>
      </c>
      <c r="S50" s="380"/>
      <c r="T50" s="400"/>
      <c r="U50" s="559"/>
      <c r="V50" s="97">
        <f>IFERROR(INDEX('1'!C$300:C$400,MATCH("*"&amp;I50&amp;"*",'1'!B$300:B$400,0)),"  ")</f>
        <v>12</v>
      </c>
      <c r="W50" s="97">
        <f>IFERROR(INDEX('2'!C$300:C$400,MATCH("*"&amp;I50&amp;"*",'2'!B$300:B$400,0)),"  ")</f>
        <v>4</v>
      </c>
      <c r="X50" s="97" t="str">
        <f>IFERROR(INDEX('3'!C$300:C$400,MATCH("*"&amp;I50&amp;"*",'3'!B$300:B$400,0)),"  ")</f>
        <v xml:space="preserve">  </v>
      </c>
      <c r="Y50" s="97" t="str">
        <f>IFERROR(INDEX('4'!C$300:C$400,MATCH("*"&amp;I50&amp;"*",'4'!B$300:B$400,0)),"  ")</f>
        <v xml:space="preserve">  </v>
      </c>
      <c r="Z50" s="97" t="str">
        <f>IFERROR(INDEX('5'!C$300:C$400,MATCH("*"&amp;I50&amp;"*",'5'!B$300:B$400,0)),"  ")</f>
        <v xml:space="preserve">  </v>
      </c>
      <c r="AA50" s="97" t="str">
        <f>IFERROR(INDEX('6'!C$300:C$400,MATCH("*"&amp;I50&amp;"*",'6'!B$300:B$400,0)),"  ")</f>
        <v xml:space="preserve">  </v>
      </c>
      <c r="AB50" s="97" t="str">
        <f>IFERROR(INDEX('7'!C$300:C$400,MATCH("*"&amp;I50&amp;"*",'7'!B$300:B$400,0)),"  ")</f>
        <v xml:space="preserve">  </v>
      </c>
      <c r="AC50" s="97" t="str">
        <f>IFERROR(INDEX('8'!C$300:C$400,MATCH("*"&amp;I50&amp;"*",'8'!B$300:B$400,0)),"  ")</f>
        <v xml:space="preserve">  </v>
      </c>
      <c r="AD50" s="97" t="str">
        <f ca="1">IFERROR(INDEX('9'!C$300:C$400,MATCH("*"&amp;I50&amp;"*",'9'!B$300:B$400,0)),"  ")</f>
        <v xml:space="preserve">  </v>
      </c>
      <c r="AE50" s="97" t="str">
        <f>IFERROR(INDEX('10'!C$300:C$400,MATCH("*"&amp;I50&amp;"*",'10'!B$300:B$400,0)),"  ")</f>
        <v xml:space="preserve">  </v>
      </c>
      <c r="AF50" s="97">
        <f>IFERROR(INDEX('11'!C$300:C$400,MATCH("*"&amp;I50&amp;"*",'11'!B$300:B$400,0)),"  ")</f>
        <v>2</v>
      </c>
      <c r="AG50" s="294">
        <f t="shared" ca="1" si="28"/>
        <v>3</v>
      </c>
      <c r="AH50" s="794">
        <f t="shared" ca="1" si="29"/>
        <v>1</v>
      </c>
      <c r="AI50" s="796">
        <f t="shared" ca="1" si="30"/>
        <v>0</v>
      </c>
      <c r="AJ50" s="303">
        <f t="shared" ca="1" si="31"/>
        <v>0</v>
      </c>
      <c r="AK50" s="405">
        <f t="shared" si="32"/>
        <v>2.9999999999999997E-4</v>
      </c>
      <c r="AL50" s="405">
        <f t="shared" ca="1" si="33"/>
        <v>4.0000000000000002E-4</v>
      </c>
      <c r="AM50" s="442">
        <f t="array" aca="1" ref="AM50" ca="1">MIN(IF(V$5:AF$5="ESMV",IF(V50:AF50="  ",FALSE,V50:AF50)+COLUMN(V:AF)/10000))</f>
        <v>2.5000000000000001E-3</v>
      </c>
      <c r="AN50" s="405">
        <f t="shared" si="17"/>
        <v>5.9999999999999995E-4</v>
      </c>
    </row>
    <row r="51" spans="1:40" s="2" customFormat="1" x14ac:dyDescent="0.2">
      <c r="A51" s="328" t="s">
        <v>257</v>
      </c>
      <c r="B51" s="331" t="str">
        <f t="shared" si="18"/>
        <v/>
      </c>
      <c r="C51" s="329" t="str">
        <f t="shared" si="19"/>
        <v/>
      </c>
      <c r="D51" s="907" t="s">
        <v>257</v>
      </c>
      <c r="E51" s="331" t="str">
        <f t="shared" si="20"/>
        <v/>
      </c>
      <c r="F51" s="330" t="str">
        <f t="shared" si="21"/>
        <v/>
      </c>
      <c r="G51" s="390">
        <f t="shared" ca="1" si="22"/>
        <v>43</v>
      </c>
      <c r="H51" s="76">
        <v>43</v>
      </c>
      <c r="I51" s="98" t="s">
        <v>29</v>
      </c>
      <c r="J51" s="800">
        <v>18</v>
      </c>
      <c r="K51" s="801">
        <f t="array" aca="1" ref="K51" ca="1">(IF(COUNT(V51,X51,AA51,AB51,AC51,AE51)&lt;4,SUM(V51,X51,AA51,AB51,AC51,AE51),SUM(LARGE((V51,X51,AA51,AB51,AC51,AE51),{1;2;3;4}))))+(IF(COUNT(W51,Y51,Z51,AD51,AF51)&lt;4,SUM(W51,Y51,Z51,AD51,AF51),SUM(LARGE((W51,Y51,Z51,AD51,AF51),{1;2;3;4}))))</f>
        <v>18</v>
      </c>
      <c r="L51" s="397" t="str">
        <f ca="1">INDEX(ETAPP!B$1:B$32,MATCH(COUNTIF(V51:AF51,PUNKTID!A$1),ETAPP!A$1:A$32,0))&amp;INDEX(ETAPP!B$1:B$32,MATCH(COUNTIF(V51:AF51,PUNKTID!A$2),ETAPP!A$1:A$32,0))&amp;INDEX(ETAPP!B$1:B$32,MATCH(COUNTIF(V51:AF51,PUNKTID!A$3),ETAPP!A$1:A$32,0))&amp;INDEX(ETAPP!B$1:B$32,MATCH(COUNTIF(V51:AF51,PUNKTID!A$4),ETAPP!A$1:A$32,0))&amp;INDEX(ETAPP!B$1:B$32,MATCH(COUNTIF(V51:AF51,PUNKTID!A$5),ETAPP!A$1:A$32,0))&amp;INDEX(ETAPP!B$1:B$32,MATCH(COUNTIF(V51:AF51,PUNKTID!A$6),ETAPP!A$1:A$32,0))&amp;INDEX(ETAPP!B$1:B$32,MATCH(COUNTIF(V51:AF51,PUNKTID!A$7),ETAPP!A$1:A$32,0))&amp;INDEX(ETAPP!B$1:B$32,MATCH(COUNTIF(V51:AF51,PUNKTID!A$8),ETAPP!A$1:A$32,0))&amp;INDEX(ETAPP!B$1:B$32,MATCH(COUNTIF(V51:AF51,PUNKTID!A$9),ETAPP!A$1:A$32,0))&amp;INDEX(ETAPP!B$1:B$32,MATCH(COUNTIF(V51:AF51,PUNKTID!A$10),ETAPP!A$1:A$32,0))&amp;INDEX(ETAPP!B$1:B$32,MATCH(COUNTIF(V51:AF51,PUNKTID!A$11),ETAPP!A$1:A$32,0))&amp;INDEX(ETAPP!B$1:B$32,MATCH(COUNTIF(V51:AF51,PUNKTID!A$12),ETAPP!A$1:A$32,0))&amp;INDEX(ETAPP!B$1:B$32,MATCH(COUNTIF(V51:AF51,PUNKTID!A$13),ETAPP!A$1:A$32,0))&amp;INDEX(ETAPP!B$1:B$32,MATCH(COUNTIF(V51:AF51,PUNKTID!A$14),ETAPP!A$1:A$32,0))</f>
        <v>0000AA000A000C</v>
      </c>
      <c r="M51" s="397" t="str">
        <f t="shared" ca="1" si="23"/>
        <v>018,0-0000AA000A000C</v>
      </c>
      <c r="N51" s="320">
        <f t="shared" ca="1" si="24"/>
        <v>44</v>
      </c>
      <c r="O51" s="320">
        <f t="shared" si="25"/>
        <v>35</v>
      </c>
      <c r="P51" s="397" t="str">
        <f t="shared" ca="1" si="26"/>
        <v>018,0-0000AA000A000C-035</v>
      </c>
      <c r="Q51" s="320">
        <f t="shared" ca="1" si="27"/>
        <v>57</v>
      </c>
      <c r="R51" s="328"/>
      <c r="S51" s="380"/>
      <c r="T51" s="400" t="s">
        <v>605</v>
      </c>
      <c r="U51" s="559"/>
      <c r="V51" s="97">
        <f>IFERROR(INDEX('1'!C$300:C$400,MATCH("*"&amp;I51&amp;"*",'1'!B$300:B$400,0)),"  ")</f>
        <v>9</v>
      </c>
      <c r="W51" s="97" t="str">
        <f>IFERROR(INDEX('2'!C$300:C$400,MATCH("*"&amp;I51&amp;"*",'2'!B$300:B$400,0)),"  ")</f>
        <v xml:space="preserve">  </v>
      </c>
      <c r="X51" s="97" t="str">
        <f>IFERROR(INDEX('3'!C$300:C$400,MATCH("*"&amp;I51&amp;"*",'3'!B$300:B$400,0)),"  ")</f>
        <v xml:space="preserve">  </v>
      </c>
      <c r="Y51" s="97" t="str">
        <f>IFERROR(INDEX('4'!C$300:C$400,MATCH("*"&amp;I51&amp;"*",'4'!B$300:B$400,0)),"  ")</f>
        <v xml:space="preserve">  </v>
      </c>
      <c r="Z51" s="97">
        <f>IFERROR(INDEX('5'!C$300:C$400,MATCH("*"&amp;I51&amp;"*",'5'!B$300:B$400,0)),"  ")</f>
        <v>2</v>
      </c>
      <c r="AA51" s="97">
        <f>IFERROR(INDEX('6'!C$300:C$400,MATCH("*"&amp;I51&amp;"*",'6'!B$300:B$400,0)),"  ")</f>
        <v>7</v>
      </c>
      <c r="AB51" s="97" t="str">
        <f>IFERROR(INDEX('7'!C$300:C$400,MATCH("*"&amp;I51&amp;"*",'7'!B$300:B$400,0)),"  ")</f>
        <v xml:space="preserve">  </v>
      </c>
      <c r="AC51" s="97" t="str">
        <f>IFERROR(INDEX('8'!C$300:C$400,MATCH("*"&amp;I51&amp;"*",'8'!B$300:B$400,0)),"  ")</f>
        <v xml:space="preserve">  </v>
      </c>
      <c r="AD51" s="97" t="str">
        <f ca="1">IFERROR(INDEX('9'!C$300:C$400,MATCH("*"&amp;I51&amp;"*",'9'!B$300:B$400,0)),"  ")</f>
        <v xml:space="preserve">  </v>
      </c>
      <c r="AE51" s="97" t="str">
        <f>IFERROR(INDEX('10'!C$300:C$400,MATCH("*"&amp;I51&amp;"*",'10'!B$300:B$400,0)),"  ")</f>
        <v xml:space="preserve">  </v>
      </c>
      <c r="AF51" s="97" t="str">
        <f>IFERROR(INDEX('11'!C$300:C$400,MATCH("*"&amp;I51&amp;"*",'11'!B$300:B$400,0)),"  ")</f>
        <v xml:space="preserve">  </v>
      </c>
      <c r="AG51" s="294">
        <f t="shared" ca="1" si="28"/>
        <v>3</v>
      </c>
      <c r="AH51" s="794">
        <f t="shared" ca="1" si="29"/>
        <v>0</v>
      </c>
      <c r="AI51" s="796">
        <f t="shared" ca="1" si="30"/>
        <v>0</v>
      </c>
      <c r="AJ51" s="303">
        <f t="shared" ca="1" si="31"/>
        <v>0</v>
      </c>
      <c r="AK51" s="405">
        <f t="shared" si="32"/>
        <v>2.9999999999999997E-4</v>
      </c>
      <c r="AL51" s="405">
        <f t="shared" ca="1" si="33"/>
        <v>2.0000000000000001E-4</v>
      </c>
      <c r="AM51" s="442">
        <f t="array" aca="1" ref="AM51" ca="1">MIN(IF(V$5:AF$5="ESMV",IF(V51:AF51="  ",FALSE,V51:AF51)+COLUMN(V:AF)/10000))</f>
        <v>2.3E-3</v>
      </c>
      <c r="AN51" s="405">
        <f t="shared" si="17"/>
        <v>6.9999999999999999E-4</v>
      </c>
    </row>
    <row r="52" spans="1:40" s="2" customFormat="1" x14ac:dyDescent="0.2">
      <c r="A52" s="328" t="s">
        <v>257</v>
      </c>
      <c r="B52" s="331" t="str">
        <f t="shared" si="18"/>
        <v/>
      </c>
      <c r="C52" s="329" t="str">
        <f t="shared" si="19"/>
        <v/>
      </c>
      <c r="D52" s="907" t="s">
        <v>257</v>
      </c>
      <c r="E52" s="331" t="str">
        <f t="shared" si="20"/>
        <v/>
      </c>
      <c r="F52" s="330" t="str">
        <f t="shared" si="21"/>
        <v/>
      </c>
      <c r="G52" s="390">
        <f t="shared" ca="1" si="22"/>
        <v>43</v>
      </c>
      <c r="H52" s="76">
        <v>43</v>
      </c>
      <c r="I52" s="98" t="s">
        <v>189</v>
      </c>
      <c r="J52" s="800">
        <v>18</v>
      </c>
      <c r="K52" s="801">
        <f t="array" aca="1" ref="K52" ca="1">(IF(COUNT(V52,X52,AA52,AB52,AC52,AE52)&lt;4,SUM(V52,X52,AA52,AB52,AC52,AE52),SUM(LARGE((V52,X52,AA52,AB52,AC52,AE52),{1;2;3;4}))))+(IF(COUNT(W52,Y52,Z52,AD52,AF52)&lt;4,SUM(W52,Y52,Z52,AD52,AF52),SUM(LARGE((W52,Y52,Z52,AD52,AF52),{1;2;3;4}))))</f>
        <v>18</v>
      </c>
      <c r="L52" s="397" t="str">
        <f ca="1">INDEX(ETAPP!B$1:B$32,MATCH(COUNTIF(V52:AF52,PUNKTID!A$1),ETAPP!A$1:A$32,0))&amp;INDEX(ETAPP!B$1:B$32,MATCH(COUNTIF(V52:AF52,PUNKTID!A$2),ETAPP!A$1:A$32,0))&amp;INDEX(ETAPP!B$1:B$32,MATCH(COUNTIF(V52:AF52,PUNKTID!A$3),ETAPP!A$1:A$32,0))&amp;INDEX(ETAPP!B$1:B$32,MATCH(COUNTIF(V52:AF52,PUNKTID!A$4),ETAPP!A$1:A$32,0))&amp;INDEX(ETAPP!B$1:B$32,MATCH(COUNTIF(V52:AF52,PUNKTID!A$5),ETAPP!A$1:A$32,0))&amp;INDEX(ETAPP!B$1:B$32,MATCH(COUNTIF(V52:AF52,PUNKTID!A$6),ETAPP!A$1:A$32,0))&amp;INDEX(ETAPP!B$1:B$32,MATCH(COUNTIF(V52:AF52,PUNKTID!A$7),ETAPP!A$1:A$32,0))&amp;INDEX(ETAPP!B$1:B$32,MATCH(COUNTIF(V52:AF52,PUNKTID!A$8),ETAPP!A$1:A$32,0))&amp;INDEX(ETAPP!B$1:B$32,MATCH(COUNTIF(V52:AF52,PUNKTID!A$9),ETAPP!A$1:A$32,0))&amp;INDEX(ETAPP!B$1:B$32,MATCH(COUNTIF(V52:AF52,PUNKTID!A$10),ETAPP!A$1:A$32,0))&amp;INDEX(ETAPP!B$1:B$32,MATCH(COUNTIF(V52:AF52,PUNKTID!A$11),ETAPP!A$1:A$32,0))&amp;INDEX(ETAPP!B$1:B$32,MATCH(COUNTIF(V52:AF52,PUNKTID!A$12),ETAPP!A$1:A$32,0))&amp;INDEX(ETAPP!B$1:B$32,MATCH(COUNTIF(V52:AF52,PUNKTID!A$13),ETAPP!A$1:A$32,0))&amp;INDEX(ETAPP!B$1:B$32,MATCH(COUNTIF(V52:AF52,PUNKTID!A$14),ETAPP!A$1:A$32,0))</f>
        <v>0000AA000A000C</v>
      </c>
      <c r="M52" s="397" t="str">
        <f t="shared" ca="1" si="23"/>
        <v>018,0-0000AA000A000C</v>
      </c>
      <c r="N52" s="320">
        <f t="shared" ca="1" si="24"/>
        <v>44</v>
      </c>
      <c r="O52" s="320">
        <f t="shared" si="25"/>
        <v>16</v>
      </c>
      <c r="P52" s="397" t="str">
        <f t="shared" ca="1" si="26"/>
        <v>018,0-0000AA000A000C-016</v>
      </c>
      <c r="Q52" s="320">
        <f t="shared" ca="1" si="27"/>
        <v>56</v>
      </c>
      <c r="R52" s="328"/>
      <c r="S52" s="380"/>
      <c r="T52" s="400"/>
      <c r="U52" s="559"/>
      <c r="V52" s="97">
        <f>IFERROR(INDEX('1'!C$300:C$400,MATCH("*"&amp;I52&amp;"*",'1'!B$300:B$400,0)),"  ")</f>
        <v>7</v>
      </c>
      <c r="W52" s="97" t="str">
        <f>IFERROR(INDEX('2'!C$300:C$400,MATCH("*"&amp;I52&amp;"*",'2'!B$300:B$400,0)),"  ")</f>
        <v xml:space="preserve">  </v>
      </c>
      <c r="X52" s="97" t="str">
        <f>IFERROR(INDEX('3'!C$300:C$400,MATCH("*"&amp;I52&amp;"*",'3'!B$300:B$400,0)),"  ")</f>
        <v xml:space="preserve">  </v>
      </c>
      <c r="Y52" s="97" t="str">
        <f>IFERROR(INDEX('4'!C$300:C$400,MATCH("*"&amp;I52&amp;"*",'4'!B$300:B$400,0)),"  ")</f>
        <v xml:space="preserve">  </v>
      </c>
      <c r="Z52" s="97" t="str">
        <f>IFERROR(INDEX('5'!C$300:C$400,MATCH("*"&amp;I52&amp;"*",'5'!B$300:B$400,0)),"  ")</f>
        <v xml:space="preserve">  </v>
      </c>
      <c r="AA52" s="97" t="str">
        <f>IFERROR(INDEX('6'!C$300:C$400,MATCH("*"&amp;I52&amp;"*",'6'!B$300:B$400,0)),"  ")</f>
        <v xml:space="preserve">  </v>
      </c>
      <c r="AB52" s="97" t="str">
        <f>IFERROR(INDEX('7'!C$300:C$400,MATCH("*"&amp;I52&amp;"*",'7'!B$300:B$400,0)),"  ")</f>
        <v xml:space="preserve">  </v>
      </c>
      <c r="AC52" s="97">
        <f>IFERROR(INDEX('8'!C$300:C$400,MATCH("*"&amp;I52&amp;"*",'8'!B$300:B$400,0)),"  ")</f>
        <v>9</v>
      </c>
      <c r="AD52" s="97">
        <f ca="1">IFERROR(INDEX('9'!C$300:C$400,MATCH("*"&amp;I52&amp;"*",'9'!B$300:B$400,0)),"  ")</f>
        <v>2</v>
      </c>
      <c r="AE52" s="97" t="str">
        <f>IFERROR(INDEX('10'!C$300:C$400,MATCH("*"&amp;I52&amp;"*",'10'!B$300:B$400,0)),"  ")</f>
        <v xml:space="preserve">  </v>
      </c>
      <c r="AF52" s="97" t="str">
        <f>IFERROR(INDEX('11'!C$300:C$400,MATCH("*"&amp;I52&amp;"*",'11'!B$300:B$400,0)),"  ")</f>
        <v xml:space="preserve">  </v>
      </c>
      <c r="AG52" s="294">
        <f t="shared" ca="1" si="28"/>
        <v>3</v>
      </c>
      <c r="AH52" s="794">
        <f t="shared" ca="1" si="29"/>
        <v>0</v>
      </c>
      <c r="AI52" s="796">
        <f t="shared" ca="1" si="30"/>
        <v>0</v>
      </c>
      <c r="AJ52" s="303">
        <f t="shared" ca="1" si="31"/>
        <v>0</v>
      </c>
      <c r="AK52" s="405">
        <f t="shared" si="32"/>
        <v>2.9999999999999997E-4</v>
      </c>
      <c r="AL52" s="405">
        <f t="shared" ca="1" si="33"/>
        <v>2.0000000000000001E-4</v>
      </c>
      <c r="AM52" s="442">
        <f t="array" aca="1" ref="AM52" ca="1">MIN(IF(V$5:AF$5="ESMV",IF(V52:AF52="  ",FALSE,V52:AF52)+COLUMN(V:AF)/10000))</f>
        <v>2.3E-3</v>
      </c>
      <c r="AN52" s="405">
        <f t="shared" si="17"/>
        <v>5.9999999999999995E-4</v>
      </c>
    </row>
    <row r="53" spans="1:40" s="2" customFormat="1" x14ac:dyDescent="0.2">
      <c r="A53" s="328" t="s">
        <v>257</v>
      </c>
      <c r="B53" s="331" t="str">
        <f t="shared" si="18"/>
        <v/>
      </c>
      <c r="C53" s="329" t="str">
        <f t="shared" si="19"/>
        <v/>
      </c>
      <c r="D53" s="907" t="s">
        <v>257</v>
      </c>
      <c r="E53" s="331" t="str">
        <f t="shared" si="20"/>
        <v/>
      </c>
      <c r="F53" s="330" t="str">
        <f t="shared" si="21"/>
        <v/>
      </c>
      <c r="G53" s="390">
        <f t="shared" ca="1" si="22"/>
        <v>45</v>
      </c>
      <c r="H53" s="76">
        <v>45</v>
      </c>
      <c r="I53" s="378" t="s">
        <v>37</v>
      </c>
      <c r="J53" s="800">
        <v>17</v>
      </c>
      <c r="K53" s="801">
        <f t="array" aca="1" ref="K53" ca="1">(IF(COUNT(V53,X53,AA53,AB53,AC53,AE53)&lt;4,SUM(V53,X53,AA53,AB53,AC53,AE53),SUM(LARGE((V53,X53,AA53,AB53,AC53,AE53),{1;2;3;4}))))+(IF(COUNT(W53,Y53,Z53,AD53,AF53)&lt;4,SUM(W53,Y53,Z53,AD53,AF53),SUM(LARGE((W53,Y53,Z53,AD53,AF53),{1;2;3;4}))))</f>
        <v>17</v>
      </c>
      <c r="L53" s="397" t="str">
        <f ca="1">INDEX(ETAPP!B$1:B$32,MATCH(COUNTIF(V53:AF53,PUNKTID!A$1),ETAPP!A$1:A$32,0))&amp;INDEX(ETAPP!B$1:B$32,MATCH(COUNTIF(V53:AF53,PUNKTID!A$2),ETAPP!A$1:A$32,0))&amp;INDEX(ETAPP!B$1:B$32,MATCH(COUNTIF(V53:AF53,PUNKTID!A$3),ETAPP!A$1:A$32,0))&amp;INDEX(ETAPP!B$1:B$32,MATCH(COUNTIF(V53:AF53,PUNKTID!A$4),ETAPP!A$1:A$32,0))&amp;INDEX(ETAPP!B$1:B$32,MATCH(COUNTIF(V53:AF53,PUNKTID!A$5),ETAPP!A$1:A$32,0))&amp;INDEX(ETAPP!B$1:B$32,MATCH(COUNTIF(V53:AF53,PUNKTID!A$6),ETAPP!A$1:A$32,0))&amp;INDEX(ETAPP!B$1:B$32,MATCH(COUNTIF(V53:AF53,PUNKTID!A$7),ETAPP!A$1:A$32,0))&amp;INDEX(ETAPP!B$1:B$32,MATCH(COUNTIF(V53:AF53,PUNKTID!A$8),ETAPP!A$1:A$32,0))&amp;INDEX(ETAPP!B$1:B$32,MATCH(COUNTIF(V53:AF53,PUNKTID!A$9),ETAPP!A$1:A$32,0))&amp;INDEX(ETAPP!B$1:B$32,MATCH(COUNTIF(V53:AF53,PUNKTID!A$10),ETAPP!A$1:A$32,0))&amp;INDEX(ETAPP!B$1:B$32,MATCH(COUNTIF(V53:AF53,PUNKTID!A$11),ETAPP!A$1:A$32,0))&amp;INDEX(ETAPP!B$1:B$32,MATCH(COUNTIF(V53:AF53,PUNKTID!A$12),ETAPP!A$1:A$32,0))&amp;INDEX(ETAPP!B$1:B$32,MATCH(COUNTIF(V53:AF53,PUNKTID!A$13),ETAPP!A$1:A$32,0))&amp;INDEX(ETAPP!B$1:B$32,MATCH(COUNTIF(V53:AF53,PUNKTID!A$14),ETAPP!A$1:A$32,0))</f>
        <v>000000BA0A0A0F</v>
      </c>
      <c r="M53" s="397" t="str">
        <f t="shared" ca="1" si="23"/>
        <v>017,0-000000BA0A0A0F</v>
      </c>
      <c r="N53" s="320">
        <f t="shared" ca="1" si="24"/>
        <v>45</v>
      </c>
      <c r="O53" s="320">
        <f t="shared" si="25"/>
        <v>94</v>
      </c>
      <c r="P53" s="397" t="str">
        <f t="shared" ca="1" si="26"/>
        <v>017,0-000000BA0A0A0F-094</v>
      </c>
      <c r="Q53" s="320">
        <f t="shared" ca="1" si="27"/>
        <v>55</v>
      </c>
      <c r="R53" s="328"/>
      <c r="S53" s="380"/>
      <c r="T53" s="400"/>
      <c r="U53" s="559"/>
      <c r="V53" s="97">
        <f>IFERROR(INDEX('1'!C$300:C$400,MATCH("*"&amp;I53&amp;"*",'1'!B$300:B$400,0)),"  ")</f>
        <v>5</v>
      </c>
      <c r="W53" s="97" t="str">
        <f>IFERROR(INDEX('2'!C$300:C$400,MATCH("*"&amp;I53&amp;"*",'2'!B$300:B$400,0)),"  ")</f>
        <v xml:space="preserve">  </v>
      </c>
      <c r="X53" s="97" t="str">
        <f>IFERROR(INDEX('3'!C$300:C$400,MATCH("*"&amp;I53&amp;"*",'3'!B$300:B$400,0)),"  ")</f>
        <v xml:space="preserve">  </v>
      </c>
      <c r="Y53" s="97" t="str">
        <f>IFERROR(INDEX('4'!C$300:C$400,MATCH("*"&amp;I53&amp;"*",'4'!B$300:B$400,0)),"  ")</f>
        <v xml:space="preserve">  </v>
      </c>
      <c r="Z53" s="97">
        <f>IFERROR(INDEX('5'!C$300:C$400,MATCH("*"&amp;I53&amp;"*",'5'!B$300:B$400,0)),"  ")</f>
        <v>2</v>
      </c>
      <c r="AA53" s="97">
        <f>IFERROR(INDEX('6'!C$300:C$400,MATCH("*"&amp;I53&amp;"*",'6'!B$300:B$400,0)),"  ")</f>
        <v>1</v>
      </c>
      <c r="AB53" s="97" t="str">
        <f>IFERROR(INDEX('7'!C$300:C$400,MATCH("*"&amp;I53&amp;"*",'7'!B$300:B$400,0)),"  ")</f>
        <v xml:space="preserve">  </v>
      </c>
      <c r="AC53" s="97" t="str">
        <f>IFERROR(INDEX('8'!C$300:C$400,MATCH("*"&amp;I53&amp;"*",'8'!B$300:B$400,0)),"  ")</f>
        <v xml:space="preserve">  </v>
      </c>
      <c r="AD53" s="97" t="str">
        <f ca="1">IFERROR(INDEX('9'!C$300:C$400,MATCH("*"&amp;I53&amp;"*",'9'!B$300:B$400,0)),"  ")</f>
        <v xml:space="preserve">  </v>
      </c>
      <c r="AE53" s="97">
        <f>IFERROR(INDEX('10'!C$300:C$400,MATCH("*"&amp;I53&amp;"*",'10'!B$300:B$400,0)),"  ")</f>
        <v>4</v>
      </c>
      <c r="AF53" s="97">
        <f>IFERROR(INDEX('11'!C$300:C$400,MATCH("*"&amp;I53&amp;"*",'11'!B$300:B$400,0)),"  ")</f>
        <v>5</v>
      </c>
      <c r="AG53" s="294">
        <f t="shared" ca="1" si="28"/>
        <v>5</v>
      </c>
      <c r="AH53" s="794">
        <f t="shared" ca="1" si="29"/>
        <v>0</v>
      </c>
      <c r="AI53" s="796">
        <f t="shared" ca="1" si="30"/>
        <v>0</v>
      </c>
      <c r="AJ53" s="303">
        <f t="shared" ca="1" si="31"/>
        <v>0</v>
      </c>
      <c r="AK53" s="405">
        <f t="shared" si="32"/>
        <v>2.9999999999999997E-4</v>
      </c>
      <c r="AL53" s="405">
        <f t="shared" ca="1" si="33"/>
        <v>2.0000000000000001E-4</v>
      </c>
      <c r="AM53" s="442">
        <f t="array" aca="1" ref="AM53" ca="1">MIN(IF(V$5:AF$5="ESMV",IF(V53:AF53="  ",FALSE,V53:AF53)+COLUMN(V:AF)/10000))</f>
        <v>2.3E-3</v>
      </c>
      <c r="AN53" s="405">
        <f t="shared" si="17"/>
        <v>6.9999999999999999E-4</v>
      </c>
    </row>
    <row r="54" spans="1:40" s="2" customFormat="1" x14ac:dyDescent="0.2">
      <c r="A54" s="328" t="s">
        <v>257</v>
      </c>
      <c r="B54" s="331" t="str">
        <f t="shared" si="18"/>
        <v/>
      </c>
      <c r="C54" s="329" t="str">
        <f t="shared" si="19"/>
        <v/>
      </c>
      <c r="D54" s="907" t="s">
        <v>257</v>
      </c>
      <c r="E54" s="331" t="str">
        <f t="shared" si="20"/>
        <v/>
      </c>
      <c r="F54" s="330" t="str">
        <f t="shared" si="21"/>
        <v/>
      </c>
      <c r="G54" s="390">
        <f t="shared" ca="1" si="22"/>
        <v>46</v>
      </c>
      <c r="H54" s="76">
        <v>46</v>
      </c>
      <c r="I54" s="98" t="s">
        <v>104</v>
      </c>
      <c r="J54" s="800">
        <v>17</v>
      </c>
      <c r="K54" s="801">
        <f t="array" aca="1" ref="K54" ca="1">(IF(COUNT(V54,X54,AA54,AB54,AC54,AE54)&lt;4,SUM(V54,X54,AA54,AB54,AC54,AE54),SUM(LARGE((V54,X54,AA54,AB54,AC54,AE54),{1;2;3;4}))))+(IF(COUNT(W54,Y54,Z54,AD54,AF54)&lt;4,SUM(W54,Y54,Z54,AD54,AF54),SUM(LARGE((W54,Y54,Z54,AD54,AF54),{1;2;3;4}))))</f>
        <v>17</v>
      </c>
      <c r="L54" s="397" t="str">
        <f ca="1">INDEX(ETAPP!B$1:B$32,MATCH(COUNTIF(V54:AF54,PUNKTID!A$1),ETAPP!A$1:A$32,0))&amp;INDEX(ETAPP!B$1:B$32,MATCH(COUNTIF(V54:AF54,PUNKTID!A$2),ETAPP!A$1:A$32,0))&amp;INDEX(ETAPP!B$1:B$32,MATCH(COUNTIF(V54:AF54,PUNKTID!A$3),ETAPP!A$1:A$32,0))&amp;INDEX(ETAPP!B$1:B$32,MATCH(COUNTIF(V54:AF54,PUNKTID!A$4),ETAPP!A$1:A$32,0))&amp;INDEX(ETAPP!B$1:B$32,MATCH(COUNTIF(V54:AF54,PUNKTID!A$5),ETAPP!A$1:A$32,0))&amp;INDEX(ETAPP!B$1:B$32,MATCH(COUNTIF(V54:AF54,PUNKTID!A$6),ETAPP!A$1:A$32,0))&amp;INDEX(ETAPP!B$1:B$32,MATCH(COUNTIF(V54:AF54,PUNKTID!A$7),ETAPP!A$1:A$32,0))&amp;INDEX(ETAPP!B$1:B$32,MATCH(COUNTIF(V54:AF54,PUNKTID!A$8),ETAPP!A$1:A$32,0))&amp;INDEX(ETAPP!B$1:B$32,MATCH(COUNTIF(V54:AF54,PUNKTID!A$9),ETAPP!A$1:A$32,0))&amp;INDEX(ETAPP!B$1:B$32,MATCH(COUNTIF(V54:AF54,PUNKTID!A$10),ETAPP!A$1:A$32,0))&amp;INDEX(ETAPP!B$1:B$32,MATCH(COUNTIF(V54:AF54,PUNKTID!A$11),ETAPP!A$1:A$32,0))&amp;INDEX(ETAPP!B$1:B$32,MATCH(COUNTIF(V54:AF54,PUNKTID!A$12),ETAPP!A$1:A$32,0))&amp;INDEX(ETAPP!B$1:B$32,MATCH(COUNTIF(V54:AF54,PUNKTID!A$13),ETAPP!A$1:A$32,0))&amp;INDEX(ETAPP!B$1:B$32,MATCH(COUNTIF(V54:AF54,PUNKTID!A$14),ETAPP!A$1:A$32,0))</f>
        <v>000000B00B0C0D</v>
      </c>
      <c r="M54" s="397" t="str">
        <f t="shared" ca="1" si="23"/>
        <v>017,0-000000B00B0C0D</v>
      </c>
      <c r="N54" s="320">
        <f t="shared" ca="1" si="24"/>
        <v>46</v>
      </c>
      <c r="O54" s="320">
        <f t="shared" si="25"/>
        <v>38</v>
      </c>
      <c r="P54" s="397" t="str">
        <f t="shared" ca="1" si="26"/>
        <v>017,0-000000B00B0C0D-038</v>
      </c>
      <c r="Q54" s="320">
        <f t="shared" ca="1" si="27"/>
        <v>54</v>
      </c>
      <c r="R54" s="328"/>
      <c r="S54" s="380"/>
      <c r="T54" s="400"/>
      <c r="U54" s="559"/>
      <c r="V54" s="97">
        <f>IFERROR(INDEX('1'!C$300:C$400,MATCH("*"&amp;I54&amp;"*",'1'!B$300:B$400,0)),"  ")</f>
        <v>1</v>
      </c>
      <c r="W54" s="97">
        <f>IFERROR(INDEX('2'!C$300:C$400,MATCH("*"&amp;I54&amp;"*",'2'!B$300:B$400,0)),"  ")</f>
        <v>2</v>
      </c>
      <c r="X54" s="97">
        <f>IFERROR(INDEX('3'!C$300:C$400,MATCH("*"&amp;I54&amp;"*",'3'!B$300:B$400,0)),"  ")</f>
        <v>1</v>
      </c>
      <c r="Y54" s="97" t="str">
        <f>IFERROR(INDEX('4'!C$300:C$400,MATCH("*"&amp;I54&amp;"*",'4'!B$300:B$400,0)),"  ")</f>
        <v xml:space="preserve">  </v>
      </c>
      <c r="Z54" s="97" t="str">
        <f>IFERROR(INDEX('5'!C$300:C$400,MATCH("*"&amp;I54&amp;"*",'5'!B$300:B$400,0)),"  ")</f>
        <v xml:space="preserve">  </v>
      </c>
      <c r="AA54" s="97" t="str">
        <f>IFERROR(INDEX('6'!C$300:C$400,MATCH("*"&amp;I54&amp;"*",'6'!B$300:B$400,0)),"  ")</f>
        <v xml:space="preserve">  </v>
      </c>
      <c r="AB54" s="97" t="str">
        <f>IFERROR(INDEX('7'!C$300:C$400,MATCH("*"&amp;I54&amp;"*",'7'!B$300:B$400,0)),"  ")</f>
        <v xml:space="preserve">  </v>
      </c>
      <c r="AC54" s="97">
        <f>IFERROR(INDEX('8'!C$300:C$400,MATCH("*"&amp;I54&amp;"*",'8'!B$300:B$400,0)),"  ")</f>
        <v>1</v>
      </c>
      <c r="AD54" s="97">
        <f ca="1">IFERROR(INDEX('9'!C$300:C$400,MATCH("*"&amp;I54&amp;"*",'9'!B$300:B$400,0)),"  ")</f>
        <v>2</v>
      </c>
      <c r="AE54" s="97">
        <f>IFERROR(INDEX('10'!C$300:C$400,MATCH("*"&amp;I54&amp;"*",'10'!B$300:B$400,0)),"  ")</f>
        <v>5</v>
      </c>
      <c r="AF54" s="97">
        <f>IFERROR(INDEX('11'!C$300:C$400,MATCH("*"&amp;I54&amp;"*",'11'!B$300:B$400,0)),"  ")</f>
        <v>5</v>
      </c>
      <c r="AG54" s="294">
        <f t="shared" ca="1" si="28"/>
        <v>7</v>
      </c>
      <c r="AH54" s="794">
        <f t="shared" ca="1" si="29"/>
        <v>0</v>
      </c>
      <c r="AI54" s="796">
        <f t="shared" ca="1" si="30"/>
        <v>0</v>
      </c>
      <c r="AJ54" s="303">
        <f t="shared" ca="1" si="31"/>
        <v>0</v>
      </c>
      <c r="AK54" s="405">
        <f t="shared" si="32"/>
        <v>5.9999999999999995E-4</v>
      </c>
      <c r="AL54" s="405">
        <f t="shared" ca="1" si="33"/>
        <v>4.0000000000000002E-4</v>
      </c>
      <c r="AM54" s="442">
        <f t="array" aca="1" ref="AM54" ca="1">MIN(IF(V$5:AF$5="ESMV",IF(V54:AF54="  ",FALSE,V54:AF54)+COLUMN(V:AF)/10000))</f>
        <v>2.5000000000000001E-3</v>
      </c>
      <c r="AN54" s="405">
        <f t="shared" si="17"/>
        <v>6.9999999999999999E-4</v>
      </c>
    </row>
    <row r="55" spans="1:40" s="2" customFormat="1" x14ac:dyDescent="0.2">
      <c r="A55" s="328" t="s">
        <v>257</v>
      </c>
      <c r="B55" s="331" t="str">
        <f t="shared" si="18"/>
        <v/>
      </c>
      <c r="C55" s="329" t="str">
        <f t="shared" si="19"/>
        <v/>
      </c>
      <c r="D55" s="907" t="s">
        <v>257</v>
      </c>
      <c r="E55" s="331" t="str">
        <f t="shared" si="20"/>
        <v/>
      </c>
      <c r="F55" s="330" t="str">
        <f t="shared" si="21"/>
        <v/>
      </c>
      <c r="G55" s="390">
        <f t="shared" ca="1" si="22"/>
        <v>47</v>
      </c>
      <c r="H55" s="76">
        <v>47</v>
      </c>
      <c r="I55" s="98" t="s">
        <v>576</v>
      </c>
      <c r="J55" s="800">
        <v>16</v>
      </c>
      <c r="K55" s="801">
        <f t="array" aca="1" ref="K55" ca="1">(IF(COUNT(V55,X55,AA55,AB55,AC55,AE55)&lt;4,SUM(V55,X55,AA55,AB55,AC55,AE55),SUM(LARGE((V55,X55,AA55,AB55,AC55,AE55),{1;2;3;4}))))+(IF(COUNT(W55,Y55,Z55,AD55,AF55)&lt;4,SUM(W55,Y55,Z55,AD55,AF55),SUM(LARGE((W55,Y55,Z55,AD55,AF55),{1;2;3;4}))))</f>
        <v>16</v>
      </c>
      <c r="L55" s="397" t="str">
        <f ca="1">INDEX(ETAPP!B$1:B$32,MATCH(COUNTIF(V55:AF55,PUNKTID!A$1),ETAPP!A$1:A$32,0))&amp;INDEX(ETAPP!B$1:B$32,MATCH(COUNTIF(V55:AF55,PUNKTID!A$2),ETAPP!A$1:A$32,0))&amp;INDEX(ETAPP!B$1:B$32,MATCH(COUNTIF(V55:AF55,PUNKTID!A$3),ETAPP!A$1:A$32,0))&amp;INDEX(ETAPP!B$1:B$32,MATCH(COUNTIF(V55:AF55,PUNKTID!A$4),ETAPP!A$1:A$32,0))&amp;INDEX(ETAPP!B$1:B$32,MATCH(COUNTIF(V55:AF55,PUNKTID!A$5),ETAPP!A$1:A$32,0))&amp;INDEX(ETAPP!B$1:B$32,MATCH(COUNTIF(V55:AF55,PUNKTID!A$6),ETAPP!A$1:A$32,0))&amp;INDEX(ETAPP!B$1:B$32,MATCH(COUNTIF(V55:AF55,PUNKTID!A$7),ETAPP!A$1:A$32,0))&amp;INDEX(ETAPP!B$1:B$32,MATCH(COUNTIF(V55:AF55,PUNKTID!A$8),ETAPP!A$1:A$32,0))&amp;INDEX(ETAPP!B$1:B$32,MATCH(COUNTIF(V55:AF55,PUNKTID!A$9),ETAPP!A$1:A$32,0))&amp;INDEX(ETAPP!B$1:B$32,MATCH(COUNTIF(V55:AF55,PUNKTID!A$10),ETAPP!A$1:A$32,0))&amp;INDEX(ETAPP!B$1:B$32,MATCH(COUNTIF(V55:AF55,PUNKTID!A$11),ETAPP!A$1:A$32,0))&amp;INDEX(ETAPP!B$1:B$32,MATCH(COUNTIF(V55:AF55,PUNKTID!A$12),ETAPP!A$1:A$32,0))&amp;INDEX(ETAPP!B$1:B$32,MATCH(COUNTIF(V55:AF55,PUNKTID!A$13),ETAPP!A$1:A$32,0))&amp;INDEX(ETAPP!B$1:B$32,MATCH(COUNTIF(V55:AF55,PUNKTID!A$14),ETAPP!A$1:A$32,0))</f>
        <v>00A0000000000E</v>
      </c>
      <c r="M55" s="397" t="str">
        <f t="shared" ca="1" si="23"/>
        <v>016,0-00A0000000000E</v>
      </c>
      <c r="N55" s="320">
        <f t="shared" ca="1" si="24"/>
        <v>48</v>
      </c>
      <c r="O55" s="320">
        <f t="shared" si="25"/>
        <v>90</v>
      </c>
      <c r="P55" s="397" t="str">
        <f t="shared" ca="1" si="26"/>
        <v>016,0-00A0000000000E-090</v>
      </c>
      <c r="Q55" s="320">
        <f t="shared" ca="1" si="27"/>
        <v>53</v>
      </c>
      <c r="R55" s="328"/>
      <c r="S55" s="380"/>
      <c r="T55" s="400"/>
      <c r="U55" s="559"/>
      <c r="V55" s="97" t="str">
        <f>IFERROR(INDEX('1'!C$300:C$400,MATCH("*"&amp;I55&amp;"*",'1'!B$300:B$400,0)),"  ")</f>
        <v xml:space="preserve">  </v>
      </c>
      <c r="W55" s="97" t="str">
        <f>IFERROR(INDEX('2'!C$300:C$400,MATCH("*"&amp;I55&amp;"*",'2'!B$300:B$400,0)),"  ")</f>
        <v xml:space="preserve">  </v>
      </c>
      <c r="X55" s="97" t="str">
        <f>IFERROR(INDEX('3'!C$300:C$400,MATCH("*"&amp;I55&amp;"*",'3'!B$300:B$400,0)),"  ")</f>
        <v xml:space="preserve">  </v>
      </c>
      <c r="Y55" s="97" t="str">
        <f>IFERROR(INDEX('4'!C$300:C$400,MATCH("*"&amp;I55&amp;"*",'4'!B$300:B$400,0)),"  ")</f>
        <v xml:space="preserve">  </v>
      </c>
      <c r="Z55" s="97" t="str">
        <f>IFERROR(INDEX('5'!C$300:C$400,MATCH("*"&amp;I55&amp;"*",'5'!B$300:B$400,0)),"  ")</f>
        <v xml:space="preserve">  </v>
      </c>
      <c r="AA55" s="97" t="str">
        <f>IFERROR(INDEX('6'!C$300:C$400,MATCH("*"&amp;I55&amp;"*",'6'!B$300:B$400,0)),"  ")</f>
        <v xml:space="preserve">  </v>
      </c>
      <c r="AB55" s="97" t="str">
        <f>IFERROR(INDEX('7'!C$300:C$400,MATCH("*"&amp;I55&amp;"*",'7'!B$300:B$400,0)),"  ")</f>
        <v xml:space="preserve">  </v>
      </c>
      <c r="AC55" s="97" t="str">
        <f>IFERROR(INDEX('8'!C$300:C$400,MATCH("*"&amp;I55&amp;"*",'8'!B$300:B$400,0)),"  ")</f>
        <v xml:space="preserve">  </v>
      </c>
      <c r="AD55" s="97" t="str">
        <f ca="1">IFERROR(INDEX('9'!C$300:C$400,MATCH("*"&amp;I55&amp;"*",'9'!B$300:B$400,0)),"  ")</f>
        <v xml:space="preserve">  </v>
      </c>
      <c r="AE55" s="97" t="str">
        <f>IFERROR(INDEX('10'!C$300:C$400,MATCH("*"&amp;I55&amp;"*",'10'!B$300:B$400,0)),"  ")</f>
        <v xml:space="preserve">  </v>
      </c>
      <c r="AF55" s="97">
        <f>IFERROR(INDEX('11'!C$300:C$400,MATCH("*"&amp;I55&amp;"*",'11'!B$300:B$400,0)),"  ")</f>
        <v>16</v>
      </c>
      <c r="AG55" s="294">
        <f t="shared" ca="1" si="28"/>
        <v>1</v>
      </c>
      <c r="AH55" s="794">
        <f t="shared" ca="1" si="29"/>
        <v>1</v>
      </c>
      <c r="AI55" s="796">
        <f t="shared" ca="1" si="30"/>
        <v>0</v>
      </c>
      <c r="AJ55" s="303">
        <f t="shared" ca="1" si="31"/>
        <v>0</v>
      </c>
      <c r="AK55" s="405">
        <f t="shared" si="32"/>
        <v>1E-4</v>
      </c>
      <c r="AL55" s="405">
        <f t="shared" ca="1" si="33"/>
        <v>2.0000000000000001E-4</v>
      </c>
      <c r="AM55" s="442">
        <f t="array" aca="1" ref="AM55" ca="1">MIN(IF(V$5:AF$5="ESMV",IF(V55:AF55="  ",FALSE,V55:AF55)+COLUMN(V:AF)/10000))</f>
        <v>2.3E-3</v>
      </c>
      <c r="AN55" s="405">
        <f t="shared" si="17"/>
        <v>2.9999999999999997E-4</v>
      </c>
    </row>
    <row r="56" spans="1:40" s="2" customFormat="1" x14ac:dyDescent="0.2">
      <c r="A56" s="328" t="s">
        <v>257</v>
      </c>
      <c r="B56" s="331" t="str">
        <f t="shared" si="18"/>
        <v/>
      </c>
      <c r="C56" s="329" t="str">
        <f t="shared" si="19"/>
        <v/>
      </c>
      <c r="D56" s="907" t="s">
        <v>257</v>
      </c>
      <c r="E56" s="331" t="str">
        <f t="shared" si="20"/>
        <v/>
      </c>
      <c r="F56" s="330" t="str">
        <f t="shared" si="21"/>
        <v/>
      </c>
      <c r="G56" s="390">
        <f t="shared" ca="1" si="22"/>
        <v>47</v>
      </c>
      <c r="H56" s="76">
        <v>47</v>
      </c>
      <c r="I56" s="378" t="s">
        <v>865</v>
      </c>
      <c r="J56" s="800">
        <v>16</v>
      </c>
      <c r="K56" s="801">
        <f t="array" aca="1" ref="K56" ca="1">(IF(COUNT(V56,X56,AA56,AB56,AC56,AE56)&lt;4,SUM(V56,X56,AA56,AB56,AC56,AE56),SUM(LARGE((V56,X56,AA56,AB56,AC56,AE56),{1;2;3;4}))))+(IF(COUNT(W56,Y56,Z56,AD56,AF56)&lt;4,SUM(W56,Y56,Z56,AD56,AF56),SUM(LARGE((W56,Y56,Z56,AD56,AF56),{1;2;3;4}))))</f>
        <v>16</v>
      </c>
      <c r="L56" s="397" t="str">
        <f ca="1">INDEX(ETAPP!B$1:B$32,MATCH(COUNTIF(V56:AF56,PUNKTID!A$1),ETAPP!A$1:A$32,0))&amp;INDEX(ETAPP!B$1:B$32,MATCH(COUNTIF(V56:AF56,PUNKTID!A$2),ETAPP!A$1:A$32,0))&amp;INDEX(ETAPP!B$1:B$32,MATCH(COUNTIF(V56:AF56,PUNKTID!A$3),ETAPP!A$1:A$32,0))&amp;INDEX(ETAPP!B$1:B$32,MATCH(COUNTIF(V56:AF56,PUNKTID!A$4),ETAPP!A$1:A$32,0))&amp;INDEX(ETAPP!B$1:B$32,MATCH(COUNTIF(V56:AF56,PUNKTID!A$5),ETAPP!A$1:A$32,0))&amp;INDEX(ETAPP!B$1:B$32,MATCH(COUNTIF(V56:AF56,PUNKTID!A$6),ETAPP!A$1:A$32,0))&amp;INDEX(ETAPP!B$1:B$32,MATCH(COUNTIF(V56:AF56,PUNKTID!A$7),ETAPP!A$1:A$32,0))&amp;INDEX(ETAPP!B$1:B$32,MATCH(COUNTIF(V56:AF56,PUNKTID!A$8),ETAPP!A$1:A$32,0))&amp;INDEX(ETAPP!B$1:B$32,MATCH(COUNTIF(V56:AF56,PUNKTID!A$9),ETAPP!A$1:A$32,0))&amp;INDEX(ETAPP!B$1:B$32,MATCH(COUNTIF(V56:AF56,PUNKTID!A$10),ETAPP!A$1:A$32,0))&amp;INDEX(ETAPP!B$1:B$32,MATCH(COUNTIF(V56:AF56,PUNKTID!A$11),ETAPP!A$1:A$32,0))&amp;INDEX(ETAPP!B$1:B$32,MATCH(COUNTIF(V56:AF56,PUNKTID!A$12),ETAPP!A$1:A$32,0))&amp;INDEX(ETAPP!B$1:B$32,MATCH(COUNTIF(V56:AF56,PUNKTID!A$13),ETAPP!A$1:A$32,0))&amp;INDEX(ETAPP!B$1:B$32,MATCH(COUNTIF(V56:AF56,PUNKTID!A$14),ETAPP!A$1:A$32,0))</f>
        <v>00A0000000000E</v>
      </c>
      <c r="M56" s="397" t="str">
        <f t="shared" ca="1" si="23"/>
        <v>016,0-00A0000000000E</v>
      </c>
      <c r="N56" s="320">
        <f t="shared" ca="1" si="24"/>
        <v>48</v>
      </c>
      <c r="O56" s="320">
        <f t="shared" si="25"/>
        <v>73</v>
      </c>
      <c r="P56" s="397" t="str">
        <f t="shared" ca="1" si="26"/>
        <v>016,0-00A0000000000E-073</v>
      </c>
      <c r="Q56" s="320">
        <f t="shared" ca="1" si="27"/>
        <v>52</v>
      </c>
      <c r="R56" s="328"/>
      <c r="S56" s="380"/>
      <c r="T56" s="400"/>
      <c r="U56" s="559"/>
      <c r="V56" s="97" t="str">
        <f>IFERROR(INDEX('1'!C$300:C$400,MATCH("*"&amp;I56&amp;"*",'1'!B$300:B$400,0)),"  ")</f>
        <v xml:space="preserve">  </v>
      </c>
      <c r="W56" s="97" t="str">
        <f>IFERROR(INDEX('2'!C$300:C$400,MATCH("*"&amp;I56&amp;"*",'2'!B$300:B$400,0)),"  ")</f>
        <v xml:space="preserve">  </v>
      </c>
      <c r="X56" s="97" t="str">
        <f>IFERROR(INDEX('3'!C$300:C$400,MATCH("*"&amp;I56&amp;"*",'3'!B$300:B$400,0)),"  ")</f>
        <v xml:space="preserve">  </v>
      </c>
      <c r="Y56" s="97" t="str">
        <f>IFERROR(INDEX('4'!C$300:C$400,MATCH("*"&amp;I56&amp;"*",'4'!B$300:B$400,0)),"  ")</f>
        <v xml:space="preserve">  </v>
      </c>
      <c r="Z56" s="97" t="str">
        <f>IFERROR(INDEX('5'!C$300:C$400,MATCH("*"&amp;I56&amp;"*",'5'!B$300:B$400,0)),"  ")</f>
        <v xml:space="preserve">  </v>
      </c>
      <c r="AA56" s="97" t="str">
        <f>IFERROR(INDEX('6'!C$300:C$400,MATCH("*"&amp;I56&amp;"*",'6'!B$300:B$400,0)),"  ")</f>
        <v xml:space="preserve">  </v>
      </c>
      <c r="AB56" s="97" t="str">
        <f>IFERROR(INDEX('7'!C$300:C$400,MATCH("*"&amp;I56&amp;"*",'7'!B$300:B$400,0)),"  ")</f>
        <v xml:space="preserve">  </v>
      </c>
      <c r="AC56" s="97" t="str">
        <f>IFERROR(INDEX('8'!C$300:C$400,MATCH("*"&amp;I56&amp;"*",'8'!B$300:B$400,0)),"  ")</f>
        <v xml:space="preserve">  </v>
      </c>
      <c r="AD56" s="97" t="str">
        <f ca="1">IFERROR(INDEX('9'!C$300:C$400,MATCH("*"&amp;I56&amp;"*",'9'!B$300:B$400,0)),"  ")</f>
        <v xml:space="preserve">  </v>
      </c>
      <c r="AE56" s="97" t="str">
        <f>IFERROR(INDEX('10'!C$300:C$400,MATCH("*"&amp;I56&amp;"*",'10'!B$300:B$400,0)),"  ")</f>
        <v xml:space="preserve">  </v>
      </c>
      <c r="AF56" s="97">
        <f>IFERROR(INDEX('11'!C$300:C$400,MATCH("*"&amp;I56&amp;"*",'11'!B$300:B$400,0)),"  ")</f>
        <v>16</v>
      </c>
      <c r="AG56" s="294">
        <f t="shared" ca="1" si="28"/>
        <v>1</v>
      </c>
      <c r="AH56" s="794">
        <f t="shared" ca="1" si="29"/>
        <v>1</v>
      </c>
      <c r="AI56" s="796">
        <f t="shared" ca="1" si="30"/>
        <v>0</v>
      </c>
      <c r="AJ56" s="303">
        <f t="shared" ca="1" si="31"/>
        <v>0</v>
      </c>
      <c r="AK56" s="405">
        <f t="shared" si="32"/>
        <v>1E-4</v>
      </c>
      <c r="AL56" s="405">
        <f t="shared" ca="1" si="33"/>
        <v>2.0000000000000001E-4</v>
      </c>
      <c r="AM56" s="442">
        <f t="array" aca="1" ref="AM56" ca="1">MIN(IF(V$5:AF$5="ESMV",IF(V56:AF56="  ",FALSE,V56:AF56)+COLUMN(V:AF)/10000))</f>
        <v>2.3E-3</v>
      </c>
      <c r="AN56" s="405">
        <f t="shared" si="17"/>
        <v>2.9999999999999997E-4</v>
      </c>
    </row>
    <row r="57" spans="1:40" s="2" customFormat="1" x14ac:dyDescent="0.2">
      <c r="A57" s="328" t="s">
        <v>257</v>
      </c>
      <c r="B57" s="331" t="str">
        <f t="shared" si="18"/>
        <v/>
      </c>
      <c r="C57" s="329" t="str">
        <f t="shared" si="19"/>
        <v/>
      </c>
      <c r="D57" s="907" t="s">
        <v>257</v>
      </c>
      <c r="E57" s="331" t="str">
        <f t="shared" si="20"/>
        <v/>
      </c>
      <c r="F57" s="330" t="str">
        <f t="shared" si="21"/>
        <v/>
      </c>
      <c r="G57" s="390">
        <f t="shared" ca="1" si="22"/>
        <v>49</v>
      </c>
      <c r="H57" s="76">
        <v>49</v>
      </c>
      <c r="I57" s="98" t="s">
        <v>209</v>
      </c>
      <c r="J57" s="800">
        <v>16</v>
      </c>
      <c r="K57" s="801">
        <f t="array" aca="1" ref="K57" ca="1">(IF(COUNT(V57,X57,AA57,AB57,AC57,AE57)&lt;4,SUM(V57,X57,AA57,AB57,AC57,AE57),SUM(LARGE((V57,X57,AA57,AB57,AC57,AE57),{1;2;3;4}))))+(IF(COUNT(W57,Y57,Z57,AD57,AF57)&lt;4,SUM(W57,Y57,Z57,AD57,AF57),SUM(LARGE((W57,Y57,Z57,AD57,AF57),{1;2;3;4}))))</f>
        <v>16</v>
      </c>
      <c r="L57" s="397" t="str">
        <f ca="1">INDEX(ETAPP!B$1:B$32,MATCH(COUNTIF(V57:AF57,PUNKTID!A$1),ETAPP!A$1:A$32,0))&amp;INDEX(ETAPP!B$1:B$32,MATCH(COUNTIF(V57:AF57,PUNKTID!A$2),ETAPP!A$1:A$32,0))&amp;INDEX(ETAPP!B$1:B$32,MATCH(COUNTIF(V57:AF57,PUNKTID!A$3),ETAPP!A$1:A$32,0))&amp;INDEX(ETAPP!B$1:B$32,MATCH(COUNTIF(V57:AF57,PUNKTID!A$4),ETAPP!A$1:A$32,0))&amp;INDEX(ETAPP!B$1:B$32,MATCH(COUNTIF(V57:AF57,PUNKTID!A$5),ETAPP!A$1:A$32,0))&amp;INDEX(ETAPP!B$1:B$32,MATCH(COUNTIF(V57:AF57,PUNKTID!A$6),ETAPP!A$1:A$32,0))&amp;INDEX(ETAPP!B$1:B$32,MATCH(COUNTIF(V57:AF57,PUNKTID!A$7),ETAPP!A$1:A$32,0))&amp;INDEX(ETAPP!B$1:B$32,MATCH(COUNTIF(V57:AF57,PUNKTID!A$8),ETAPP!A$1:A$32,0))&amp;INDEX(ETAPP!B$1:B$32,MATCH(COUNTIF(V57:AF57,PUNKTID!A$9),ETAPP!A$1:A$32,0))&amp;INDEX(ETAPP!B$1:B$32,MATCH(COUNTIF(V57:AF57,PUNKTID!A$10),ETAPP!A$1:A$32,0))&amp;INDEX(ETAPP!B$1:B$32,MATCH(COUNTIF(V57:AF57,PUNKTID!A$11),ETAPP!A$1:A$32,0))&amp;INDEX(ETAPP!B$1:B$32,MATCH(COUNTIF(V57:AF57,PUNKTID!A$12),ETAPP!A$1:A$32,0))&amp;INDEX(ETAPP!B$1:B$32,MATCH(COUNTIF(V57:AF57,PUNKTID!A$13),ETAPP!A$1:A$32,0))&amp;INDEX(ETAPP!B$1:B$32,MATCH(COUNTIF(V57:AF57,PUNKTID!A$14),ETAPP!A$1:A$32,0))</f>
        <v>000A000A00000D</v>
      </c>
      <c r="M57" s="397" t="str">
        <f t="shared" ca="1" si="23"/>
        <v>016,0-000A000A00000D</v>
      </c>
      <c r="N57" s="320">
        <f t="shared" ca="1" si="24"/>
        <v>49</v>
      </c>
      <c r="O57" s="320">
        <f t="shared" si="25"/>
        <v>67</v>
      </c>
      <c r="P57" s="397" t="str">
        <f t="shared" ca="1" si="26"/>
        <v>016,0-000A000A00000D-067</v>
      </c>
      <c r="Q57" s="320">
        <f t="shared" ca="1" si="27"/>
        <v>51</v>
      </c>
      <c r="R57" s="328"/>
      <c r="S57" s="380"/>
      <c r="T57" s="400" t="s">
        <v>605</v>
      </c>
      <c r="U57" s="559"/>
      <c r="V57" s="97" t="str">
        <f>IFERROR(INDEX('1'!C$300:C$400,MATCH("*"&amp;I57&amp;"*",'1'!B$300:B$400,0)),"  ")</f>
        <v xml:space="preserve">  </v>
      </c>
      <c r="W57" s="97" t="str">
        <f>IFERROR(INDEX('2'!C$300:C$400,MATCH("*"&amp;I57&amp;"*",'2'!B$300:B$400,0)),"  ")</f>
        <v xml:space="preserve">  </v>
      </c>
      <c r="X57" s="97" t="str">
        <f>IFERROR(INDEX('3'!C$300:C$400,MATCH("*"&amp;I57&amp;"*",'3'!B$300:B$400,0)),"  ")</f>
        <v xml:space="preserve">  </v>
      </c>
      <c r="Y57" s="97" t="str">
        <f>IFERROR(INDEX('4'!C$300:C$400,MATCH("*"&amp;I57&amp;"*",'4'!B$300:B$400,0)),"  ")</f>
        <v xml:space="preserve">  </v>
      </c>
      <c r="Z57" s="97">
        <f>IFERROR(INDEX('5'!C$300:C$400,MATCH("*"&amp;I57&amp;"*",'5'!B$300:B$400,0)),"  ")</f>
        <v>4</v>
      </c>
      <c r="AA57" s="97">
        <f>IFERROR(INDEX('6'!C$300:C$400,MATCH("*"&amp;I57&amp;"*",'6'!B$300:B$400,0)),"  ")</f>
        <v>12</v>
      </c>
      <c r="AB57" s="97" t="str">
        <f>IFERROR(INDEX('7'!C$300:C$400,MATCH("*"&amp;I57&amp;"*",'7'!B$300:B$400,0)),"  ")</f>
        <v xml:space="preserve">  </v>
      </c>
      <c r="AC57" s="97" t="str">
        <f>IFERROR(INDEX('8'!C$300:C$400,MATCH("*"&amp;I57&amp;"*",'8'!B$300:B$400,0)),"  ")</f>
        <v xml:space="preserve">  </v>
      </c>
      <c r="AD57" s="97" t="str">
        <f ca="1">IFERROR(INDEX('9'!C$300:C$400,MATCH("*"&amp;I57&amp;"*",'9'!B$300:B$400,0)),"  ")</f>
        <v xml:space="preserve">  </v>
      </c>
      <c r="AE57" s="97" t="str">
        <f>IFERROR(INDEX('10'!C$300:C$400,MATCH("*"&amp;I57&amp;"*",'10'!B$300:B$400,0)),"  ")</f>
        <v xml:space="preserve">  </v>
      </c>
      <c r="AF57" s="97" t="str">
        <f>IFERROR(INDEX('11'!C$300:C$400,MATCH("*"&amp;I57&amp;"*",'11'!B$300:B$400,0)),"  ")</f>
        <v xml:space="preserve">  </v>
      </c>
      <c r="AG57" s="294">
        <f t="shared" ca="1" si="28"/>
        <v>2</v>
      </c>
      <c r="AH57" s="794">
        <f t="shared" ca="1" si="29"/>
        <v>1</v>
      </c>
      <c r="AI57" s="796">
        <f t="shared" ca="1" si="30"/>
        <v>0</v>
      </c>
      <c r="AJ57" s="303">
        <f t="shared" ca="1" si="31"/>
        <v>0</v>
      </c>
      <c r="AK57" s="405">
        <f t="shared" si="32"/>
        <v>1E-4</v>
      </c>
      <c r="AL57" s="405">
        <f t="shared" ca="1" si="33"/>
        <v>2.0000000000000001E-4</v>
      </c>
      <c r="AM57" s="442">
        <f t="array" aca="1" ref="AM57" ca="1">MIN(IF(V$5:AF$5="ESMV",IF(V57:AF57="  ",FALSE,V57:AF57)+COLUMN(V:AF)/10000))</f>
        <v>2.3E-3</v>
      </c>
      <c r="AN57" s="405">
        <f t="shared" si="17"/>
        <v>2.9999999999999997E-4</v>
      </c>
    </row>
    <row r="58" spans="1:40" s="2" customFormat="1" x14ac:dyDescent="0.2">
      <c r="A58" s="328">
        <v>12</v>
      </c>
      <c r="B58" s="331">
        <f t="shared" ca="1" si="18"/>
        <v>12</v>
      </c>
      <c r="C58" s="329" t="str">
        <f t="shared" ca="1" si="19"/>
        <v>015,0-00000AA00A0A0G</v>
      </c>
      <c r="D58" s="907" t="s">
        <v>257</v>
      </c>
      <c r="E58" s="331" t="str">
        <f t="shared" si="20"/>
        <v/>
      </c>
      <c r="F58" s="330" t="str">
        <f t="shared" si="21"/>
        <v/>
      </c>
      <c r="G58" s="390">
        <f t="shared" ca="1" si="22"/>
        <v>50</v>
      </c>
      <c r="H58" s="76">
        <v>50</v>
      </c>
      <c r="I58" s="98" t="s">
        <v>596</v>
      </c>
      <c r="J58" s="800">
        <v>15</v>
      </c>
      <c r="K58" s="801">
        <f t="array" aca="1" ref="K58" ca="1">(IF(COUNT(V58,X58,AA58,AB58,AC58,AE58)&lt;4,SUM(V58,X58,AA58,AB58,AC58,AE58),SUM(LARGE((V58,X58,AA58,AB58,AC58,AE58),{1;2;3;4}))))+(IF(COUNT(W58,Y58,Z58,AD58,AF58)&lt;4,SUM(W58,Y58,Z58,AD58,AF58),SUM(LARGE((W58,Y58,Z58,AD58,AF58),{1;2;3;4}))))</f>
        <v>15</v>
      </c>
      <c r="L58" s="397" t="str">
        <f ca="1">INDEX(ETAPP!B$1:B$32,MATCH(COUNTIF(V58:AF58,PUNKTID!A$1),ETAPP!A$1:A$32,0))&amp;INDEX(ETAPP!B$1:B$32,MATCH(COUNTIF(V58:AF58,PUNKTID!A$2),ETAPP!A$1:A$32,0))&amp;INDEX(ETAPP!B$1:B$32,MATCH(COUNTIF(V58:AF58,PUNKTID!A$3),ETAPP!A$1:A$32,0))&amp;INDEX(ETAPP!B$1:B$32,MATCH(COUNTIF(V58:AF58,PUNKTID!A$4),ETAPP!A$1:A$32,0))&amp;INDEX(ETAPP!B$1:B$32,MATCH(COUNTIF(V58:AF58,PUNKTID!A$5),ETAPP!A$1:A$32,0))&amp;INDEX(ETAPP!B$1:B$32,MATCH(COUNTIF(V58:AF58,PUNKTID!A$6),ETAPP!A$1:A$32,0))&amp;INDEX(ETAPP!B$1:B$32,MATCH(COUNTIF(V58:AF58,PUNKTID!A$7),ETAPP!A$1:A$32,0))&amp;INDEX(ETAPP!B$1:B$32,MATCH(COUNTIF(V58:AF58,PUNKTID!A$8),ETAPP!A$1:A$32,0))&amp;INDEX(ETAPP!B$1:B$32,MATCH(COUNTIF(V58:AF58,PUNKTID!A$9),ETAPP!A$1:A$32,0))&amp;INDEX(ETAPP!B$1:B$32,MATCH(COUNTIF(V58:AF58,PUNKTID!A$10),ETAPP!A$1:A$32,0))&amp;INDEX(ETAPP!B$1:B$32,MATCH(COUNTIF(V58:AF58,PUNKTID!A$11),ETAPP!A$1:A$32,0))&amp;INDEX(ETAPP!B$1:B$32,MATCH(COUNTIF(V58:AF58,PUNKTID!A$12),ETAPP!A$1:A$32,0))&amp;INDEX(ETAPP!B$1:B$32,MATCH(COUNTIF(V58:AF58,PUNKTID!A$13),ETAPP!A$1:A$32,0))&amp;INDEX(ETAPP!B$1:B$32,MATCH(COUNTIF(V58:AF58,PUNKTID!A$14),ETAPP!A$1:A$32,0))</f>
        <v>00000AA00A0A0G</v>
      </c>
      <c r="M58" s="397" t="str">
        <f t="shared" ca="1" si="23"/>
        <v>015,0-00000AA00A0A0G</v>
      </c>
      <c r="N58" s="320">
        <f t="shared" ca="1" si="24"/>
        <v>50</v>
      </c>
      <c r="O58" s="320">
        <f t="shared" si="25"/>
        <v>66</v>
      </c>
      <c r="P58" s="397" t="str">
        <f t="shared" ca="1" si="26"/>
        <v>015,0-00000AA00A0A0G-066</v>
      </c>
      <c r="Q58" s="320">
        <f t="shared" ca="1" si="27"/>
        <v>50</v>
      </c>
      <c r="R58" s="328" t="s">
        <v>562</v>
      </c>
      <c r="S58" s="380"/>
      <c r="T58" s="400" t="s">
        <v>605</v>
      </c>
      <c r="U58" s="559"/>
      <c r="V58" s="97" t="str">
        <f>IFERROR(INDEX('1'!C$300:C$400,MATCH("*"&amp;I58&amp;"*",'1'!B$300:B$400,0)),"  ")</f>
        <v xml:space="preserve">  </v>
      </c>
      <c r="W58" s="97" t="str">
        <f>IFERROR(INDEX('2'!C$300:C$400,MATCH("*"&amp;I58&amp;"*",'2'!B$300:B$400,0)),"  ")</f>
        <v xml:space="preserve">  </v>
      </c>
      <c r="X58" s="97" t="str">
        <f>IFERROR(INDEX('3'!C$300:C$400,MATCH("*"&amp;I58&amp;"*",'3'!B$300:B$400,0)),"  ")</f>
        <v xml:space="preserve">  </v>
      </c>
      <c r="Y58" s="97">
        <f>IFERROR(INDEX('4'!C$300:C$400,MATCH("*"&amp;I58&amp;"*",'4'!B$300:B$400,0)),"  ")</f>
        <v>5</v>
      </c>
      <c r="Z58" s="97">
        <f>IFERROR(INDEX('5'!C$300:C$400,MATCH("*"&amp;I58&amp;"*",'5'!B$300:B$400,0)),"  ")</f>
        <v>2</v>
      </c>
      <c r="AA58" s="97">
        <f>IFERROR(INDEX('6'!C$300:C$400,MATCH("*"&amp;I58&amp;"*",'6'!B$300:B$400,0)),"  ")</f>
        <v>1</v>
      </c>
      <c r="AB58" s="97">
        <f>IFERROR(INDEX('7'!C$300:C$400,MATCH("*"&amp;I58&amp;"*",'7'!B$300:B$400,0)),"  ")</f>
        <v>7</v>
      </c>
      <c r="AC58" s="97" t="str">
        <f>IFERROR(INDEX('8'!C$300:C$400,MATCH("*"&amp;I58&amp;"*",'8'!B$300:B$400,0)),"  ")</f>
        <v xml:space="preserve">  </v>
      </c>
      <c r="AD58" s="97" t="str">
        <f ca="1">IFERROR(INDEX('9'!C$300:C$400,MATCH("*"&amp;I58&amp;"*",'9'!B$300:B$400,0)),"  ")</f>
        <v xml:space="preserve">  </v>
      </c>
      <c r="AE58" s="97" t="str">
        <f>IFERROR(INDEX('10'!C$300:C$400,MATCH("*"&amp;I58&amp;"*",'10'!B$300:B$400,0)),"  ")</f>
        <v xml:space="preserve">  </v>
      </c>
      <c r="AF58" s="97" t="str">
        <f>IFERROR(INDEX('11'!C$300:C$400,MATCH("*"&amp;I58&amp;"*",'11'!B$300:B$400,0)),"  ")</f>
        <v xml:space="preserve">  </v>
      </c>
      <c r="AG58" s="294">
        <f t="shared" ca="1" si="28"/>
        <v>4</v>
      </c>
      <c r="AH58" s="794">
        <f t="shared" ca="1" si="29"/>
        <v>0</v>
      </c>
      <c r="AI58" s="796">
        <f t="shared" ca="1" si="30"/>
        <v>0</v>
      </c>
      <c r="AJ58" s="303">
        <f t="shared" ca="1" si="31"/>
        <v>0</v>
      </c>
      <c r="AK58" s="405">
        <f t="shared" si="32"/>
        <v>1E-4</v>
      </c>
      <c r="AL58" s="405">
        <f t="shared" ca="1" si="33"/>
        <v>2.0000000000000001E-4</v>
      </c>
      <c r="AM58" s="442">
        <f t="array" aca="1" ref="AM58" ca="1">MIN(IF(V$5:AF$5="ESMV",IF(V58:AF58="  ",FALSE,V58:AF58)+COLUMN(V:AF)/10000))</f>
        <v>2.3E-3</v>
      </c>
      <c r="AN58" s="405">
        <f t="shared" si="17"/>
        <v>2.9999999999999997E-4</v>
      </c>
    </row>
    <row r="59" spans="1:40" s="2" customFormat="1" x14ac:dyDescent="0.2">
      <c r="A59" s="328">
        <v>13</v>
      </c>
      <c r="B59" s="331">
        <f t="shared" ca="1" si="18"/>
        <v>13</v>
      </c>
      <c r="C59" s="329" t="str">
        <f t="shared" ca="1" si="19"/>
        <v>014,0-000A00000A000D</v>
      </c>
      <c r="D59" s="907" t="s">
        <v>257</v>
      </c>
      <c r="E59" s="331" t="str">
        <f t="shared" si="20"/>
        <v/>
      </c>
      <c r="F59" s="330" t="str">
        <f t="shared" si="21"/>
        <v/>
      </c>
      <c r="G59" s="390">
        <f t="shared" ca="1" si="22"/>
        <v>51</v>
      </c>
      <c r="H59" s="76">
        <v>51</v>
      </c>
      <c r="I59" s="98" t="s">
        <v>246</v>
      </c>
      <c r="J59" s="800">
        <v>14</v>
      </c>
      <c r="K59" s="801">
        <f t="array" aca="1" ref="K59" ca="1">(IF(COUNT(V59,X59,AA59,AB59,AC59,AE59)&lt;4,SUM(V59,X59,AA59,AB59,AC59,AE59),SUM(LARGE((V59,X59,AA59,AB59,AC59,AE59),{1;2;3;4}))))+(IF(COUNT(W59,Y59,Z59,AD59,AF59)&lt;4,SUM(W59,Y59,Z59,AD59,AF59),SUM(LARGE((W59,Y59,Z59,AD59,AF59),{1;2;3;4}))))</f>
        <v>14</v>
      </c>
      <c r="L59" s="397" t="str">
        <f ca="1">INDEX(ETAPP!B$1:B$32,MATCH(COUNTIF(V59:AF59,PUNKTID!A$1),ETAPP!A$1:A$32,0))&amp;INDEX(ETAPP!B$1:B$32,MATCH(COUNTIF(V59:AF59,PUNKTID!A$2),ETAPP!A$1:A$32,0))&amp;INDEX(ETAPP!B$1:B$32,MATCH(COUNTIF(V59:AF59,PUNKTID!A$3),ETAPP!A$1:A$32,0))&amp;INDEX(ETAPP!B$1:B$32,MATCH(COUNTIF(V59:AF59,PUNKTID!A$4),ETAPP!A$1:A$32,0))&amp;INDEX(ETAPP!B$1:B$32,MATCH(COUNTIF(V59:AF59,PUNKTID!A$5),ETAPP!A$1:A$32,0))&amp;INDEX(ETAPP!B$1:B$32,MATCH(COUNTIF(V59:AF59,PUNKTID!A$6),ETAPP!A$1:A$32,0))&amp;INDEX(ETAPP!B$1:B$32,MATCH(COUNTIF(V59:AF59,PUNKTID!A$7),ETAPP!A$1:A$32,0))&amp;INDEX(ETAPP!B$1:B$32,MATCH(COUNTIF(V59:AF59,PUNKTID!A$8),ETAPP!A$1:A$32,0))&amp;INDEX(ETAPP!B$1:B$32,MATCH(COUNTIF(V59:AF59,PUNKTID!A$9),ETAPP!A$1:A$32,0))&amp;INDEX(ETAPP!B$1:B$32,MATCH(COUNTIF(V59:AF59,PUNKTID!A$10),ETAPP!A$1:A$32,0))&amp;INDEX(ETAPP!B$1:B$32,MATCH(COUNTIF(V59:AF59,PUNKTID!A$11),ETAPP!A$1:A$32,0))&amp;INDEX(ETAPP!B$1:B$32,MATCH(COUNTIF(V59:AF59,PUNKTID!A$12),ETAPP!A$1:A$32,0))&amp;INDEX(ETAPP!B$1:B$32,MATCH(COUNTIF(V59:AF59,PUNKTID!A$13),ETAPP!A$1:A$32,0))&amp;INDEX(ETAPP!B$1:B$32,MATCH(COUNTIF(V59:AF59,PUNKTID!A$14),ETAPP!A$1:A$32,0))</f>
        <v>000A00000A000D</v>
      </c>
      <c r="M59" s="397" t="str">
        <f t="shared" ca="1" si="23"/>
        <v>014,0-000A00000A000D</v>
      </c>
      <c r="N59" s="320">
        <f t="shared" ca="1" si="24"/>
        <v>51</v>
      </c>
      <c r="O59" s="320">
        <f t="shared" si="25"/>
        <v>26</v>
      </c>
      <c r="P59" s="397" t="str">
        <f t="shared" ca="1" si="26"/>
        <v>014,0-000A00000A000D-026</v>
      </c>
      <c r="Q59" s="320">
        <f t="shared" ca="1" si="27"/>
        <v>49</v>
      </c>
      <c r="R59" s="328" t="s">
        <v>562</v>
      </c>
      <c r="S59" s="380"/>
      <c r="T59" s="400"/>
      <c r="U59" s="559"/>
      <c r="V59" s="97" t="str">
        <f>IFERROR(INDEX('1'!C$300:C$400,MATCH("*"&amp;I59&amp;"*",'1'!B$300:B$400,0)),"  ")</f>
        <v xml:space="preserve">  </v>
      </c>
      <c r="W59" s="97">
        <f>IFERROR(INDEX('2'!C$300:C$400,MATCH("*"&amp;I59&amp;"*",'2'!B$300:B$400,0)),"  ")</f>
        <v>12</v>
      </c>
      <c r="X59" s="97" t="str">
        <f>IFERROR(INDEX('3'!C$300:C$400,MATCH("*"&amp;I59&amp;"*",'3'!B$300:B$400,0)),"  ")</f>
        <v xml:space="preserve">  </v>
      </c>
      <c r="Y59" s="97">
        <f>IFERROR(INDEX('4'!C$300:C$400,MATCH("*"&amp;I59&amp;"*",'4'!B$300:B$400,0)),"  ")</f>
        <v>2</v>
      </c>
      <c r="Z59" s="97" t="str">
        <f>IFERROR(INDEX('5'!C$300:C$400,MATCH("*"&amp;I59&amp;"*",'5'!B$300:B$400,0)),"  ")</f>
        <v xml:space="preserve">  </v>
      </c>
      <c r="AA59" s="97" t="str">
        <f>IFERROR(INDEX('6'!C$300:C$400,MATCH("*"&amp;I59&amp;"*",'6'!B$300:B$400,0)),"  ")</f>
        <v xml:space="preserve">  </v>
      </c>
      <c r="AB59" s="97" t="str">
        <f>IFERROR(INDEX('7'!C$300:C$400,MATCH("*"&amp;I59&amp;"*",'7'!B$300:B$400,0)),"  ")</f>
        <v xml:space="preserve">  </v>
      </c>
      <c r="AC59" s="97" t="str">
        <f>IFERROR(INDEX('8'!C$300:C$400,MATCH("*"&amp;I59&amp;"*",'8'!B$300:B$400,0)),"  ")</f>
        <v xml:space="preserve">  </v>
      </c>
      <c r="AD59" s="97" t="str">
        <f ca="1">IFERROR(INDEX('9'!C$300:C$400,MATCH("*"&amp;I59&amp;"*",'9'!B$300:B$400,0)),"  ")</f>
        <v xml:space="preserve">  </v>
      </c>
      <c r="AE59" s="97" t="str">
        <f>IFERROR(INDEX('10'!C$300:C$400,MATCH("*"&amp;I59&amp;"*",'10'!B$300:B$400,0)),"  ")</f>
        <v xml:space="preserve">  </v>
      </c>
      <c r="AF59" s="97" t="str">
        <f>IFERROR(INDEX('11'!C$300:C$400,MATCH("*"&amp;I59&amp;"*",'11'!B$300:B$400,0)),"  ")</f>
        <v xml:space="preserve">  </v>
      </c>
      <c r="AG59" s="294">
        <f t="shared" ca="1" si="28"/>
        <v>2</v>
      </c>
      <c r="AH59" s="794">
        <f t="shared" ca="1" si="29"/>
        <v>0</v>
      </c>
      <c r="AI59" s="796">
        <f t="shared" ca="1" si="30"/>
        <v>0</v>
      </c>
      <c r="AJ59" s="303">
        <f t="shared" ca="1" si="31"/>
        <v>0</v>
      </c>
      <c r="AK59" s="405">
        <f t="shared" si="32"/>
        <v>1E-4</v>
      </c>
      <c r="AL59" s="405">
        <f t="shared" ca="1" si="33"/>
        <v>5.0000000000000001E-4</v>
      </c>
      <c r="AM59" s="442">
        <f t="array" aca="1" ref="AM59" ca="1">MIN(IF(V$5:AF$5="ESMV",IF(V59:AF59="  ",FALSE,V59:AF59)+COLUMN(V:AF)/10000))</f>
        <v>2.5999999999999999E-3</v>
      </c>
      <c r="AN59" s="405">
        <f t="shared" si="17"/>
        <v>2.9999999999999997E-4</v>
      </c>
    </row>
    <row r="60" spans="1:40" s="2" customFormat="1" x14ac:dyDescent="0.2">
      <c r="A60" s="328" t="s">
        <v>257</v>
      </c>
      <c r="B60" s="331" t="str">
        <f t="shared" si="18"/>
        <v/>
      </c>
      <c r="C60" s="329" t="str">
        <f t="shared" si="19"/>
        <v/>
      </c>
      <c r="D60" s="907" t="s">
        <v>257</v>
      </c>
      <c r="E60" s="331" t="str">
        <f t="shared" si="20"/>
        <v/>
      </c>
      <c r="F60" s="330" t="str">
        <f t="shared" si="21"/>
        <v/>
      </c>
      <c r="G60" s="390">
        <f t="shared" ca="1" si="22"/>
        <v>52</v>
      </c>
      <c r="H60" s="76">
        <v>52</v>
      </c>
      <c r="I60" s="98" t="s">
        <v>227</v>
      </c>
      <c r="J60" s="800">
        <v>13</v>
      </c>
      <c r="K60" s="801">
        <f t="array" aca="1" ref="K60" ca="1">(IF(COUNT(V60,X60,AA60,AB60,AC60,AE60)&lt;4,SUM(V60,X60,AA60,AB60,AC60,AE60),SUM(LARGE((V60,X60,AA60,AB60,AC60,AE60),{1;2;3;4}))))+(IF(COUNT(W60,Y60,Z60,AD60,AF60)&lt;4,SUM(W60,Y60,Z60,AD60,AF60),SUM(LARGE((W60,Y60,Z60,AD60,AF60),{1;2;3;4}))))</f>
        <v>13</v>
      </c>
      <c r="L60" s="397" t="str">
        <f ca="1">INDEX(ETAPP!B$1:B$32,MATCH(COUNTIF(V60:AF60,PUNKTID!A$1),ETAPP!A$1:A$32,0))&amp;INDEX(ETAPP!B$1:B$32,MATCH(COUNTIF(V60:AF60,PUNKTID!A$2),ETAPP!A$1:A$32,0))&amp;INDEX(ETAPP!B$1:B$32,MATCH(COUNTIF(V60:AF60,PUNKTID!A$3),ETAPP!A$1:A$32,0))&amp;INDEX(ETAPP!B$1:B$32,MATCH(COUNTIF(V60:AF60,PUNKTID!A$4),ETAPP!A$1:A$32,0))&amp;INDEX(ETAPP!B$1:B$32,MATCH(COUNTIF(V60:AF60,PUNKTID!A$5),ETAPP!A$1:A$32,0))&amp;INDEX(ETAPP!B$1:B$32,MATCH(COUNTIF(V60:AF60,PUNKTID!A$6),ETAPP!A$1:A$32,0))&amp;INDEX(ETAPP!B$1:B$32,MATCH(COUNTIF(V60:AF60,PUNKTID!A$7),ETAPP!A$1:A$32,0))&amp;INDEX(ETAPP!B$1:B$32,MATCH(COUNTIF(V60:AF60,PUNKTID!A$8),ETAPP!A$1:A$32,0))&amp;INDEX(ETAPP!B$1:B$32,MATCH(COUNTIF(V60:AF60,PUNKTID!A$9),ETAPP!A$1:A$32,0))&amp;INDEX(ETAPP!B$1:B$32,MATCH(COUNTIF(V60:AF60,PUNKTID!A$10),ETAPP!A$1:A$32,0))&amp;INDEX(ETAPP!B$1:B$32,MATCH(COUNTIF(V60:AF60,PUNKTID!A$11),ETAPP!A$1:A$32,0))&amp;INDEX(ETAPP!B$1:B$32,MATCH(COUNTIF(V60:AF60,PUNKTID!A$12),ETAPP!A$1:A$32,0))&amp;INDEX(ETAPP!B$1:B$32,MATCH(COUNTIF(V60:AF60,PUNKTID!A$13),ETAPP!A$1:A$32,0))&amp;INDEX(ETAPP!B$1:B$32,MATCH(COUNTIF(V60:AF60,PUNKTID!A$14),ETAPP!A$1:A$32,0))</f>
        <v>0000A00A00000D</v>
      </c>
      <c r="M60" s="397" t="str">
        <f t="shared" ca="1" si="23"/>
        <v>013,0-0000A00A00000D</v>
      </c>
      <c r="N60" s="320">
        <f t="shared" ca="1" si="24"/>
        <v>52</v>
      </c>
      <c r="O60" s="320">
        <f t="shared" si="25"/>
        <v>71</v>
      </c>
      <c r="P60" s="397" t="str">
        <f t="shared" ca="1" si="26"/>
        <v>013,0-0000A00A00000D-071</v>
      </c>
      <c r="Q60" s="320">
        <f t="shared" ca="1" si="27"/>
        <v>48</v>
      </c>
      <c r="R60" s="328"/>
      <c r="S60" s="380"/>
      <c r="T60" s="400"/>
      <c r="U60" s="559"/>
      <c r="V60" s="97" t="str">
        <f>IFERROR(INDEX('1'!C$300:C$400,MATCH("*"&amp;I60&amp;"*",'1'!B$300:B$400,0)),"  ")</f>
        <v xml:space="preserve">  </v>
      </c>
      <c r="W60" s="97" t="str">
        <f>IFERROR(INDEX('2'!C$300:C$400,MATCH("*"&amp;I60&amp;"*",'2'!B$300:B$400,0)),"  ")</f>
        <v xml:space="preserve">  </v>
      </c>
      <c r="X60" s="97" t="str">
        <f>IFERROR(INDEX('3'!C$300:C$400,MATCH("*"&amp;I60&amp;"*",'3'!B$300:B$400,0)),"  ")</f>
        <v xml:space="preserve">  </v>
      </c>
      <c r="Y60" s="97" t="str">
        <f>IFERROR(INDEX('4'!C$300:C$400,MATCH("*"&amp;I60&amp;"*",'4'!B$300:B$400,0)),"  ")</f>
        <v xml:space="preserve">  </v>
      </c>
      <c r="Z60" s="97" t="str">
        <f>IFERROR(INDEX('5'!C$300:C$400,MATCH("*"&amp;I60&amp;"*",'5'!B$300:B$400,0)),"  ")</f>
        <v xml:space="preserve">  </v>
      </c>
      <c r="AA60" s="97" t="str">
        <f>IFERROR(INDEX('6'!C$300:C$400,MATCH("*"&amp;I60&amp;"*",'6'!B$300:B$400,0)),"  ")</f>
        <v xml:space="preserve">  </v>
      </c>
      <c r="AB60" s="97" t="str">
        <f>IFERROR(INDEX('7'!C$300:C$400,MATCH("*"&amp;I60&amp;"*",'7'!B$300:B$400,0)),"  ")</f>
        <v xml:space="preserve">  </v>
      </c>
      <c r="AC60" s="97">
        <f>IFERROR(INDEX('8'!C$300:C$400,MATCH("*"&amp;I60&amp;"*",'8'!B$300:B$400,0)),"  ")</f>
        <v>9</v>
      </c>
      <c r="AD60" s="97">
        <f ca="1">IFERROR(INDEX('9'!C$300:C$400,MATCH("*"&amp;I60&amp;"*",'9'!B$300:B$400,0)),"  ")</f>
        <v>4</v>
      </c>
      <c r="AE60" s="97" t="str">
        <f>IFERROR(INDEX('10'!C$300:C$400,MATCH("*"&amp;I60&amp;"*",'10'!B$300:B$400,0)),"  ")</f>
        <v xml:space="preserve">  </v>
      </c>
      <c r="AF60" s="97" t="str">
        <f>IFERROR(INDEX('11'!C$300:C$400,MATCH("*"&amp;I60&amp;"*",'11'!B$300:B$400,0)),"  ")</f>
        <v xml:space="preserve">  </v>
      </c>
      <c r="AG60" s="294">
        <f t="shared" ca="1" si="28"/>
        <v>2</v>
      </c>
      <c r="AH60" s="794">
        <f t="shared" ca="1" si="29"/>
        <v>0</v>
      </c>
      <c r="AI60" s="796">
        <f t="shared" ca="1" si="30"/>
        <v>0</v>
      </c>
      <c r="AJ60" s="303">
        <f t="shared" ca="1" si="31"/>
        <v>0</v>
      </c>
      <c r="AK60" s="405">
        <f t="shared" si="32"/>
        <v>1E-4</v>
      </c>
      <c r="AL60" s="405">
        <f t="shared" ca="1" si="33"/>
        <v>2.0000000000000001E-4</v>
      </c>
      <c r="AM60" s="442">
        <f t="array" aca="1" ref="AM60" ca="1">MIN(IF(V$5:AF$5="ESMV",IF(V60:AF60="  ",FALSE,V60:AF60)+COLUMN(V:AF)/10000))</f>
        <v>2.3E-3</v>
      </c>
      <c r="AN60" s="405">
        <f t="shared" si="17"/>
        <v>2.9999999999999997E-4</v>
      </c>
    </row>
    <row r="61" spans="1:40" s="2" customFormat="1" x14ac:dyDescent="0.2">
      <c r="A61" s="328" t="s">
        <v>257</v>
      </c>
      <c r="B61" s="331" t="str">
        <f t="shared" si="18"/>
        <v/>
      </c>
      <c r="C61" s="329" t="str">
        <f t="shared" si="19"/>
        <v/>
      </c>
      <c r="D61" s="907" t="s">
        <v>257</v>
      </c>
      <c r="E61" s="331" t="str">
        <f t="shared" si="20"/>
        <v/>
      </c>
      <c r="F61" s="330" t="str">
        <f t="shared" si="21"/>
        <v/>
      </c>
      <c r="G61" s="390">
        <f t="shared" ca="1" si="22"/>
        <v>53</v>
      </c>
      <c r="H61" s="76">
        <v>53</v>
      </c>
      <c r="I61" s="98" t="s">
        <v>21</v>
      </c>
      <c r="J61" s="800">
        <v>13</v>
      </c>
      <c r="K61" s="801">
        <f t="array" aca="1" ref="K61" ca="1">(IF(COUNT(V61,X61,AA61,AB61,AC61,AE61)&lt;4,SUM(V61,X61,AA61,AB61,AC61,AE61),SUM(LARGE((V61,X61,AA61,AB61,AC61,AE61),{1;2;3;4}))))+(IF(COUNT(W61,Y61,Z61,AD61,AF61)&lt;4,SUM(W61,Y61,Z61,AD61,AF61),SUM(LARGE((W61,Y61,Z61,AD61,AF61),{1;2;3;4}))))</f>
        <v>13</v>
      </c>
      <c r="L61" s="397" t="str">
        <f ca="1">INDEX(ETAPP!B$1:B$32,MATCH(COUNTIF(V61:AF61,PUNKTID!A$1),ETAPP!A$1:A$32,0))&amp;INDEX(ETAPP!B$1:B$32,MATCH(COUNTIF(V61:AF61,PUNKTID!A$2),ETAPP!A$1:A$32,0))&amp;INDEX(ETAPP!B$1:B$32,MATCH(COUNTIF(V61:AF61,PUNKTID!A$3),ETAPP!A$1:A$32,0))&amp;INDEX(ETAPP!B$1:B$32,MATCH(COUNTIF(V61:AF61,PUNKTID!A$4),ETAPP!A$1:A$32,0))&amp;INDEX(ETAPP!B$1:B$32,MATCH(COUNTIF(V61:AF61,PUNKTID!A$5),ETAPP!A$1:A$32,0))&amp;INDEX(ETAPP!B$1:B$32,MATCH(COUNTIF(V61:AF61,PUNKTID!A$6),ETAPP!A$1:A$32,0))&amp;INDEX(ETAPP!B$1:B$32,MATCH(COUNTIF(V61:AF61,PUNKTID!A$7),ETAPP!A$1:A$32,0))&amp;INDEX(ETAPP!B$1:B$32,MATCH(COUNTIF(V61:AF61,PUNKTID!A$8),ETAPP!A$1:A$32,0))&amp;INDEX(ETAPP!B$1:B$32,MATCH(COUNTIF(V61:AF61,PUNKTID!A$9),ETAPP!A$1:A$32,0))&amp;INDEX(ETAPP!B$1:B$32,MATCH(COUNTIF(V61:AF61,PUNKTID!A$10),ETAPP!A$1:A$32,0))&amp;INDEX(ETAPP!B$1:B$32,MATCH(COUNTIF(V61:AF61,PUNKTID!A$11),ETAPP!A$1:A$32,0))&amp;INDEX(ETAPP!B$1:B$32,MATCH(COUNTIF(V61:AF61,PUNKTID!A$12),ETAPP!A$1:A$32,0))&amp;INDEX(ETAPP!B$1:B$32,MATCH(COUNTIF(V61:AF61,PUNKTID!A$13),ETAPP!A$1:A$32,0))&amp;INDEX(ETAPP!B$1:B$32,MATCH(COUNTIF(V61:AF61,PUNKTID!A$14),ETAPP!A$1:A$32,0))</f>
        <v>00000000BC0A0E</v>
      </c>
      <c r="M61" s="397" t="str">
        <f t="shared" ca="1" si="23"/>
        <v>013,0-00000000BC0A0E</v>
      </c>
      <c r="N61" s="320">
        <f t="shared" ca="1" si="24"/>
        <v>53</v>
      </c>
      <c r="O61" s="320">
        <f t="shared" si="25"/>
        <v>98</v>
      </c>
      <c r="P61" s="397" t="str">
        <f t="shared" ca="1" si="26"/>
        <v>013,0-00000000BC0A0E-098</v>
      </c>
      <c r="Q61" s="320">
        <f t="shared" ca="1" si="27"/>
        <v>47</v>
      </c>
      <c r="R61" s="328"/>
      <c r="S61" s="380"/>
      <c r="T61" s="400"/>
      <c r="U61" s="559"/>
      <c r="V61" s="97" t="str">
        <f>IFERROR(INDEX('1'!C$300:C$400,MATCH("*"&amp;I61&amp;"*",'1'!B$300:B$400,0)),"  ")</f>
        <v xml:space="preserve">  </v>
      </c>
      <c r="W61" s="97">
        <f>IFERROR(INDEX('2'!C$300:C$400,MATCH("*"&amp;I61&amp;"*",'2'!B$300:B$400,0)),"  ")</f>
        <v>2</v>
      </c>
      <c r="X61" s="97">
        <f>IFERROR(INDEX('3'!C$300:C$400,MATCH("*"&amp;I61&amp;"*",'3'!B$300:B$400,0)),"  ")</f>
        <v>1</v>
      </c>
      <c r="Y61" s="97" t="str">
        <f>IFERROR(INDEX('4'!C$300:C$400,MATCH("*"&amp;I61&amp;"*",'4'!B$300:B$400,0)),"  ")</f>
        <v xml:space="preserve">  </v>
      </c>
      <c r="Z61" s="97">
        <f>IFERROR(INDEX('5'!C$300:C$400,MATCH("*"&amp;I61&amp;"*",'5'!B$300:B$400,0)),"  ")</f>
        <v>2</v>
      </c>
      <c r="AA61" s="97">
        <f>IFERROR(INDEX('6'!C$300:C$400,MATCH("*"&amp;I61&amp;"*",'6'!B$300:B$400,0)),"  ")</f>
        <v>3</v>
      </c>
      <c r="AB61" s="97" t="str">
        <f>IFERROR(INDEX('7'!C$300:C$400,MATCH("*"&amp;I61&amp;"*",'7'!B$300:B$400,0)),"  ")</f>
        <v xml:space="preserve">  </v>
      </c>
      <c r="AC61" s="97">
        <f>IFERROR(INDEX('8'!C$300:C$400,MATCH("*"&amp;I61&amp;"*",'8'!B$300:B$400,0)),"  ")</f>
        <v>3</v>
      </c>
      <c r="AD61" s="97">
        <f ca="1">IFERROR(INDEX('9'!C$300:C$400,MATCH("*"&amp;I61&amp;"*",'9'!B$300:B$400,0)),"  ")</f>
        <v>2</v>
      </c>
      <c r="AE61" s="97" t="str">
        <f>IFERROR(INDEX('10'!C$300:C$400,MATCH("*"&amp;I61&amp;"*",'10'!B$300:B$400,0)),"  ")</f>
        <v xml:space="preserve">  </v>
      </c>
      <c r="AF61" s="97" t="str">
        <f>IFERROR(INDEX('11'!C$300:C$400,MATCH("*"&amp;I61&amp;"*",'11'!B$300:B$400,0)),"  ")</f>
        <v xml:space="preserve">  </v>
      </c>
      <c r="AG61" s="294">
        <f t="shared" ca="1" si="28"/>
        <v>6</v>
      </c>
      <c r="AH61" s="794">
        <f t="shared" ca="1" si="29"/>
        <v>0</v>
      </c>
      <c r="AI61" s="796">
        <f t="shared" ca="1" si="30"/>
        <v>0</v>
      </c>
      <c r="AJ61" s="303">
        <f t="shared" ca="1" si="31"/>
        <v>0</v>
      </c>
      <c r="AK61" s="405">
        <f t="shared" si="32"/>
        <v>1E-4</v>
      </c>
      <c r="AL61" s="405">
        <f t="shared" ca="1" si="33"/>
        <v>4.0000000000000002E-4</v>
      </c>
      <c r="AM61" s="442">
        <f t="array" aca="1" ref="AM61" ca="1">MIN(IF(V$5:AF$5="ESMV",IF(V61:AF61="  ",FALSE,V61:AF61)+COLUMN(V:AF)/10000))</f>
        <v>2.5000000000000001E-3</v>
      </c>
      <c r="AN61" s="405">
        <f t="shared" si="17"/>
        <v>6.9999999999999999E-4</v>
      </c>
    </row>
    <row r="62" spans="1:40" s="2" customFormat="1" x14ac:dyDescent="0.2">
      <c r="A62" s="328" t="s">
        <v>257</v>
      </c>
      <c r="B62" s="331" t="str">
        <f t="shared" si="18"/>
        <v/>
      </c>
      <c r="C62" s="329" t="str">
        <f t="shared" si="19"/>
        <v/>
      </c>
      <c r="D62" s="907" t="s">
        <v>257</v>
      </c>
      <c r="E62" s="331" t="str">
        <f t="shared" si="20"/>
        <v/>
      </c>
      <c r="F62" s="330" t="str">
        <f t="shared" si="21"/>
        <v/>
      </c>
      <c r="G62" s="390">
        <f t="shared" ca="1" si="22"/>
        <v>54</v>
      </c>
      <c r="H62" s="76">
        <v>54</v>
      </c>
      <c r="I62" s="98" t="s">
        <v>199</v>
      </c>
      <c r="J62" s="800">
        <v>12</v>
      </c>
      <c r="K62" s="801">
        <f t="array" aca="1" ref="K62" ca="1">(IF(COUNT(V62,X62,AA62,AB62,AC62,AE62)&lt;4,SUM(V62,X62,AA62,AB62,AC62,AE62),SUM(LARGE((V62,X62,AA62,AB62,AC62,AE62),{1;2;3;4}))))+(IF(COUNT(W62,Y62,Z62,AD62,AF62)&lt;4,SUM(W62,Y62,Z62,AD62,AF62),SUM(LARGE((W62,Y62,Z62,AD62,AF62),{1;2;3;4}))))</f>
        <v>12</v>
      </c>
      <c r="L62" s="397" t="str">
        <f ca="1">INDEX(ETAPP!B$1:B$32,MATCH(COUNTIF(V62:AF62,PUNKTID!A$1),ETAPP!A$1:A$32,0))&amp;INDEX(ETAPP!B$1:B$32,MATCH(COUNTIF(V62:AF62,PUNKTID!A$2),ETAPP!A$1:A$32,0))&amp;INDEX(ETAPP!B$1:B$32,MATCH(COUNTIF(V62:AF62,PUNKTID!A$3),ETAPP!A$1:A$32,0))&amp;INDEX(ETAPP!B$1:B$32,MATCH(COUNTIF(V62:AF62,PUNKTID!A$4),ETAPP!A$1:A$32,0))&amp;INDEX(ETAPP!B$1:B$32,MATCH(COUNTIF(V62:AF62,PUNKTID!A$5),ETAPP!A$1:A$32,0))&amp;INDEX(ETAPP!B$1:B$32,MATCH(COUNTIF(V62:AF62,PUNKTID!A$6),ETAPP!A$1:A$32,0))&amp;INDEX(ETAPP!B$1:B$32,MATCH(COUNTIF(V62:AF62,PUNKTID!A$7),ETAPP!A$1:A$32,0))&amp;INDEX(ETAPP!B$1:B$32,MATCH(COUNTIF(V62:AF62,PUNKTID!A$8),ETAPP!A$1:A$32,0))&amp;INDEX(ETAPP!B$1:B$32,MATCH(COUNTIF(V62:AF62,PUNKTID!A$9),ETAPP!A$1:A$32,0))&amp;INDEX(ETAPP!B$1:B$32,MATCH(COUNTIF(V62:AF62,PUNKTID!A$10),ETAPP!A$1:A$32,0))&amp;INDEX(ETAPP!B$1:B$32,MATCH(COUNTIF(V62:AF62,PUNKTID!A$11),ETAPP!A$1:A$32,0))&amp;INDEX(ETAPP!B$1:B$32,MATCH(COUNTIF(V62:AF62,PUNKTID!A$12),ETAPP!A$1:A$32,0))&amp;INDEX(ETAPP!B$1:B$32,MATCH(COUNTIF(V62:AF62,PUNKTID!A$13),ETAPP!A$1:A$32,0))&amp;INDEX(ETAPP!B$1:B$32,MATCH(COUNTIF(V62:AF62,PUNKTID!A$14),ETAPP!A$1:A$32,0))</f>
        <v>000A000000000E</v>
      </c>
      <c r="M62" s="397" t="str">
        <f t="shared" ca="1" si="23"/>
        <v>012,0-000A000000000E</v>
      </c>
      <c r="N62" s="320">
        <f t="shared" ca="1" si="24"/>
        <v>54</v>
      </c>
      <c r="O62" s="320">
        <f t="shared" si="25"/>
        <v>53</v>
      </c>
      <c r="P62" s="397" t="str">
        <f t="shared" ca="1" si="26"/>
        <v>012,0-000A000000000E-053</v>
      </c>
      <c r="Q62" s="320">
        <f t="shared" ca="1" si="27"/>
        <v>46</v>
      </c>
      <c r="R62" s="328"/>
      <c r="S62" s="380"/>
      <c r="T62" s="400" t="s">
        <v>605</v>
      </c>
      <c r="U62" s="559"/>
      <c r="V62" s="97" t="str">
        <f>IFERROR(INDEX('1'!C$300:C$400,MATCH("*"&amp;I62&amp;"*",'1'!B$300:B$400,0)),"  ")</f>
        <v xml:space="preserve">  </v>
      </c>
      <c r="W62" s="97" t="str">
        <f>IFERROR(INDEX('2'!C$300:C$400,MATCH("*"&amp;I62&amp;"*",'2'!B$300:B$400,0)),"  ")</f>
        <v xml:space="preserve">  </v>
      </c>
      <c r="X62" s="97" t="str">
        <f>IFERROR(INDEX('3'!C$300:C$400,MATCH("*"&amp;I62&amp;"*",'3'!B$300:B$400,0)),"  ")</f>
        <v xml:space="preserve">  </v>
      </c>
      <c r="Y62" s="97" t="str">
        <f>IFERROR(INDEX('4'!C$300:C$400,MATCH("*"&amp;I62&amp;"*",'4'!B$300:B$400,0)),"  ")</f>
        <v xml:space="preserve">  </v>
      </c>
      <c r="Z62" s="97" t="str">
        <f>IFERROR(INDEX('5'!C$300:C$400,MATCH("*"&amp;I62&amp;"*",'5'!B$300:B$400,0)),"  ")</f>
        <v xml:space="preserve">  </v>
      </c>
      <c r="AA62" s="97">
        <f>IFERROR(INDEX('6'!C$300:C$400,MATCH("*"&amp;I62&amp;"*",'6'!B$300:B$400,0)),"  ")</f>
        <v>12</v>
      </c>
      <c r="AB62" s="97" t="str">
        <f>IFERROR(INDEX('7'!C$300:C$400,MATCH("*"&amp;I62&amp;"*",'7'!B$300:B$400,0)),"  ")</f>
        <v xml:space="preserve">  </v>
      </c>
      <c r="AC62" s="97" t="str">
        <f>IFERROR(INDEX('8'!C$300:C$400,MATCH("*"&amp;I62&amp;"*",'8'!B$300:B$400,0)),"  ")</f>
        <v xml:space="preserve">  </v>
      </c>
      <c r="AD62" s="97" t="str">
        <f ca="1">IFERROR(INDEX('9'!C$300:C$400,MATCH("*"&amp;I62&amp;"*",'9'!B$300:B$400,0)),"  ")</f>
        <v xml:space="preserve">  </v>
      </c>
      <c r="AE62" s="97" t="str">
        <f>IFERROR(INDEX('10'!C$300:C$400,MATCH("*"&amp;I62&amp;"*",'10'!B$300:B$400,0)),"  ")</f>
        <v xml:space="preserve">  </v>
      </c>
      <c r="AF62" s="97" t="str">
        <f>IFERROR(INDEX('11'!C$300:C$400,MATCH("*"&amp;I62&amp;"*",'11'!B$300:B$400,0)),"  ")</f>
        <v xml:space="preserve">  </v>
      </c>
      <c r="AG62" s="294">
        <f t="shared" ca="1" si="28"/>
        <v>1</v>
      </c>
      <c r="AH62" s="794">
        <f t="shared" ca="1" si="29"/>
        <v>1</v>
      </c>
      <c r="AI62" s="796">
        <f t="shared" ca="1" si="30"/>
        <v>0</v>
      </c>
      <c r="AJ62" s="303">
        <f t="shared" ca="1" si="31"/>
        <v>0</v>
      </c>
      <c r="AK62" s="405">
        <f t="shared" si="32"/>
        <v>1E-4</v>
      </c>
      <c r="AL62" s="405">
        <f t="shared" ca="1" si="33"/>
        <v>2.0000000000000001E-4</v>
      </c>
      <c r="AM62" s="442">
        <f t="array" aca="1" ref="AM62" ca="1">MIN(IF(V$5:AF$5="ESMV",IF(V62:AF62="  ",FALSE,V62:AF62)+COLUMN(V:AF)/10000))</f>
        <v>2.3E-3</v>
      </c>
      <c r="AN62" s="405">
        <f t="shared" si="17"/>
        <v>2.9999999999999997E-4</v>
      </c>
    </row>
    <row r="63" spans="1:40" s="2" customFormat="1" x14ac:dyDescent="0.2">
      <c r="A63" s="328" t="s">
        <v>257</v>
      </c>
      <c r="B63" s="331" t="str">
        <f t="shared" si="18"/>
        <v/>
      </c>
      <c r="C63" s="329" t="str">
        <f t="shared" si="19"/>
        <v/>
      </c>
      <c r="D63" s="907" t="s">
        <v>257</v>
      </c>
      <c r="E63" s="331" t="str">
        <f t="shared" si="20"/>
        <v/>
      </c>
      <c r="F63" s="330" t="str">
        <f t="shared" si="21"/>
        <v/>
      </c>
      <c r="G63" s="390">
        <f t="shared" ca="1" si="22"/>
        <v>55</v>
      </c>
      <c r="H63" s="76">
        <v>55</v>
      </c>
      <c r="I63" s="98" t="s">
        <v>211</v>
      </c>
      <c r="J63" s="800">
        <v>11</v>
      </c>
      <c r="K63" s="801">
        <f t="array" aca="1" ref="K63" ca="1">(IF(COUNT(V63,X63,AA63,AB63,AC63,AE63)&lt;4,SUM(V63,X63,AA63,AB63,AC63,AE63),SUM(LARGE((V63,X63,AA63,AB63,AC63,AE63),{1;2;3;4}))))+(IF(COUNT(W63,Y63,Z63,AD63,AF63)&lt;4,SUM(W63,Y63,Z63,AD63,AF63),SUM(LARGE((W63,Y63,Z63,AD63,AF63),{1;2;3;4}))))</f>
        <v>11</v>
      </c>
      <c r="L63" s="397" t="str">
        <f ca="1">INDEX(ETAPP!B$1:B$32,MATCH(COUNTIF(V63:AF63,PUNKTID!A$1),ETAPP!A$1:A$32,0))&amp;INDEX(ETAPP!B$1:B$32,MATCH(COUNTIF(V63:AF63,PUNKTID!A$2),ETAPP!A$1:A$32,0))&amp;INDEX(ETAPP!B$1:B$32,MATCH(COUNTIF(V63:AF63,PUNKTID!A$3),ETAPP!A$1:A$32,0))&amp;INDEX(ETAPP!B$1:B$32,MATCH(COUNTIF(V63:AF63,PUNKTID!A$4),ETAPP!A$1:A$32,0))&amp;INDEX(ETAPP!B$1:B$32,MATCH(COUNTIF(V63:AF63,PUNKTID!A$5),ETAPP!A$1:A$32,0))&amp;INDEX(ETAPP!B$1:B$32,MATCH(COUNTIF(V63:AF63,PUNKTID!A$6),ETAPP!A$1:A$32,0))&amp;INDEX(ETAPP!B$1:B$32,MATCH(COUNTIF(V63:AF63,PUNKTID!A$7),ETAPP!A$1:A$32,0))&amp;INDEX(ETAPP!B$1:B$32,MATCH(COUNTIF(V63:AF63,PUNKTID!A$8),ETAPP!A$1:A$32,0))&amp;INDEX(ETAPP!B$1:B$32,MATCH(COUNTIF(V63:AF63,PUNKTID!A$9),ETAPP!A$1:A$32,0))&amp;INDEX(ETAPP!B$1:B$32,MATCH(COUNTIF(V63:AF63,PUNKTID!A$10),ETAPP!A$1:A$32,0))&amp;INDEX(ETAPP!B$1:B$32,MATCH(COUNTIF(V63:AF63,PUNKTID!A$11),ETAPP!A$1:A$32,0))&amp;INDEX(ETAPP!B$1:B$32,MATCH(COUNTIF(V63:AF63,PUNKTID!A$12),ETAPP!A$1:A$32,0))&amp;INDEX(ETAPP!B$1:B$32,MATCH(COUNTIF(V63:AF63,PUNKTID!A$13),ETAPP!A$1:A$32,0))&amp;INDEX(ETAPP!B$1:B$32,MATCH(COUNTIF(V63:AF63,PUNKTID!A$14),ETAPP!A$1:A$32,0))</f>
        <v>0000A0000A000D</v>
      </c>
      <c r="M63" s="397" t="str">
        <f t="shared" ca="1" si="23"/>
        <v>011,0-0000A0000A000D</v>
      </c>
      <c r="N63" s="320">
        <f t="shared" ca="1" si="24"/>
        <v>55</v>
      </c>
      <c r="O63" s="320">
        <f t="shared" si="25"/>
        <v>70</v>
      </c>
      <c r="P63" s="397" t="str">
        <f t="shared" ca="1" si="26"/>
        <v>011,0-0000A0000A000D-070</v>
      </c>
      <c r="Q63" s="320">
        <f t="shared" ca="1" si="27"/>
        <v>45</v>
      </c>
      <c r="R63" s="328"/>
      <c r="S63" s="380"/>
      <c r="T63" s="400" t="s">
        <v>605</v>
      </c>
      <c r="U63" s="559"/>
      <c r="V63" s="97" t="str">
        <f>IFERROR(INDEX('1'!C$300:C$400,MATCH("*"&amp;I63&amp;"*",'1'!B$300:B$400,0)),"  ")</f>
        <v xml:space="preserve">  </v>
      </c>
      <c r="W63" s="97" t="str">
        <f>IFERROR(INDEX('2'!C$300:C$400,MATCH("*"&amp;I63&amp;"*",'2'!B$300:B$400,0)),"  ")</f>
        <v xml:space="preserve">  </v>
      </c>
      <c r="X63" s="97" t="str">
        <f>IFERROR(INDEX('3'!C$300:C$400,MATCH("*"&amp;I63&amp;"*",'3'!B$300:B$400,0)),"  ")</f>
        <v xml:space="preserve">  </v>
      </c>
      <c r="Y63" s="97" t="str">
        <f>IFERROR(INDEX('4'!C$300:C$400,MATCH("*"&amp;I63&amp;"*",'4'!B$300:B$400,0)),"  ")</f>
        <v xml:space="preserve">  </v>
      </c>
      <c r="Z63" s="97" t="str">
        <f>IFERROR(INDEX('5'!C$300:C$400,MATCH("*"&amp;I63&amp;"*",'5'!B$300:B$400,0)),"  ")</f>
        <v xml:space="preserve">  </v>
      </c>
      <c r="AA63" s="97" t="str">
        <f>IFERROR(INDEX('6'!C$300:C$400,MATCH("*"&amp;I63&amp;"*",'6'!B$300:B$400,0)),"  ")</f>
        <v xml:space="preserve">  </v>
      </c>
      <c r="AB63" s="97">
        <f>IFERROR(INDEX('7'!C$300:C$400,MATCH("*"&amp;I63&amp;"*",'7'!B$300:B$400,0)),"  ")</f>
        <v>9</v>
      </c>
      <c r="AC63" s="97" t="str">
        <f>IFERROR(INDEX('8'!C$300:C$400,MATCH("*"&amp;I63&amp;"*",'8'!B$300:B$400,0)),"  ")</f>
        <v xml:space="preserve">  </v>
      </c>
      <c r="AD63" s="97" t="str">
        <f ca="1">IFERROR(INDEX('9'!C$300:C$400,MATCH("*"&amp;I63&amp;"*",'9'!B$300:B$400,0)),"  ")</f>
        <v xml:space="preserve">  </v>
      </c>
      <c r="AE63" s="97" t="str">
        <f>IFERROR(INDEX('10'!C$300:C$400,MATCH("*"&amp;I63&amp;"*",'10'!B$300:B$400,0)),"  ")</f>
        <v xml:space="preserve">  </v>
      </c>
      <c r="AF63" s="97">
        <f>IFERROR(INDEX('11'!C$300:C$400,MATCH("*"&amp;I63&amp;"*",'11'!B$300:B$400,0)),"  ")</f>
        <v>2</v>
      </c>
      <c r="AG63" s="294">
        <f t="shared" ca="1" si="28"/>
        <v>2</v>
      </c>
      <c r="AH63" s="794">
        <f t="shared" ca="1" si="29"/>
        <v>0</v>
      </c>
      <c r="AI63" s="796">
        <f t="shared" ca="1" si="30"/>
        <v>0</v>
      </c>
      <c r="AJ63" s="303">
        <f t="shared" ca="1" si="31"/>
        <v>0</v>
      </c>
      <c r="AK63" s="405">
        <f t="shared" si="32"/>
        <v>1E-4</v>
      </c>
      <c r="AL63" s="405">
        <f t="shared" ca="1" si="33"/>
        <v>2.0000000000000001E-4</v>
      </c>
      <c r="AM63" s="442">
        <f t="array" aca="1" ref="AM63" ca="1">MIN(IF(V$5:AF$5="ESMV",IF(V63:AF63="  ",FALSE,V63:AF63)+COLUMN(V:AF)/10000))</f>
        <v>2.3E-3</v>
      </c>
      <c r="AN63" s="405">
        <f t="shared" si="17"/>
        <v>2.9999999999999997E-4</v>
      </c>
    </row>
    <row r="64" spans="1:40" s="2" customFormat="1" x14ac:dyDescent="0.2">
      <c r="A64" s="328">
        <v>15</v>
      </c>
      <c r="B64" s="331">
        <f t="shared" ca="1" si="18"/>
        <v>15</v>
      </c>
      <c r="C64" s="329" t="str">
        <f t="shared" ca="1" si="19"/>
        <v>010,0-00000A000A0A0C</v>
      </c>
      <c r="D64" s="907" t="s">
        <v>257</v>
      </c>
      <c r="E64" s="331" t="str">
        <f t="shared" si="20"/>
        <v/>
      </c>
      <c r="F64" s="330" t="str">
        <f t="shared" si="21"/>
        <v/>
      </c>
      <c r="G64" s="390">
        <f t="shared" ca="1" si="22"/>
        <v>56</v>
      </c>
      <c r="H64" s="76">
        <v>56</v>
      </c>
      <c r="I64" s="98" t="s">
        <v>41</v>
      </c>
      <c r="J64" s="800">
        <v>10</v>
      </c>
      <c r="K64" s="801">
        <f t="array" aca="1" ref="K64" ca="1">(IF(COUNT(V64,X64,AA64,AB64,AC64,AE64)&lt;4,SUM(V64,X64,AA64,AB64,AC64,AE64),SUM(LARGE((V64,X64,AA64,AB64,AC64,AE64),{1;2;3;4}))))+(IF(COUNT(W64,Y64,Z64,AD64,AF64)&lt;4,SUM(W64,Y64,Z64,AD64,AF64),SUM(LARGE((W64,Y64,Z64,AD64,AF64),{1;2;3;4}))))</f>
        <v>10</v>
      </c>
      <c r="L64" s="397" t="str">
        <f ca="1">INDEX(ETAPP!B$1:B$32,MATCH(COUNTIF(V64:AF64,PUNKTID!A$1),ETAPP!A$1:A$32,0))&amp;INDEX(ETAPP!B$1:B$32,MATCH(COUNTIF(V64:AF64,PUNKTID!A$2),ETAPP!A$1:A$32,0))&amp;INDEX(ETAPP!B$1:B$32,MATCH(COUNTIF(V64:AF64,PUNKTID!A$3),ETAPP!A$1:A$32,0))&amp;INDEX(ETAPP!B$1:B$32,MATCH(COUNTIF(V64:AF64,PUNKTID!A$4),ETAPP!A$1:A$32,0))&amp;INDEX(ETAPP!B$1:B$32,MATCH(COUNTIF(V64:AF64,PUNKTID!A$5),ETAPP!A$1:A$32,0))&amp;INDEX(ETAPP!B$1:B$32,MATCH(COUNTIF(V64:AF64,PUNKTID!A$6),ETAPP!A$1:A$32,0))&amp;INDEX(ETAPP!B$1:B$32,MATCH(COUNTIF(V64:AF64,PUNKTID!A$7),ETAPP!A$1:A$32,0))&amp;INDEX(ETAPP!B$1:B$32,MATCH(COUNTIF(V64:AF64,PUNKTID!A$8),ETAPP!A$1:A$32,0))&amp;INDEX(ETAPP!B$1:B$32,MATCH(COUNTIF(V64:AF64,PUNKTID!A$9),ETAPP!A$1:A$32,0))&amp;INDEX(ETAPP!B$1:B$32,MATCH(COUNTIF(V64:AF64,PUNKTID!A$10),ETAPP!A$1:A$32,0))&amp;INDEX(ETAPP!B$1:B$32,MATCH(COUNTIF(V64:AF64,PUNKTID!A$11),ETAPP!A$1:A$32,0))&amp;INDEX(ETAPP!B$1:B$32,MATCH(COUNTIF(V64:AF64,PUNKTID!A$12),ETAPP!A$1:A$32,0))&amp;INDEX(ETAPP!B$1:B$32,MATCH(COUNTIF(V64:AF64,PUNKTID!A$13),ETAPP!A$1:A$32,0))&amp;INDEX(ETAPP!B$1:B$32,MATCH(COUNTIF(V64:AF64,PUNKTID!A$14),ETAPP!A$1:A$32,0))</f>
        <v>00000A000A0A0C</v>
      </c>
      <c r="M64" s="397" t="str">
        <f t="shared" ca="1" si="23"/>
        <v>010,0-00000A000A0A0C</v>
      </c>
      <c r="N64" s="320">
        <f t="shared" ca="1" si="24"/>
        <v>57</v>
      </c>
      <c r="O64" s="320">
        <f t="shared" si="25"/>
        <v>48</v>
      </c>
      <c r="P64" s="397" t="str">
        <f t="shared" ca="1" si="26"/>
        <v>010,0-00000A000A0A0C-048</v>
      </c>
      <c r="Q64" s="320">
        <f t="shared" ca="1" si="27"/>
        <v>44</v>
      </c>
      <c r="R64" s="328" t="s">
        <v>562</v>
      </c>
      <c r="S64" s="380"/>
      <c r="T64" s="400"/>
      <c r="U64" s="559"/>
      <c r="V64" s="97" t="str">
        <f>IFERROR(INDEX('1'!C$300:C$400,MATCH("*"&amp;I64&amp;"*",'1'!B$300:B$400,0)),"  ")</f>
        <v xml:space="preserve">  </v>
      </c>
      <c r="W64" s="97">
        <f>IFERROR(INDEX('2'!C$300:C$400,MATCH("*"&amp;I64&amp;"*",'2'!B$300:B$400,0)),"  ")</f>
        <v>2</v>
      </c>
      <c r="X64" s="97" t="str">
        <f>IFERROR(INDEX('3'!C$300:C$400,MATCH("*"&amp;I64&amp;"*",'3'!B$300:B$400,0)),"  ")</f>
        <v xml:space="preserve">  </v>
      </c>
      <c r="Y64" s="97" t="str">
        <f>IFERROR(INDEX('4'!C$300:C$400,MATCH("*"&amp;I64&amp;"*",'4'!B$300:B$400,0)),"  ")</f>
        <v xml:space="preserve">  </v>
      </c>
      <c r="Z64" s="97" t="str">
        <f>IFERROR(INDEX('5'!C$300:C$400,MATCH("*"&amp;I64&amp;"*",'5'!B$300:B$400,0)),"  ")</f>
        <v xml:space="preserve">  </v>
      </c>
      <c r="AA64" s="97" t="str">
        <f>IFERROR(INDEX('6'!C$300:C$400,MATCH("*"&amp;I64&amp;"*",'6'!B$300:B$400,0)),"  ")</f>
        <v xml:space="preserve">  </v>
      </c>
      <c r="AB64" s="97" t="str">
        <f>IFERROR(INDEX('7'!C$300:C$400,MATCH("*"&amp;I64&amp;"*",'7'!B$300:B$400,0)),"  ")</f>
        <v xml:space="preserve">  </v>
      </c>
      <c r="AC64" s="97" t="str">
        <f>IFERROR(INDEX('8'!C$300:C$400,MATCH("*"&amp;I64&amp;"*",'8'!B$300:B$400,0)),"  ")</f>
        <v xml:space="preserve">  </v>
      </c>
      <c r="AD64" s="97" t="str">
        <f ca="1">IFERROR(INDEX('9'!C$300:C$400,MATCH("*"&amp;I64&amp;"*",'9'!B$300:B$400,0)),"  ")</f>
        <v xml:space="preserve">  </v>
      </c>
      <c r="AE64" s="97">
        <f>IFERROR(INDEX('10'!C$300:C$400,MATCH("*"&amp;I64&amp;"*",'10'!B$300:B$400,0)),"  ")</f>
        <v>1</v>
      </c>
      <c r="AF64" s="97">
        <f>IFERROR(INDEX('11'!C$300:C$400,MATCH("*"&amp;I64&amp;"*",'11'!B$300:B$400,0)),"  ")</f>
        <v>7</v>
      </c>
      <c r="AG64" s="294">
        <f t="shared" ca="1" si="28"/>
        <v>3</v>
      </c>
      <c r="AH64" s="794">
        <f t="shared" ca="1" si="29"/>
        <v>0</v>
      </c>
      <c r="AI64" s="796">
        <f t="shared" ca="1" si="30"/>
        <v>0</v>
      </c>
      <c r="AJ64" s="303">
        <f t="shared" ca="1" si="31"/>
        <v>0</v>
      </c>
      <c r="AK64" s="405">
        <f t="shared" si="32"/>
        <v>1E-4</v>
      </c>
      <c r="AL64" s="405">
        <f t="shared" ca="1" si="33"/>
        <v>4.0000000000000002E-4</v>
      </c>
      <c r="AM64" s="442">
        <f t="array" aca="1" ref="AM64" ca="1">MIN(IF(V$5:AF$5="ESMV",IF(V64:AF64="  ",FALSE,V64:AF64)+COLUMN(V:AF)/10000))</f>
        <v>2.5000000000000001E-3</v>
      </c>
      <c r="AN64" s="405">
        <f t="shared" si="17"/>
        <v>2.9999999999999997E-4</v>
      </c>
    </row>
    <row r="65" spans="1:40" s="2" customFormat="1" x14ac:dyDescent="0.2">
      <c r="A65" s="328">
        <v>15</v>
      </c>
      <c r="B65" s="331">
        <f t="shared" ca="1" si="18"/>
        <v>15</v>
      </c>
      <c r="C65" s="329" t="str">
        <f t="shared" ca="1" si="19"/>
        <v>010,0-00000A000A0A0C</v>
      </c>
      <c r="D65" s="907" t="s">
        <v>257</v>
      </c>
      <c r="E65" s="331" t="str">
        <f t="shared" si="20"/>
        <v/>
      </c>
      <c r="F65" s="330" t="str">
        <f t="shared" si="21"/>
        <v/>
      </c>
      <c r="G65" s="390">
        <f t="shared" ca="1" si="22"/>
        <v>56</v>
      </c>
      <c r="H65" s="76">
        <v>56</v>
      </c>
      <c r="I65" s="83" t="s">
        <v>40</v>
      </c>
      <c r="J65" s="800">
        <v>10</v>
      </c>
      <c r="K65" s="801">
        <f t="array" aca="1" ref="K65" ca="1">(IF(COUNT(V65,X65,AA65,AB65,AC65,AE65)&lt;4,SUM(V65,X65,AA65,AB65,AC65,AE65),SUM(LARGE((V65,X65,AA65,AB65,AC65,AE65),{1;2;3;4}))))+(IF(COUNT(W65,Y65,Z65,AD65,AF65)&lt;4,SUM(W65,Y65,Z65,AD65,AF65),SUM(LARGE((W65,Y65,Z65,AD65,AF65),{1;2;3;4}))))</f>
        <v>10</v>
      </c>
      <c r="L65" s="397" t="str">
        <f ca="1">INDEX(ETAPP!B$1:B$32,MATCH(COUNTIF(V65:AF65,PUNKTID!A$1),ETAPP!A$1:A$32,0))&amp;INDEX(ETAPP!B$1:B$32,MATCH(COUNTIF(V65:AF65,PUNKTID!A$2),ETAPP!A$1:A$32,0))&amp;INDEX(ETAPP!B$1:B$32,MATCH(COUNTIF(V65:AF65,PUNKTID!A$3),ETAPP!A$1:A$32,0))&amp;INDEX(ETAPP!B$1:B$32,MATCH(COUNTIF(V65:AF65,PUNKTID!A$4),ETAPP!A$1:A$32,0))&amp;INDEX(ETAPP!B$1:B$32,MATCH(COUNTIF(V65:AF65,PUNKTID!A$5),ETAPP!A$1:A$32,0))&amp;INDEX(ETAPP!B$1:B$32,MATCH(COUNTIF(V65:AF65,PUNKTID!A$6),ETAPP!A$1:A$32,0))&amp;INDEX(ETAPP!B$1:B$32,MATCH(COUNTIF(V65:AF65,PUNKTID!A$7),ETAPP!A$1:A$32,0))&amp;INDEX(ETAPP!B$1:B$32,MATCH(COUNTIF(V65:AF65,PUNKTID!A$8),ETAPP!A$1:A$32,0))&amp;INDEX(ETAPP!B$1:B$32,MATCH(COUNTIF(V65:AF65,PUNKTID!A$9),ETAPP!A$1:A$32,0))&amp;INDEX(ETAPP!B$1:B$32,MATCH(COUNTIF(V65:AF65,PUNKTID!A$10),ETAPP!A$1:A$32,0))&amp;INDEX(ETAPP!B$1:B$32,MATCH(COUNTIF(V65:AF65,PUNKTID!A$11),ETAPP!A$1:A$32,0))&amp;INDEX(ETAPP!B$1:B$32,MATCH(COUNTIF(V65:AF65,PUNKTID!A$12),ETAPP!A$1:A$32,0))&amp;INDEX(ETAPP!B$1:B$32,MATCH(COUNTIF(V65:AF65,PUNKTID!A$13),ETAPP!A$1:A$32,0))&amp;INDEX(ETAPP!B$1:B$32,MATCH(COUNTIF(V65:AF65,PUNKTID!A$14),ETAPP!A$1:A$32,0))</f>
        <v>00000A000A0A0C</v>
      </c>
      <c r="M65" s="397" t="str">
        <f t="shared" ca="1" si="23"/>
        <v>010,0-00000A000A0A0C</v>
      </c>
      <c r="N65" s="320">
        <f t="shared" ca="1" si="24"/>
        <v>57</v>
      </c>
      <c r="O65" s="320">
        <f t="shared" si="25"/>
        <v>45</v>
      </c>
      <c r="P65" s="397" t="str">
        <f t="shared" ca="1" si="26"/>
        <v>010,0-00000A000A0A0C-045</v>
      </c>
      <c r="Q65" s="320">
        <f t="shared" ca="1" si="27"/>
        <v>43</v>
      </c>
      <c r="R65" s="328" t="s">
        <v>562</v>
      </c>
      <c r="S65" s="380"/>
      <c r="T65" s="400"/>
      <c r="U65" s="559"/>
      <c r="V65" s="97" t="str">
        <f>IFERROR(INDEX('1'!C$300:C$400,MATCH("*"&amp;I65&amp;"*",'1'!B$300:B$400,0)),"  ")</f>
        <v xml:space="preserve">  </v>
      </c>
      <c r="W65" s="97">
        <f>IFERROR(INDEX('2'!C$300:C$400,MATCH("*"&amp;I65&amp;"*",'2'!B$300:B$400,0)),"  ")</f>
        <v>2</v>
      </c>
      <c r="X65" s="97" t="str">
        <f>IFERROR(INDEX('3'!C$300:C$400,MATCH("*"&amp;I65&amp;"*",'3'!B$300:B$400,0)),"  ")</f>
        <v xml:space="preserve">  </v>
      </c>
      <c r="Y65" s="97" t="str">
        <f>IFERROR(INDEX('4'!C$300:C$400,MATCH("*"&amp;I65&amp;"*",'4'!B$300:B$400,0)),"  ")</f>
        <v xml:space="preserve">  </v>
      </c>
      <c r="Z65" s="97" t="str">
        <f>IFERROR(INDEX('5'!C$300:C$400,MATCH("*"&amp;I65&amp;"*",'5'!B$300:B$400,0)),"  ")</f>
        <v xml:space="preserve">  </v>
      </c>
      <c r="AA65" s="97" t="str">
        <f>IFERROR(INDEX('6'!C$300:C$400,MATCH("*"&amp;I65&amp;"*",'6'!B$300:B$400,0)),"  ")</f>
        <v xml:space="preserve">  </v>
      </c>
      <c r="AB65" s="97" t="str">
        <f>IFERROR(INDEX('7'!C$300:C$400,MATCH("*"&amp;I65&amp;"*",'7'!B$300:B$400,0)),"  ")</f>
        <v xml:space="preserve">  </v>
      </c>
      <c r="AC65" s="97" t="str">
        <f>IFERROR(INDEX('8'!C$300:C$400,MATCH("*"&amp;I65&amp;"*",'8'!B$300:B$400,0)),"  ")</f>
        <v xml:space="preserve">  </v>
      </c>
      <c r="AD65" s="97" t="str">
        <f ca="1">IFERROR(INDEX('9'!C$300:C$400,MATCH("*"&amp;I65&amp;"*",'9'!B$300:B$400,0)),"  ")</f>
        <v xml:space="preserve">  </v>
      </c>
      <c r="AE65" s="97">
        <f>IFERROR(INDEX('10'!C$300:C$400,MATCH("*"&amp;I65&amp;"*",'10'!B$300:B$400,0)),"  ")</f>
        <v>1</v>
      </c>
      <c r="AF65" s="97">
        <f>IFERROR(INDEX('11'!C$300:C$400,MATCH("*"&amp;I65&amp;"*",'11'!B$300:B$400,0)),"  ")</f>
        <v>7</v>
      </c>
      <c r="AG65" s="294">
        <f t="shared" ca="1" si="28"/>
        <v>3</v>
      </c>
      <c r="AH65" s="794">
        <f t="shared" ca="1" si="29"/>
        <v>0</v>
      </c>
      <c r="AI65" s="796">
        <f t="shared" ca="1" si="30"/>
        <v>0</v>
      </c>
      <c r="AJ65" s="303">
        <f t="shared" ca="1" si="31"/>
        <v>0</v>
      </c>
      <c r="AK65" s="405">
        <f t="shared" si="32"/>
        <v>1E-4</v>
      </c>
      <c r="AL65" s="405">
        <f t="shared" ca="1" si="33"/>
        <v>4.0000000000000002E-4</v>
      </c>
      <c r="AM65" s="442">
        <f t="array" aca="1" ref="AM65" ca="1">MIN(IF(V$5:AF$5="ESMV",IF(V65:AF65="  ",FALSE,V65:AF65)+COLUMN(V:AF)/10000))</f>
        <v>2.5000000000000001E-3</v>
      </c>
      <c r="AN65" s="405">
        <f t="shared" si="17"/>
        <v>2.9999999999999997E-4</v>
      </c>
    </row>
    <row r="66" spans="1:40" s="2" customFormat="1" x14ac:dyDescent="0.2">
      <c r="A66" s="328">
        <v>16</v>
      </c>
      <c r="B66" s="331">
        <f t="shared" ca="1" si="18"/>
        <v>16</v>
      </c>
      <c r="C66" s="329" t="str">
        <f t="shared" ca="1" si="19"/>
        <v>010,0-00000000BB000G</v>
      </c>
      <c r="D66" s="907" t="s">
        <v>257</v>
      </c>
      <c r="E66" s="331" t="str">
        <f t="shared" si="20"/>
        <v/>
      </c>
      <c r="F66" s="330" t="str">
        <f t="shared" si="21"/>
        <v/>
      </c>
      <c r="G66" s="390">
        <f t="shared" ca="1" si="22"/>
        <v>58</v>
      </c>
      <c r="H66" s="76">
        <v>58</v>
      </c>
      <c r="I66" s="98" t="s">
        <v>26</v>
      </c>
      <c r="J66" s="800">
        <v>10</v>
      </c>
      <c r="K66" s="801">
        <f t="array" aca="1" ref="K66" ca="1">(IF(COUNT(V66,X66,AA66,AB66,AC66,AE66)&lt;4,SUM(V66,X66,AA66,AB66,AC66,AE66),SUM(LARGE((V66,X66,AA66,AB66,AC66,AE66),{1;2;3;4}))))+(IF(COUNT(W66,Y66,Z66,AD66,AF66)&lt;4,SUM(W66,Y66,Z66,AD66,AF66),SUM(LARGE((W66,Y66,Z66,AD66,AF66),{1;2;3;4}))))</f>
        <v>10</v>
      </c>
      <c r="L66" s="397" t="str">
        <f ca="1">INDEX(ETAPP!B$1:B$32,MATCH(COUNTIF(V66:AF66,PUNKTID!A$1),ETAPP!A$1:A$32,0))&amp;INDEX(ETAPP!B$1:B$32,MATCH(COUNTIF(V66:AF66,PUNKTID!A$2),ETAPP!A$1:A$32,0))&amp;INDEX(ETAPP!B$1:B$32,MATCH(COUNTIF(V66:AF66,PUNKTID!A$3),ETAPP!A$1:A$32,0))&amp;INDEX(ETAPP!B$1:B$32,MATCH(COUNTIF(V66:AF66,PUNKTID!A$4),ETAPP!A$1:A$32,0))&amp;INDEX(ETAPP!B$1:B$32,MATCH(COUNTIF(V66:AF66,PUNKTID!A$5),ETAPP!A$1:A$32,0))&amp;INDEX(ETAPP!B$1:B$32,MATCH(COUNTIF(V66:AF66,PUNKTID!A$6),ETAPP!A$1:A$32,0))&amp;INDEX(ETAPP!B$1:B$32,MATCH(COUNTIF(V66:AF66,PUNKTID!A$7),ETAPP!A$1:A$32,0))&amp;INDEX(ETAPP!B$1:B$32,MATCH(COUNTIF(V66:AF66,PUNKTID!A$8),ETAPP!A$1:A$32,0))&amp;INDEX(ETAPP!B$1:B$32,MATCH(COUNTIF(V66:AF66,PUNKTID!A$9),ETAPP!A$1:A$32,0))&amp;INDEX(ETAPP!B$1:B$32,MATCH(COUNTIF(V66:AF66,PUNKTID!A$10),ETAPP!A$1:A$32,0))&amp;INDEX(ETAPP!B$1:B$32,MATCH(COUNTIF(V66:AF66,PUNKTID!A$11),ETAPP!A$1:A$32,0))&amp;INDEX(ETAPP!B$1:B$32,MATCH(COUNTIF(V66:AF66,PUNKTID!A$12),ETAPP!A$1:A$32,0))&amp;INDEX(ETAPP!B$1:B$32,MATCH(COUNTIF(V66:AF66,PUNKTID!A$13),ETAPP!A$1:A$32,0))&amp;INDEX(ETAPP!B$1:B$32,MATCH(COUNTIF(V66:AF66,PUNKTID!A$14),ETAPP!A$1:A$32,0))</f>
        <v>00000000BB000G</v>
      </c>
      <c r="M66" s="397" t="str">
        <f t="shared" ca="1" si="23"/>
        <v>010,0-00000000BB000G</v>
      </c>
      <c r="N66" s="320">
        <f t="shared" ca="1" si="24"/>
        <v>58</v>
      </c>
      <c r="O66" s="320">
        <f t="shared" si="25"/>
        <v>32</v>
      </c>
      <c r="P66" s="397" t="str">
        <f t="shared" ca="1" si="26"/>
        <v>010,0-00000000BB000G-032</v>
      </c>
      <c r="Q66" s="320">
        <f t="shared" ca="1" si="27"/>
        <v>42</v>
      </c>
      <c r="R66" s="328" t="s">
        <v>562</v>
      </c>
      <c r="S66" s="380"/>
      <c r="T66" s="400"/>
      <c r="U66" s="559"/>
      <c r="V66" s="97" t="str">
        <f>IFERROR(INDEX('1'!C$300:C$400,MATCH("*"&amp;I66&amp;"*",'1'!B$300:B$400,0)),"  ")</f>
        <v xml:space="preserve">  </v>
      </c>
      <c r="W66" s="97">
        <f>IFERROR(INDEX('2'!C$300:C$400,MATCH("*"&amp;I66&amp;"*",'2'!B$300:B$400,0)),"  ")</f>
        <v>2</v>
      </c>
      <c r="X66" s="97" t="str">
        <f>IFERROR(INDEX('3'!C$300:C$400,MATCH("*"&amp;I66&amp;"*",'3'!B$300:B$400,0)),"  ")</f>
        <v xml:space="preserve">  </v>
      </c>
      <c r="Y66" s="97" t="str">
        <f>IFERROR(INDEX('4'!C$300:C$400,MATCH("*"&amp;I66&amp;"*",'4'!B$300:B$400,0)),"  ")</f>
        <v xml:space="preserve">  </v>
      </c>
      <c r="Z66" s="97">
        <f>IFERROR(INDEX('5'!C$300:C$400,MATCH("*"&amp;I66&amp;"*",'5'!B$300:B$400,0)),"  ")</f>
        <v>2</v>
      </c>
      <c r="AA66" s="97">
        <f>IFERROR(INDEX('6'!C$300:C$400,MATCH("*"&amp;I66&amp;"*",'6'!B$300:B$400,0)),"  ")</f>
        <v>3</v>
      </c>
      <c r="AB66" s="97" t="str">
        <f>IFERROR(INDEX('7'!C$300:C$400,MATCH("*"&amp;I66&amp;"*",'7'!B$300:B$400,0)),"  ")</f>
        <v xml:space="preserve">  </v>
      </c>
      <c r="AC66" s="97">
        <f>IFERROR(INDEX('8'!C$300:C$400,MATCH("*"&amp;I66&amp;"*",'8'!B$300:B$400,0)),"  ")</f>
        <v>3</v>
      </c>
      <c r="AD66" s="97" t="str">
        <f ca="1">IFERROR(INDEX('9'!C$300:C$400,MATCH("*"&amp;I66&amp;"*",'9'!B$300:B$400,0)),"  ")</f>
        <v xml:space="preserve">  </v>
      </c>
      <c r="AE66" s="97" t="str">
        <f>IFERROR(INDEX('10'!C$300:C$400,MATCH("*"&amp;I66&amp;"*",'10'!B$300:B$400,0)),"  ")</f>
        <v xml:space="preserve">  </v>
      </c>
      <c r="AF66" s="97" t="str">
        <f>IFERROR(INDEX('11'!C$300:C$400,MATCH("*"&amp;I66&amp;"*",'11'!B$300:B$400,0)),"  ")</f>
        <v xml:space="preserve">  </v>
      </c>
      <c r="AG66" s="294">
        <f t="shared" ca="1" si="28"/>
        <v>4</v>
      </c>
      <c r="AH66" s="794">
        <f t="shared" ca="1" si="29"/>
        <v>0</v>
      </c>
      <c r="AI66" s="796">
        <f t="shared" ca="1" si="30"/>
        <v>0</v>
      </c>
      <c r="AJ66" s="303">
        <f t="shared" ca="1" si="31"/>
        <v>0</v>
      </c>
      <c r="AK66" s="405">
        <f t="shared" si="32"/>
        <v>1E-4</v>
      </c>
      <c r="AL66" s="405">
        <f t="shared" ca="1" si="33"/>
        <v>4.0000000000000002E-4</v>
      </c>
      <c r="AM66" s="442">
        <f t="array" aca="1" ref="AM66" ca="1">MIN(IF(V$5:AF$5="ESMV",IF(V66:AF66="  ",FALSE,V66:AF66)+COLUMN(V:AF)/10000))</f>
        <v>2.5000000000000001E-3</v>
      </c>
      <c r="AN66" s="405">
        <f t="shared" si="17"/>
        <v>2.9999999999999997E-4</v>
      </c>
    </row>
    <row r="67" spans="1:40" s="2" customFormat="1" x14ac:dyDescent="0.2">
      <c r="A67" s="328" t="s">
        <v>257</v>
      </c>
      <c r="B67" s="331" t="str">
        <f t="shared" si="18"/>
        <v/>
      </c>
      <c r="C67" s="329" t="str">
        <f t="shared" si="19"/>
        <v/>
      </c>
      <c r="D67" s="907" t="s">
        <v>257</v>
      </c>
      <c r="E67" s="331" t="str">
        <f t="shared" si="20"/>
        <v/>
      </c>
      <c r="F67" s="330" t="str">
        <f t="shared" si="21"/>
        <v/>
      </c>
      <c r="G67" s="390">
        <f t="shared" ca="1" si="22"/>
        <v>59</v>
      </c>
      <c r="H67" s="76">
        <v>59</v>
      </c>
      <c r="I67" s="98" t="s">
        <v>25</v>
      </c>
      <c r="J67" s="800">
        <v>9</v>
      </c>
      <c r="K67" s="801">
        <f t="array" aca="1" ref="K67" ca="1">(IF(COUNT(V67,X67,AA67,AB67,AC67,AE67)&lt;4,SUM(V67,X67,AA67,AB67,AC67,AE67),SUM(LARGE((V67,X67,AA67,AB67,AC67,AE67),{1;2;3;4}))))+(IF(COUNT(W67,Y67,Z67,AD67,AF67)&lt;4,SUM(W67,Y67,Z67,AD67,AF67),SUM(LARGE((W67,Y67,Z67,AD67,AF67),{1;2;3;4}))))</f>
        <v>9</v>
      </c>
      <c r="L67" s="397" t="str">
        <f ca="1">INDEX(ETAPP!B$1:B$32,MATCH(COUNTIF(V67:AF67,PUNKTID!A$1),ETAPP!A$1:A$32,0))&amp;INDEX(ETAPP!B$1:B$32,MATCH(COUNTIF(V67:AF67,PUNKTID!A$2),ETAPP!A$1:A$32,0))&amp;INDEX(ETAPP!B$1:B$32,MATCH(COUNTIF(V67:AF67,PUNKTID!A$3),ETAPP!A$1:A$32,0))&amp;INDEX(ETAPP!B$1:B$32,MATCH(COUNTIF(V67:AF67,PUNKTID!A$4),ETAPP!A$1:A$32,0))&amp;INDEX(ETAPP!B$1:B$32,MATCH(COUNTIF(V67:AF67,PUNKTID!A$5),ETAPP!A$1:A$32,0))&amp;INDEX(ETAPP!B$1:B$32,MATCH(COUNTIF(V67:AF67,PUNKTID!A$6),ETAPP!A$1:A$32,0))&amp;INDEX(ETAPP!B$1:B$32,MATCH(COUNTIF(V67:AF67,PUNKTID!A$7),ETAPP!A$1:A$32,0))&amp;INDEX(ETAPP!B$1:B$32,MATCH(COUNTIF(V67:AF67,PUNKTID!A$8),ETAPP!A$1:A$32,0))&amp;INDEX(ETAPP!B$1:B$32,MATCH(COUNTIF(V67:AF67,PUNKTID!A$9),ETAPP!A$1:A$32,0))&amp;INDEX(ETAPP!B$1:B$32,MATCH(COUNTIF(V67:AF67,PUNKTID!A$10),ETAPP!A$1:A$32,0))&amp;INDEX(ETAPP!B$1:B$32,MATCH(COUNTIF(V67:AF67,PUNKTID!A$11),ETAPP!A$1:A$32,0))&amp;INDEX(ETAPP!B$1:B$32,MATCH(COUNTIF(V67:AF67,PUNKTID!A$12),ETAPP!A$1:A$32,0))&amp;INDEX(ETAPP!B$1:B$32,MATCH(COUNTIF(V67:AF67,PUNKTID!A$13),ETAPP!A$1:A$32,0))&amp;INDEX(ETAPP!B$1:B$32,MATCH(COUNTIF(V67:AF67,PUNKTID!A$14),ETAPP!A$1:A$32,0))</f>
        <v>00000A000A000D</v>
      </c>
      <c r="M67" s="397" t="str">
        <f t="shared" ca="1" si="23"/>
        <v>009,0-00000A000A000D</v>
      </c>
      <c r="N67" s="320">
        <f t="shared" ca="1" si="24"/>
        <v>59</v>
      </c>
      <c r="O67" s="320">
        <f t="shared" si="25"/>
        <v>95</v>
      </c>
      <c r="P67" s="397" t="str">
        <f t="shared" ca="1" si="26"/>
        <v>009,0-00000A000A000D-095</v>
      </c>
      <c r="Q67" s="320">
        <f t="shared" ca="1" si="27"/>
        <v>41</v>
      </c>
      <c r="R67" s="328"/>
      <c r="S67" s="380"/>
      <c r="T67" s="400"/>
      <c r="U67" s="559"/>
      <c r="V67" s="97" t="str">
        <f>IFERROR(INDEX('1'!C$300:C$400,MATCH("*"&amp;I67&amp;"*",'1'!B$300:B$400,0)),"  ")</f>
        <v xml:space="preserve">  </v>
      </c>
      <c r="W67" s="97">
        <f>IFERROR(INDEX('2'!C$300:C$400,MATCH("*"&amp;I67&amp;"*",'2'!B$300:B$400,0)),"  ")</f>
        <v>2</v>
      </c>
      <c r="X67" s="97" t="str">
        <f>IFERROR(INDEX('3'!C$300:C$400,MATCH("*"&amp;I67&amp;"*",'3'!B$300:B$400,0)),"  ")</f>
        <v xml:space="preserve">  </v>
      </c>
      <c r="Y67" s="97" t="str">
        <f>IFERROR(INDEX('4'!C$300:C$400,MATCH("*"&amp;I67&amp;"*",'4'!B$300:B$400,0)),"  ")</f>
        <v xml:space="preserve">  </v>
      </c>
      <c r="Z67" s="97" t="str">
        <f>IFERROR(INDEX('5'!C$300:C$400,MATCH("*"&amp;I67&amp;"*",'5'!B$300:B$400,0)),"  ")</f>
        <v xml:space="preserve">  </v>
      </c>
      <c r="AA67" s="97" t="str">
        <f>IFERROR(INDEX('6'!C$300:C$400,MATCH("*"&amp;I67&amp;"*",'6'!B$300:B$400,0)),"  ")</f>
        <v xml:space="preserve">  </v>
      </c>
      <c r="AB67" s="97" t="str">
        <f>IFERROR(INDEX('7'!C$300:C$400,MATCH("*"&amp;I67&amp;"*",'7'!B$300:B$400,0)),"  ")</f>
        <v xml:space="preserve">  </v>
      </c>
      <c r="AC67" s="97" t="str">
        <f>IFERROR(INDEX('8'!C$300:C$400,MATCH("*"&amp;I67&amp;"*",'8'!B$300:B$400,0)),"  ")</f>
        <v xml:space="preserve">  </v>
      </c>
      <c r="AD67" s="97" t="str">
        <f ca="1">IFERROR(INDEX('9'!C$300:C$400,MATCH("*"&amp;I67&amp;"*",'9'!B$300:B$400,0)),"  ")</f>
        <v xml:space="preserve">  </v>
      </c>
      <c r="AE67" s="97" t="str">
        <f>IFERROR(INDEX('10'!C$300:C$400,MATCH("*"&amp;I67&amp;"*",'10'!B$300:B$400,0)),"  ")</f>
        <v xml:space="preserve">  </v>
      </c>
      <c r="AF67" s="97">
        <f>IFERROR(INDEX('11'!C$300:C$400,MATCH("*"&amp;I67&amp;"*",'11'!B$300:B$400,0)),"  ")</f>
        <v>7</v>
      </c>
      <c r="AG67" s="294">
        <f t="shared" ca="1" si="28"/>
        <v>2</v>
      </c>
      <c r="AH67" s="794">
        <f t="shared" ca="1" si="29"/>
        <v>0</v>
      </c>
      <c r="AI67" s="796">
        <f t="shared" ca="1" si="30"/>
        <v>0</v>
      </c>
      <c r="AJ67" s="303">
        <f t="shared" ca="1" si="31"/>
        <v>0</v>
      </c>
      <c r="AK67" s="405">
        <f t="shared" si="32"/>
        <v>1E-4</v>
      </c>
      <c r="AL67" s="405">
        <f t="shared" ca="1" si="33"/>
        <v>4.0000000000000002E-4</v>
      </c>
      <c r="AM67" s="442">
        <f t="array" aca="1" ref="AM67" ca="1">MIN(IF(V$5:AF$5="ESMV",IF(V67:AF67="  ",FALSE,V67:AF67)+COLUMN(V:AF)/10000))</f>
        <v>2.5000000000000001E-3</v>
      </c>
      <c r="AN67" s="405">
        <f t="shared" si="17"/>
        <v>2.9999999999999997E-4</v>
      </c>
    </row>
    <row r="68" spans="1:40" s="2" customFormat="1" x14ac:dyDescent="0.2">
      <c r="A68" s="328" t="s">
        <v>257</v>
      </c>
      <c r="B68" s="331" t="str">
        <f t="shared" si="18"/>
        <v/>
      </c>
      <c r="C68" s="329" t="str">
        <f t="shared" si="19"/>
        <v/>
      </c>
      <c r="D68" s="907" t="s">
        <v>257</v>
      </c>
      <c r="E68" s="331" t="str">
        <f t="shared" si="20"/>
        <v/>
      </c>
      <c r="F68" s="330" t="str">
        <f t="shared" si="21"/>
        <v/>
      </c>
      <c r="G68" s="390">
        <f t="shared" ca="1" si="22"/>
        <v>60</v>
      </c>
      <c r="H68" s="76">
        <v>60</v>
      </c>
      <c r="I68" s="98" t="s">
        <v>43</v>
      </c>
      <c r="J68" s="800">
        <v>7.5</v>
      </c>
      <c r="K68" s="801">
        <f t="array" aca="1" ref="K68" ca="1">(IF(COUNT(V68,X68,AA68,AB68,AC68,AE68)&lt;4,SUM(V68,X68,AA68,AB68,AC68,AE68),SUM(LARGE((V68,X68,AA68,AB68,AC68,AE68),{1;2;3;4}))))+(IF(COUNT(W68,Y68,Z68,AD68,AF68)&lt;4,SUM(W68,Y68,Z68,AD68,AF68),SUM(LARGE((W68,Y68,Z68,AD68,AF68),{1;2;3;4}))))</f>
        <v>7.5</v>
      </c>
      <c r="L68" s="397" t="str">
        <f ca="1">INDEX(ETAPP!B$1:B$32,MATCH(COUNTIF(V68:AF68,PUNKTID!A$1),ETAPP!A$1:A$32,0))&amp;INDEX(ETAPP!B$1:B$32,MATCH(COUNTIF(V68:AF68,PUNKTID!A$2),ETAPP!A$1:A$32,0))&amp;INDEX(ETAPP!B$1:B$32,MATCH(COUNTIF(V68:AF68,PUNKTID!A$3),ETAPP!A$1:A$32,0))&amp;INDEX(ETAPP!B$1:B$32,MATCH(COUNTIF(V68:AF68,PUNKTID!A$4),ETAPP!A$1:A$32,0))&amp;INDEX(ETAPP!B$1:B$32,MATCH(COUNTIF(V68:AF68,PUNKTID!A$5),ETAPP!A$1:A$32,0))&amp;INDEX(ETAPP!B$1:B$32,MATCH(COUNTIF(V68:AF68,PUNKTID!A$6),ETAPP!A$1:A$32,0))&amp;INDEX(ETAPP!B$1:B$32,MATCH(COUNTIF(V68:AF68,PUNKTID!A$7),ETAPP!A$1:A$32,0))&amp;INDEX(ETAPP!B$1:B$32,MATCH(COUNTIF(V68:AF68,PUNKTID!A$8),ETAPP!A$1:A$32,0))&amp;INDEX(ETAPP!B$1:B$32,MATCH(COUNTIF(V68:AF68,PUNKTID!A$9),ETAPP!A$1:A$32,0))&amp;INDEX(ETAPP!B$1:B$32,MATCH(COUNTIF(V68:AF68,PUNKTID!A$10),ETAPP!A$1:A$32,0))&amp;INDEX(ETAPP!B$1:B$32,MATCH(COUNTIF(V68:AF68,PUNKTID!A$11),ETAPP!A$1:A$32,0))&amp;INDEX(ETAPP!B$1:B$32,MATCH(COUNTIF(V68:AF68,PUNKTID!A$12),ETAPP!A$1:A$32,0))&amp;INDEX(ETAPP!B$1:B$32,MATCH(COUNTIF(V68:AF68,PUNKTID!A$13),ETAPP!A$1:A$32,0))&amp;INDEX(ETAPP!B$1:B$32,MATCH(COUNTIF(V68:AF68,PUNKTID!A$14),ETAPP!A$1:A$32,0))</f>
        <v>0000000A0AA00C</v>
      </c>
      <c r="M68" s="397" t="str">
        <f t="shared" ca="1" si="23"/>
        <v>007,5-0000000A0AA00C</v>
      </c>
      <c r="N68" s="320">
        <f t="shared" ca="1" si="24"/>
        <v>60</v>
      </c>
      <c r="O68" s="320">
        <f t="shared" si="25"/>
        <v>30</v>
      </c>
      <c r="P68" s="397" t="str">
        <f t="shared" ca="1" si="26"/>
        <v>007,5-0000000A0AA00C-030</v>
      </c>
      <c r="Q68" s="320">
        <f t="shared" ca="1" si="27"/>
        <v>40</v>
      </c>
      <c r="R68" s="328"/>
      <c r="S68" s="380"/>
      <c r="T68" s="400"/>
      <c r="U68" s="559"/>
      <c r="V68" s="97" t="str">
        <f>IFERROR(INDEX('1'!C$300:C$400,MATCH("*"&amp;I68&amp;"*",'1'!B$300:B$400,0)),"  ")</f>
        <v xml:space="preserve">  </v>
      </c>
      <c r="W68" s="97">
        <f>IFERROR(INDEX('2'!C$300:C$400,MATCH("*"&amp;I68&amp;"*",'2'!B$300:B$400,0)),"  ")</f>
        <v>2</v>
      </c>
      <c r="X68" s="380">
        <f>IFERROR(INDEX('3'!C$300:C$400,MATCH("*"&amp;I68&amp;"*",'3'!B$300:B$400,0)),"  ")</f>
        <v>1.5</v>
      </c>
      <c r="Y68" s="97" t="str">
        <f>IFERROR(INDEX('4'!C$300:C$400,MATCH("*"&amp;I68&amp;"*",'4'!B$300:B$400,0)),"  ")</f>
        <v xml:space="preserve">  </v>
      </c>
      <c r="Z68" s="97" t="str">
        <f>IFERROR(INDEX('5'!C$300:C$400,MATCH("*"&amp;I68&amp;"*",'5'!B$300:B$400,0)),"  ")</f>
        <v xml:space="preserve">  </v>
      </c>
      <c r="AA68" s="97" t="str">
        <f>IFERROR(INDEX('6'!C$300:C$400,MATCH("*"&amp;I68&amp;"*",'6'!B$300:B$400,0)),"  ")</f>
        <v xml:space="preserve">  </v>
      </c>
      <c r="AB68" s="97" t="str">
        <f>IFERROR(INDEX('7'!C$300:C$400,MATCH("*"&amp;I68&amp;"*",'7'!B$300:B$400,0)),"  ")</f>
        <v xml:space="preserve">  </v>
      </c>
      <c r="AC68" s="97" t="str">
        <f>IFERROR(INDEX('8'!C$300:C$400,MATCH("*"&amp;I68&amp;"*",'8'!B$300:B$400,0)),"  ")</f>
        <v xml:space="preserve">  </v>
      </c>
      <c r="AD68" s="97" t="str">
        <f ca="1">IFERROR(INDEX('9'!C$300:C$400,MATCH("*"&amp;I68&amp;"*",'9'!B$300:B$400,0)),"  ")</f>
        <v xml:space="preserve">  </v>
      </c>
      <c r="AE68" s="97">
        <f>IFERROR(INDEX('10'!C$300:C$400,MATCH("*"&amp;I68&amp;"*",'10'!B$300:B$400,0)),"  ")</f>
        <v>4</v>
      </c>
      <c r="AF68" s="97" t="str">
        <f>IFERROR(INDEX('11'!C$300:C$400,MATCH("*"&amp;I68&amp;"*",'11'!B$300:B$400,0)),"  ")</f>
        <v xml:space="preserve">  </v>
      </c>
      <c r="AG68" s="294">
        <f t="shared" ca="1" si="28"/>
        <v>3</v>
      </c>
      <c r="AH68" s="794">
        <f t="shared" ca="1" si="29"/>
        <v>0</v>
      </c>
      <c r="AI68" s="796">
        <f t="shared" ca="1" si="30"/>
        <v>0</v>
      </c>
      <c r="AJ68" s="303">
        <f t="shared" ca="1" si="31"/>
        <v>0</v>
      </c>
      <c r="AK68" s="405">
        <f t="shared" si="32"/>
        <v>1E-4</v>
      </c>
      <c r="AL68" s="405">
        <f t="shared" ca="1" si="33"/>
        <v>4.0000000000000002E-4</v>
      </c>
      <c r="AM68" s="442">
        <f t="array" aca="1" ref="AM68" ca="1">MIN(IF(V$5:AF$5="ESMV",IF(V68:AF68="  ",FALSE,V68:AF68)+COLUMN(V:AF)/10000))</f>
        <v>2.5000000000000001E-3</v>
      </c>
      <c r="AN68" s="405">
        <f t="shared" si="17"/>
        <v>5.9999999999999995E-4</v>
      </c>
    </row>
    <row r="69" spans="1:40" s="2" customFormat="1" x14ac:dyDescent="0.2">
      <c r="A69" s="328">
        <v>17</v>
      </c>
      <c r="B69" s="331">
        <f t="shared" ca="1" si="18"/>
        <v>17</v>
      </c>
      <c r="C69" s="329" t="str">
        <f t="shared" ca="1" si="19"/>
        <v>007,0-00000A0000000E</v>
      </c>
      <c r="D69" s="907" t="s">
        <v>257</v>
      </c>
      <c r="E69" s="331" t="str">
        <f t="shared" si="20"/>
        <v/>
      </c>
      <c r="F69" s="330" t="str">
        <f t="shared" si="21"/>
        <v/>
      </c>
      <c r="G69" s="390">
        <f t="shared" ca="1" si="22"/>
        <v>61</v>
      </c>
      <c r="H69" s="76">
        <v>61</v>
      </c>
      <c r="I69" s="98" t="s">
        <v>57</v>
      </c>
      <c r="J69" s="800">
        <v>7</v>
      </c>
      <c r="K69" s="801">
        <f t="array" aca="1" ref="K69" ca="1">(IF(COUNT(V69,X69,AA69,AB69,AC69,AE69)&lt;4,SUM(V69,X69,AA69,AB69,AC69,AE69),SUM(LARGE((V69,X69,AA69,AB69,AC69,AE69),{1;2;3;4}))))+(IF(COUNT(W69,Y69,Z69,AD69,AF69)&lt;4,SUM(W69,Y69,Z69,AD69,AF69),SUM(LARGE((W69,Y69,Z69,AD69,AF69),{1;2;3;4}))))</f>
        <v>7</v>
      </c>
      <c r="L69" s="397" t="str">
        <f ca="1">INDEX(ETAPP!B$1:B$32,MATCH(COUNTIF(V69:AF69,PUNKTID!A$1),ETAPP!A$1:A$32,0))&amp;INDEX(ETAPP!B$1:B$32,MATCH(COUNTIF(V69:AF69,PUNKTID!A$2),ETAPP!A$1:A$32,0))&amp;INDEX(ETAPP!B$1:B$32,MATCH(COUNTIF(V69:AF69,PUNKTID!A$3),ETAPP!A$1:A$32,0))&amp;INDEX(ETAPP!B$1:B$32,MATCH(COUNTIF(V69:AF69,PUNKTID!A$4),ETAPP!A$1:A$32,0))&amp;INDEX(ETAPP!B$1:B$32,MATCH(COUNTIF(V69:AF69,PUNKTID!A$5),ETAPP!A$1:A$32,0))&amp;INDEX(ETAPP!B$1:B$32,MATCH(COUNTIF(V69:AF69,PUNKTID!A$6),ETAPP!A$1:A$32,0))&amp;INDEX(ETAPP!B$1:B$32,MATCH(COUNTIF(V69:AF69,PUNKTID!A$7),ETAPP!A$1:A$32,0))&amp;INDEX(ETAPP!B$1:B$32,MATCH(COUNTIF(V69:AF69,PUNKTID!A$8),ETAPP!A$1:A$32,0))&amp;INDEX(ETAPP!B$1:B$32,MATCH(COUNTIF(V69:AF69,PUNKTID!A$9),ETAPP!A$1:A$32,0))&amp;INDEX(ETAPP!B$1:B$32,MATCH(COUNTIF(V69:AF69,PUNKTID!A$10),ETAPP!A$1:A$32,0))&amp;INDEX(ETAPP!B$1:B$32,MATCH(COUNTIF(V69:AF69,PUNKTID!A$11),ETAPP!A$1:A$32,0))&amp;INDEX(ETAPP!B$1:B$32,MATCH(COUNTIF(V69:AF69,PUNKTID!A$12),ETAPP!A$1:A$32,0))&amp;INDEX(ETAPP!B$1:B$32,MATCH(COUNTIF(V69:AF69,PUNKTID!A$13),ETAPP!A$1:A$32,0))&amp;INDEX(ETAPP!B$1:B$32,MATCH(COUNTIF(V69:AF69,PUNKTID!A$14),ETAPP!A$1:A$32,0))</f>
        <v>00000A0000000E</v>
      </c>
      <c r="M69" s="397" t="str">
        <f t="shared" ca="1" si="23"/>
        <v>007,0-00000A0000000E</v>
      </c>
      <c r="N69" s="320">
        <f t="shared" ca="1" si="24"/>
        <v>61</v>
      </c>
      <c r="O69" s="320">
        <f t="shared" si="25"/>
        <v>24</v>
      </c>
      <c r="P69" s="397" t="str">
        <f t="shared" ca="1" si="26"/>
        <v>007,0-00000A0000000E-024</v>
      </c>
      <c r="Q69" s="320">
        <f t="shared" ca="1" si="27"/>
        <v>39</v>
      </c>
      <c r="R69" s="328" t="s">
        <v>562</v>
      </c>
      <c r="S69" s="380"/>
      <c r="T69" s="400" t="s">
        <v>605</v>
      </c>
      <c r="U69" s="559"/>
      <c r="V69" s="97" t="str">
        <f>IFERROR(INDEX('1'!C$300:C$400,MATCH("*"&amp;I69&amp;"*",'1'!B$300:B$400,0)),"  ")</f>
        <v xml:space="preserve">  </v>
      </c>
      <c r="W69" s="97">
        <f>IFERROR(INDEX('2'!C$300:C$400,MATCH("*"&amp;I69&amp;"*",'2'!B$300:B$400,0)),"  ")</f>
        <v>7</v>
      </c>
      <c r="X69" s="97" t="str">
        <f>IFERROR(INDEX('3'!C$300:C$400,MATCH("*"&amp;I69&amp;"*",'3'!B$300:B$400,0)),"  ")</f>
        <v xml:space="preserve">  </v>
      </c>
      <c r="Y69" s="97" t="str">
        <f>IFERROR(INDEX('4'!C$300:C$400,MATCH("*"&amp;I69&amp;"*",'4'!B$300:B$400,0)),"  ")</f>
        <v xml:space="preserve">  </v>
      </c>
      <c r="Z69" s="97" t="str">
        <f>IFERROR(INDEX('5'!C$300:C$400,MATCH("*"&amp;I69&amp;"*",'5'!B$300:B$400,0)),"  ")</f>
        <v xml:space="preserve">  </v>
      </c>
      <c r="AA69" s="97" t="str">
        <f>IFERROR(INDEX('6'!C$300:C$400,MATCH("*"&amp;I69&amp;"*",'6'!B$300:B$400,0)),"  ")</f>
        <v xml:space="preserve">  </v>
      </c>
      <c r="AB69" s="97" t="str">
        <f>IFERROR(INDEX('7'!C$300:C$400,MATCH("*"&amp;I69&amp;"*",'7'!B$300:B$400,0)),"  ")</f>
        <v xml:space="preserve">  </v>
      </c>
      <c r="AC69" s="97" t="str">
        <f>IFERROR(INDEX('8'!C$300:C$400,MATCH("*"&amp;I69&amp;"*",'8'!B$300:B$400,0)),"  ")</f>
        <v xml:space="preserve">  </v>
      </c>
      <c r="AD69" s="97" t="str">
        <f ca="1">IFERROR(INDEX('9'!C$300:C$400,MATCH("*"&amp;I69&amp;"*",'9'!B$300:B$400,0)),"  ")</f>
        <v xml:space="preserve">  </v>
      </c>
      <c r="AE69" s="97" t="str">
        <f>IFERROR(INDEX('10'!C$300:C$400,MATCH("*"&amp;I69&amp;"*",'10'!B$300:B$400,0)),"  ")</f>
        <v xml:space="preserve">  </v>
      </c>
      <c r="AF69" s="97" t="str">
        <f>IFERROR(INDEX('11'!C$300:C$400,MATCH("*"&amp;I69&amp;"*",'11'!B$300:B$400,0)),"  ")</f>
        <v xml:space="preserve">  </v>
      </c>
      <c r="AG69" s="294">
        <f t="shared" ca="1" si="28"/>
        <v>1</v>
      </c>
      <c r="AH69" s="794">
        <f t="shared" ca="1" si="29"/>
        <v>0</v>
      </c>
      <c r="AI69" s="796">
        <f t="shared" ca="1" si="30"/>
        <v>0</v>
      </c>
      <c r="AJ69" s="303">
        <f t="shared" ca="1" si="31"/>
        <v>0</v>
      </c>
      <c r="AK69" s="405">
        <f t="shared" si="32"/>
        <v>1E-4</v>
      </c>
      <c r="AL69" s="405">
        <f t="shared" ca="1" si="33"/>
        <v>4.0000000000000002E-4</v>
      </c>
      <c r="AM69" s="442">
        <f t="array" aca="1" ref="AM69" ca="1">MIN(IF(V$5:AF$5="ESMV",IF(V69:AF69="  ",FALSE,V69:AF69)+COLUMN(V:AF)/10000))</f>
        <v>2.5000000000000001E-3</v>
      </c>
      <c r="AN69" s="405">
        <f t="shared" si="17"/>
        <v>2.9999999999999997E-4</v>
      </c>
    </row>
    <row r="70" spans="1:40" s="2" customFormat="1" x14ac:dyDescent="0.2">
      <c r="A70" s="328" t="s">
        <v>257</v>
      </c>
      <c r="B70" s="331" t="str">
        <f t="shared" si="18"/>
        <v/>
      </c>
      <c r="C70" s="329" t="str">
        <f t="shared" si="19"/>
        <v/>
      </c>
      <c r="D70" s="907" t="s">
        <v>257</v>
      </c>
      <c r="E70" s="331" t="str">
        <f t="shared" si="20"/>
        <v/>
      </c>
      <c r="F70" s="330" t="str">
        <f t="shared" si="21"/>
        <v/>
      </c>
      <c r="G70" s="390">
        <f t="shared" ca="1" si="22"/>
        <v>62</v>
      </c>
      <c r="H70" s="76">
        <v>62</v>
      </c>
      <c r="I70" s="83" t="s">
        <v>146</v>
      </c>
      <c r="J70" s="800">
        <v>6</v>
      </c>
      <c r="K70" s="801">
        <f t="array" aca="1" ref="K70" ca="1">(IF(COUNT(V70,X70,AA70,AB70,AC70,AE70)&lt;4,SUM(V70,X70,AA70,AB70,AC70,AE70),SUM(LARGE((V70,X70,AA70,AB70,AC70,AE70),{1;2;3;4}))))+(IF(COUNT(W70,Y70,Z70,AD70,AF70)&lt;4,SUM(W70,Y70,Z70,AD70,AF70),SUM(LARGE((W70,Y70,Z70,AD70,AF70),{1;2;3;4}))))</f>
        <v>6</v>
      </c>
      <c r="L70" s="397" t="str">
        <f ca="1">INDEX(ETAPP!B$1:B$32,MATCH(COUNTIF(V70:AF70,PUNKTID!A$1),ETAPP!A$1:A$32,0))&amp;INDEX(ETAPP!B$1:B$32,MATCH(COUNTIF(V70:AF70,PUNKTID!A$2),ETAPP!A$1:A$32,0))&amp;INDEX(ETAPP!B$1:B$32,MATCH(COUNTIF(V70:AF70,PUNKTID!A$3),ETAPP!A$1:A$32,0))&amp;INDEX(ETAPP!B$1:B$32,MATCH(COUNTIF(V70:AF70,PUNKTID!A$4),ETAPP!A$1:A$32,0))&amp;INDEX(ETAPP!B$1:B$32,MATCH(COUNTIF(V70:AF70,PUNKTID!A$5),ETAPP!A$1:A$32,0))&amp;INDEX(ETAPP!B$1:B$32,MATCH(COUNTIF(V70:AF70,PUNKTID!A$6),ETAPP!A$1:A$32,0))&amp;INDEX(ETAPP!B$1:B$32,MATCH(COUNTIF(V70:AF70,PUNKTID!A$7),ETAPP!A$1:A$32,0))&amp;INDEX(ETAPP!B$1:B$32,MATCH(COUNTIF(V70:AF70,PUNKTID!A$8),ETAPP!A$1:A$32,0))&amp;INDEX(ETAPP!B$1:B$32,MATCH(COUNTIF(V70:AF70,PUNKTID!A$9),ETAPP!A$1:A$32,0))&amp;INDEX(ETAPP!B$1:B$32,MATCH(COUNTIF(V70:AF70,PUNKTID!A$10),ETAPP!A$1:A$32,0))&amp;INDEX(ETAPP!B$1:B$32,MATCH(COUNTIF(V70:AF70,PUNKTID!A$11),ETAPP!A$1:A$32,0))&amp;INDEX(ETAPP!B$1:B$32,MATCH(COUNTIF(V70:AF70,PUNKTID!A$12),ETAPP!A$1:A$32,0))&amp;INDEX(ETAPP!B$1:B$32,MATCH(COUNTIF(V70:AF70,PUNKTID!A$13),ETAPP!A$1:A$32,0))&amp;INDEX(ETAPP!B$1:B$32,MATCH(COUNTIF(V70:AF70,PUNKTID!A$14),ETAPP!A$1:A$32,0))</f>
        <v>000000000B0B0G</v>
      </c>
      <c r="M70" s="397" t="str">
        <f t="shared" ca="1" si="23"/>
        <v>006,0-000000000B0B0G</v>
      </c>
      <c r="N70" s="320">
        <f t="shared" ca="1" si="24"/>
        <v>62</v>
      </c>
      <c r="O70" s="320">
        <f t="shared" si="25"/>
        <v>11</v>
      </c>
      <c r="P70" s="397" t="str">
        <f t="shared" ca="1" si="26"/>
        <v>006,0-000000000B0B0G-011</v>
      </c>
      <c r="Q70" s="320">
        <f t="shared" ca="1" si="27"/>
        <v>38</v>
      </c>
      <c r="R70" s="328"/>
      <c r="S70" s="380"/>
      <c r="T70" s="400"/>
      <c r="U70" s="559"/>
      <c r="V70" s="97">
        <f>IFERROR(INDEX('1'!C$300:C$400,MATCH("*"&amp;I70&amp;"*",'1'!B$300:B$400,0)),"  ")</f>
        <v>1</v>
      </c>
      <c r="W70" s="97" t="str">
        <f>IFERROR(INDEX('2'!C$300:C$400,MATCH("*"&amp;I70&amp;"*",'2'!B$300:B$400,0)),"  ")</f>
        <v xml:space="preserve">  </v>
      </c>
      <c r="X70" s="97">
        <f>IFERROR(INDEX('3'!C$300:C$400,MATCH("*"&amp;I70&amp;"*",'3'!B$300:B$400,0)),"  ")</f>
        <v>1</v>
      </c>
      <c r="Y70" s="97">
        <f>IFERROR(INDEX('4'!C$300:C$400,MATCH("*"&amp;I70&amp;"*",'4'!B$300:B$400,0)),"  ")</f>
        <v>2</v>
      </c>
      <c r="Z70" s="97" t="str">
        <f>IFERROR(INDEX('5'!C$300:C$400,MATCH("*"&amp;I70&amp;"*",'5'!B$300:B$400,0)),"  ")</f>
        <v xml:space="preserve">  </v>
      </c>
      <c r="AA70" s="97" t="str">
        <f>IFERROR(INDEX('6'!C$300:C$400,MATCH("*"&amp;I70&amp;"*",'6'!B$300:B$400,0)),"  ")</f>
        <v xml:space="preserve">  </v>
      </c>
      <c r="AB70" s="97" t="str">
        <f>IFERROR(INDEX('7'!C$300:C$400,MATCH("*"&amp;I70&amp;"*",'7'!B$300:B$400,0)),"  ")</f>
        <v xml:space="preserve">  </v>
      </c>
      <c r="AC70" s="97" t="str">
        <f>IFERROR(INDEX('8'!C$300:C$400,MATCH("*"&amp;I70&amp;"*",'8'!B$300:B$400,0)),"  ")</f>
        <v xml:space="preserve">  </v>
      </c>
      <c r="AD70" s="97" t="str">
        <f ca="1">IFERROR(INDEX('9'!C$300:C$400,MATCH("*"&amp;I70&amp;"*",'9'!B$300:B$400,0)),"  ")</f>
        <v xml:space="preserve">  </v>
      </c>
      <c r="AE70" s="97" t="str">
        <f>IFERROR(INDEX('10'!C$300:C$400,MATCH("*"&amp;I70&amp;"*",'10'!B$300:B$400,0)),"  ")</f>
        <v xml:space="preserve">  </v>
      </c>
      <c r="AF70" s="97">
        <f>IFERROR(INDEX('11'!C$300:C$400,MATCH("*"&amp;I70&amp;"*",'11'!B$300:B$400,0)),"  ")</f>
        <v>2</v>
      </c>
      <c r="AG70" s="294">
        <f t="shared" ca="1" si="28"/>
        <v>4</v>
      </c>
      <c r="AH70" s="794">
        <f t="shared" ca="1" si="29"/>
        <v>0</v>
      </c>
      <c r="AI70" s="796">
        <f t="shared" ca="1" si="30"/>
        <v>0</v>
      </c>
      <c r="AJ70" s="303">
        <f t="shared" ca="1" si="31"/>
        <v>0</v>
      </c>
      <c r="AK70" s="405">
        <f t="shared" si="32"/>
        <v>5.9999999999999995E-4</v>
      </c>
      <c r="AL70" s="405">
        <f t="shared" ca="1" si="33"/>
        <v>2.0000000000000001E-4</v>
      </c>
      <c r="AM70" s="442">
        <f t="array" aca="1" ref="AM70" ca="1">MIN(IF(V$5:AF$5="ESMV",IF(V70:AF70="  ",FALSE,V70:AF70)+COLUMN(V:AF)/10000))</f>
        <v>2.3E-3</v>
      </c>
      <c r="AN70" s="405">
        <f t="shared" si="17"/>
        <v>6.9999999999999999E-4</v>
      </c>
    </row>
    <row r="71" spans="1:40" s="2" customFormat="1" x14ac:dyDescent="0.2">
      <c r="A71" s="328" t="s">
        <v>257</v>
      </c>
      <c r="B71" s="331" t="str">
        <f t="shared" si="18"/>
        <v/>
      </c>
      <c r="C71" s="329" t="str">
        <f t="shared" si="19"/>
        <v/>
      </c>
      <c r="D71" s="907" t="s">
        <v>257</v>
      </c>
      <c r="E71" s="331" t="str">
        <f t="shared" si="20"/>
        <v/>
      </c>
      <c r="F71" s="330" t="str">
        <f t="shared" si="21"/>
        <v/>
      </c>
      <c r="G71" s="390">
        <f t="shared" ca="1" si="22"/>
        <v>63</v>
      </c>
      <c r="H71" s="76">
        <v>63</v>
      </c>
      <c r="I71" s="98" t="s">
        <v>50</v>
      </c>
      <c r="J71" s="800">
        <v>6</v>
      </c>
      <c r="K71" s="801">
        <f t="array" aca="1" ref="K71" ca="1">(IF(COUNT(V71,X71,AA71,AB71,AC71,AE71)&lt;4,SUM(V71,X71,AA71,AB71,AC71,AE71),SUM(LARGE((V71,X71,AA71,AB71,AC71,AE71),{1;2;3;4}))))+(IF(COUNT(W71,Y71,Z71,AD71,AF71)&lt;4,SUM(W71,Y71,Z71,AD71,AF71),SUM(LARGE((W71,Y71,Z71,AD71,AF71),{1;2;3;4}))))</f>
        <v>6</v>
      </c>
      <c r="L71" s="397" t="str">
        <f ca="1">INDEX(ETAPP!B$1:B$32,MATCH(COUNTIF(V71:AF71,PUNKTID!A$1),ETAPP!A$1:A$32,0))&amp;INDEX(ETAPP!B$1:B$32,MATCH(COUNTIF(V71:AF71,PUNKTID!A$2),ETAPP!A$1:A$32,0))&amp;INDEX(ETAPP!B$1:B$32,MATCH(COUNTIF(V71:AF71,PUNKTID!A$3),ETAPP!A$1:A$32,0))&amp;INDEX(ETAPP!B$1:B$32,MATCH(COUNTIF(V71:AF71,PUNKTID!A$4),ETAPP!A$1:A$32,0))&amp;INDEX(ETAPP!B$1:B$32,MATCH(COUNTIF(V71:AF71,PUNKTID!A$5),ETAPP!A$1:A$32,0))&amp;INDEX(ETAPP!B$1:B$32,MATCH(COUNTIF(V71:AF71,PUNKTID!A$6),ETAPP!A$1:A$32,0))&amp;INDEX(ETAPP!B$1:B$32,MATCH(COUNTIF(V71:AF71,PUNKTID!A$7),ETAPP!A$1:A$32,0))&amp;INDEX(ETAPP!B$1:B$32,MATCH(COUNTIF(V71:AF71,PUNKTID!A$8),ETAPP!A$1:A$32,0))&amp;INDEX(ETAPP!B$1:B$32,MATCH(COUNTIF(V71:AF71,PUNKTID!A$9),ETAPP!A$1:A$32,0))&amp;INDEX(ETAPP!B$1:B$32,MATCH(COUNTIF(V71:AF71,PUNKTID!A$10),ETAPP!A$1:A$32,0))&amp;INDEX(ETAPP!B$1:B$32,MATCH(COUNTIF(V71:AF71,PUNKTID!A$11),ETAPP!A$1:A$32,0))&amp;INDEX(ETAPP!B$1:B$32,MATCH(COUNTIF(V71:AF71,PUNKTID!A$12),ETAPP!A$1:A$32,0))&amp;INDEX(ETAPP!B$1:B$32,MATCH(COUNTIF(V71:AF71,PUNKTID!A$13),ETAPP!A$1:A$32,0))&amp;INDEX(ETAPP!B$1:B$32,MATCH(COUNTIF(V71:AF71,PUNKTID!A$14),ETAPP!A$1:A$32,0))</f>
        <v>000000000A0D0F</v>
      </c>
      <c r="M71" s="397" t="str">
        <f t="shared" ca="1" si="23"/>
        <v>006,0-000000000A0D0F</v>
      </c>
      <c r="N71" s="320">
        <f t="shared" ca="1" si="24"/>
        <v>63</v>
      </c>
      <c r="O71" s="320">
        <f t="shared" si="25"/>
        <v>9</v>
      </c>
      <c r="P71" s="397" t="str">
        <f t="shared" ca="1" si="26"/>
        <v>006,0-000000000A0D0F-009</v>
      </c>
      <c r="Q71" s="320">
        <f t="shared" ca="1" si="27"/>
        <v>37</v>
      </c>
      <c r="R71" s="328"/>
      <c r="S71" s="380"/>
      <c r="T71" s="400"/>
      <c r="U71" s="559"/>
      <c r="V71" s="97" t="str">
        <f>IFERROR(INDEX('1'!C$300:C$400,MATCH("*"&amp;I71&amp;"*",'1'!B$300:B$400,0)),"  ")</f>
        <v xml:space="preserve">  </v>
      </c>
      <c r="W71" s="97" t="str">
        <f>IFERROR(INDEX('2'!C$300:C$400,MATCH("*"&amp;I71&amp;"*",'2'!B$300:B$400,0)),"  ")</f>
        <v xml:space="preserve">  </v>
      </c>
      <c r="X71" s="97" t="str">
        <f>IFERROR(INDEX('3'!C$300:C$400,MATCH("*"&amp;I71&amp;"*",'3'!B$300:B$400,0)),"  ")</f>
        <v xml:space="preserve">  </v>
      </c>
      <c r="Y71" s="97">
        <f>IFERROR(INDEX('4'!C$300:C$400,MATCH("*"&amp;I71&amp;"*",'4'!B$300:B$400,0)),"  ")</f>
        <v>2</v>
      </c>
      <c r="Z71" s="97" t="str">
        <f>IFERROR(INDEX('5'!C$300:C$400,MATCH("*"&amp;I71&amp;"*",'5'!B$300:B$400,0)),"  ")</f>
        <v xml:space="preserve">  </v>
      </c>
      <c r="AA71" s="97">
        <f>IFERROR(INDEX('6'!C$300:C$400,MATCH("*"&amp;I71&amp;"*",'6'!B$300:B$400,0)),"  ")</f>
        <v>1</v>
      </c>
      <c r="AB71" s="97">
        <f>IFERROR(INDEX('7'!C$300:C$400,MATCH("*"&amp;I71&amp;"*",'7'!B$300:B$400,0)),"  ")</f>
        <v>1</v>
      </c>
      <c r="AC71" s="97">
        <f>IFERROR(INDEX('8'!C$300:C$400,MATCH("*"&amp;I71&amp;"*",'8'!B$300:B$400,0)),"  ")</f>
        <v>1</v>
      </c>
      <c r="AD71" s="97" t="str">
        <f ca="1">IFERROR(INDEX('9'!C$300:C$400,MATCH("*"&amp;I71&amp;"*",'9'!B$300:B$400,0)),"  ")</f>
        <v xml:space="preserve">  </v>
      </c>
      <c r="AE71" s="97">
        <f>IFERROR(INDEX('10'!C$300:C$400,MATCH("*"&amp;I71&amp;"*",'10'!B$300:B$400,0)),"  ")</f>
        <v>1</v>
      </c>
      <c r="AF71" s="97" t="str">
        <f>IFERROR(INDEX('11'!C$300:C$400,MATCH("*"&amp;I71&amp;"*",'11'!B$300:B$400,0)),"  ")</f>
        <v xml:space="preserve">  </v>
      </c>
      <c r="AG71" s="294">
        <f t="shared" ca="1" si="28"/>
        <v>5</v>
      </c>
      <c r="AH71" s="794">
        <f t="shared" ca="1" si="29"/>
        <v>0</v>
      </c>
      <c r="AI71" s="796">
        <f t="shared" ca="1" si="30"/>
        <v>0</v>
      </c>
      <c r="AJ71" s="303">
        <f t="shared" ca="1" si="31"/>
        <v>0</v>
      </c>
      <c r="AK71" s="405">
        <f t="shared" si="32"/>
        <v>1E-4</v>
      </c>
      <c r="AL71" s="405">
        <f t="shared" ca="1" si="33"/>
        <v>2.0000000000000001E-4</v>
      </c>
      <c r="AM71" s="442">
        <f t="array" aca="1" ref="AM71" ca="1">MIN(IF(V$5:AF$5="ESMV",IF(V71:AF71="  ",FALSE,V71:AF71)+COLUMN(V:AF)/10000))</f>
        <v>2.3E-3</v>
      </c>
      <c r="AN71" s="405">
        <f t="shared" si="17"/>
        <v>2.9999999999999997E-4</v>
      </c>
    </row>
    <row r="72" spans="1:40" s="2" customFormat="1" x14ac:dyDescent="0.2">
      <c r="A72" s="328" t="s">
        <v>257</v>
      </c>
      <c r="B72" s="331" t="str">
        <f t="shared" si="18"/>
        <v/>
      </c>
      <c r="C72" s="329" t="str">
        <f t="shared" si="19"/>
        <v/>
      </c>
      <c r="D72" s="907" t="s">
        <v>257</v>
      </c>
      <c r="E72" s="331" t="str">
        <f t="shared" si="20"/>
        <v/>
      </c>
      <c r="F72" s="330" t="str">
        <f t="shared" si="21"/>
        <v/>
      </c>
      <c r="G72" s="390">
        <f t="shared" ca="1" si="22"/>
        <v>64</v>
      </c>
      <c r="H72" s="76">
        <v>64</v>
      </c>
      <c r="I72" s="98" t="s">
        <v>217</v>
      </c>
      <c r="J72" s="800">
        <v>5</v>
      </c>
      <c r="K72" s="801">
        <f t="array" aca="1" ref="K72" ca="1">(IF(COUNT(V72,X72,AA72,AB72,AC72,AE72)&lt;4,SUM(V72,X72,AA72,AB72,AC72,AE72),SUM(LARGE((V72,X72,AA72,AB72,AC72,AE72),{1;2;3;4}))))+(IF(COUNT(W72,Y72,Z72,AD72,AF72)&lt;4,SUM(W72,Y72,Z72,AD72,AF72),SUM(LARGE((W72,Y72,Z72,AD72,AF72),{1;2;3;4}))))</f>
        <v>5</v>
      </c>
      <c r="L72" s="397" t="str">
        <f ca="1">INDEX(ETAPP!B$1:B$32,MATCH(COUNTIF(V72:AF72,PUNKTID!A$1),ETAPP!A$1:A$32,0))&amp;INDEX(ETAPP!B$1:B$32,MATCH(COUNTIF(V72:AF72,PUNKTID!A$2),ETAPP!A$1:A$32,0))&amp;INDEX(ETAPP!B$1:B$32,MATCH(COUNTIF(V72:AF72,PUNKTID!A$3),ETAPP!A$1:A$32,0))&amp;INDEX(ETAPP!B$1:B$32,MATCH(COUNTIF(V72:AF72,PUNKTID!A$4),ETAPP!A$1:A$32,0))&amp;INDEX(ETAPP!B$1:B$32,MATCH(COUNTIF(V72:AF72,PUNKTID!A$5),ETAPP!A$1:A$32,0))&amp;INDEX(ETAPP!B$1:B$32,MATCH(COUNTIF(V72:AF72,PUNKTID!A$6),ETAPP!A$1:A$32,0))&amp;INDEX(ETAPP!B$1:B$32,MATCH(COUNTIF(V72:AF72,PUNKTID!A$7),ETAPP!A$1:A$32,0))&amp;INDEX(ETAPP!B$1:B$32,MATCH(COUNTIF(V72:AF72,PUNKTID!A$8),ETAPP!A$1:A$32,0))&amp;INDEX(ETAPP!B$1:B$32,MATCH(COUNTIF(V72:AF72,PUNKTID!A$9),ETAPP!A$1:A$32,0))&amp;INDEX(ETAPP!B$1:B$32,MATCH(COUNTIF(V72:AF72,PUNKTID!A$10),ETAPP!A$1:A$32,0))&amp;INDEX(ETAPP!B$1:B$32,MATCH(COUNTIF(V72:AF72,PUNKTID!A$11),ETAPP!A$1:A$32,0))&amp;INDEX(ETAPP!B$1:B$32,MATCH(COUNTIF(V72:AF72,PUNKTID!A$12),ETAPP!A$1:A$32,0))&amp;INDEX(ETAPP!B$1:B$32,MATCH(COUNTIF(V72:AF72,PUNKTID!A$13),ETAPP!A$1:A$32,0))&amp;INDEX(ETAPP!B$1:B$32,MATCH(COUNTIF(V72:AF72,PUNKTID!A$14),ETAPP!A$1:A$32,0))</f>
        <v>000000A000000E</v>
      </c>
      <c r="M72" s="397" t="str">
        <f t="shared" ca="1" si="23"/>
        <v>005,0-000000A000000E</v>
      </c>
      <c r="N72" s="320">
        <f t="shared" ca="1" si="24"/>
        <v>64</v>
      </c>
      <c r="O72" s="320">
        <f t="shared" si="25"/>
        <v>74</v>
      </c>
      <c r="P72" s="397" t="str">
        <f t="shared" ca="1" si="26"/>
        <v>005,0-000000A000000E-074</v>
      </c>
      <c r="Q72" s="320">
        <f t="shared" ca="1" si="27"/>
        <v>36</v>
      </c>
      <c r="R72" s="328"/>
      <c r="S72" s="380"/>
      <c r="T72" s="400"/>
      <c r="U72" s="559"/>
      <c r="V72" s="97">
        <f>IFERROR(INDEX('1'!C$300:C$400,MATCH("*"&amp;I72&amp;"*",'1'!B$300:B$400,0)),"  ")</f>
        <v>5</v>
      </c>
      <c r="W72" s="97" t="str">
        <f>IFERROR(INDEX('2'!C$300:C$400,MATCH("*"&amp;I72&amp;"*",'2'!B$300:B$400,0)),"  ")</f>
        <v xml:space="preserve">  </v>
      </c>
      <c r="X72" s="97" t="str">
        <f>IFERROR(INDEX('3'!C$300:C$400,MATCH("*"&amp;I72&amp;"*",'3'!B$300:B$400,0)),"  ")</f>
        <v xml:space="preserve">  </v>
      </c>
      <c r="Y72" s="97" t="str">
        <f>IFERROR(INDEX('4'!C$300:C$400,MATCH("*"&amp;I72&amp;"*",'4'!B$300:B$400,0)),"  ")</f>
        <v xml:space="preserve">  </v>
      </c>
      <c r="Z72" s="97" t="str">
        <f>IFERROR(INDEX('5'!C$300:C$400,MATCH("*"&amp;I72&amp;"*",'5'!B$300:B$400,0)),"  ")</f>
        <v xml:space="preserve">  </v>
      </c>
      <c r="AA72" s="97" t="str">
        <f>IFERROR(INDEX('6'!C$300:C$400,MATCH("*"&amp;I72&amp;"*",'6'!B$300:B$400,0)),"  ")</f>
        <v xml:space="preserve">  </v>
      </c>
      <c r="AB72" s="97" t="str">
        <f>IFERROR(INDEX('7'!C$300:C$400,MATCH("*"&amp;I72&amp;"*",'7'!B$300:B$400,0)),"  ")</f>
        <v xml:space="preserve">  </v>
      </c>
      <c r="AC72" s="97" t="str">
        <f>IFERROR(INDEX('8'!C$300:C$400,MATCH("*"&amp;I72&amp;"*",'8'!B$300:B$400,0)),"  ")</f>
        <v xml:space="preserve">  </v>
      </c>
      <c r="AD72" s="97" t="str">
        <f ca="1">IFERROR(INDEX('9'!C$300:C$400,MATCH("*"&amp;I72&amp;"*",'9'!B$300:B$400,0)),"  ")</f>
        <v xml:space="preserve">  </v>
      </c>
      <c r="AE72" s="97" t="str">
        <f>IFERROR(INDEX('10'!C$300:C$400,MATCH("*"&amp;I72&amp;"*",'10'!B$300:B$400,0)),"  ")</f>
        <v xml:space="preserve">  </v>
      </c>
      <c r="AF72" s="97" t="str">
        <f>IFERROR(INDEX('11'!C$300:C$400,MATCH("*"&amp;I72&amp;"*",'11'!B$300:B$400,0)),"  ")</f>
        <v xml:space="preserve">  </v>
      </c>
      <c r="AG72" s="294">
        <f t="shared" ca="1" si="28"/>
        <v>1</v>
      </c>
      <c r="AH72" s="794">
        <f t="shared" ca="1" si="29"/>
        <v>0</v>
      </c>
      <c r="AI72" s="796">
        <f t="shared" ca="1" si="30"/>
        <v>0</v>
      </c>
      <c r="AJ72" s="303">
        <f t="shared" ca="1" si="31"/>
        <v>0</v>
      </c>
      <c r="AK72" s="405">
        <f t="shared" si="32"/>
        <v>2.9999999999999997E-4</v>
      </c>
      <c r="AL72" s="405">
        <f t="shared" ca="1" si="33"/>
        <v>2.0000000000000001E-4</v>
      </c>
      <c r="AM72" s="442">
        <f t="array" aca="1" ref="AM72" ca="1">MIN(IF(V$5:AF$5="ESMV",IF(V72:AF72="  ",FALSE,V72:AF72)+COLUMN(V:AF)/10000))</f>
        <v>2.3E-3</v>
      </c>
      <c r="AN72" s="405">
        <f t="shared" si="17"/>
        <v>5.9999999999999995E-4</v>
      </c>
    </row>
    <row r="73" spans="1:40" s="2" customFormat="1" x14ac:dyDescent="0.2">
      <c r="A73" s="328" t="s">
        <v>257</v>
      </c>
      <c r="B73" s="331" t="str">
        <f t="shared" ref="B73:B104" si="34">IF(C73="","",COUNTIF(C$9:C$107,"&gt;="&amp;C73))</f>
        <v/>
      </c>
      <c r="C73" s="329" t="str">
        <f t="shared" ref="C73:C104" si="35">IF(R73="n",M73,"")</f>
        <v/>
      </c>
      <c r="D73" s="907" t="s">
        <v>257</v>
      </c>
      <c r="E73" s="331" t="str">
        <f t="shared" ref="E73:E104" si="36">IF(F73="","",COUNTIF(F$9:F$107,"&gt;="&amp;F73))</f>
        <v/>
      </c>
      <c r="F73" s="330" t="str">
        <f t="shared" ref="F73:F104" si="37">IF(S73="j",M73,"")</f>
        <v/>
      </c>
      <c r="G73" s="390">
        <f t="shared" ref="G73:G107" ca="1" si="38">RANK(N73,N$9:N$107,1)</f>
        <v>65</v>
      </c>
      <c r="H73" s="76">
        <v>65</v>
      </c>
      <c r="I73" s="378" t="s">
        <v>34</v>
      </c>
      <c r="J73" s="800">
        <v>5</v>
      </c>
      <c r="K73" s="801">
        <f t="array" aca="1" ref="K73" ca="1">(IF(COUNT(V73,X73,AA73,AB73,AC73,AE73)&lt;4,SUM(V73,X73,AA73,AB73,AC73,AE73),SUM(LARGE((V73,X73,AA73,AB73,AC73,AE73),{1;2;3;4}))))+(IF(COUNT(W73,Y73,Z73,AD73,AF73)&lt;4,SUM(W73,Y73,Z73,AD73,AF73),SUM(LARGE((W73,Y73,Z73,AD73,AF73),{1;2;3;4}))))</f>
        <v>5</v>
      </c>
      <c r="L73" s="397" t="str">
        <f ca="1">INDEX(ETAPP!B$1:B$32,MATCH(COUNTIF(V73:AF73,PUNKTID!A$1),ETAPP!A$1:A$32,0))&amp;INDEX(ETAPP!B$1:B$32,MATCH(COUNTIF(V73:AF73,PUNKTID!A$2),ETAPP!A$1:A$32,0))&amp;INDEX(ETAPP!B$1:B$32,MATCH(COUNTIF(V73:AF73,PUNKTID!A$3),ETAPP!A$1:A$32,0))&amp;INDEX(ETAPP!B$1:B$32,MATCH(COUNTIF(V73:AF73,PUNKTID!A$4),ETAPP!A$1:A$32,0))&amp;INDEX(ETAPP!B$1:B$32,MATCH(COUNTIF(V73:AF73,PUNKTID!A$5),ETAPP!A$1:A$32,0))&amp;INDEX(ETAPP!B$1:B$32,MATCH(COUNTIF(V73:AF73,PUNKTID!A$6),ETAPP!A$1:A$32,0))&amp;INDEX(ETAPP!B$1:B$32,MATCH(COUNTIF(V73:AF73,PUNKTID!A$7),ETAPP!A$1:A$32,0))&amp;INDEX(ETAPP!B$1:B$32,MATCH(COUNTIF(V73:AF73,PUNKTID!A$8),ETAPP!A$1:A$32,0))&amp;INDEX(ETAPP!B$1:B$32,MATCH(COUNTIF(V73:AF73,PUNKTID!A$9),ETAPP!A$1:A$32,0))&amp;INDEX(ETAPP!B$1:B$32,MATCH(COUNTIF(V73:AF73,PUNKTID!A$10),ETAPP!A$1:A$32,0))&amp;INDEX(ETAPP!B$1:B$32,MATCH(COUNTIF(V73:AF73,PUNKTID!A$11),ETAPP!A$1:A$32,0))&amp;INDEX(ETAPP!B$1:B$32,MATCH(COUNTIF(V73:AF73,PUNKTID!A$12),ETAPP!A$1:A$32,0))&amp;INDEX(ETAPP!B$1:B$32,MATCH(COUNTIF(V73:AF73,PUNKTID!A$13),ETAPP!A$1:A$32,0))&amp;INDEX(ETAPP!B$1:B$32,MATCH(COUNTIF(V73:AF73,PUNKTID!A$14),ETAPP!A$1:A$32,0))</f>
        <v>0000000A000A0D</v>
      </c>
      <c r="M73" s="397" t="str">
        <f t="shared" ref="M73:M104" ca="1" si="39">TEXT(K73,"000,0")&amp;"-"&amp;L73</f>
        <v>005,0-0000000A000A0D</v>
      </c>
      <c r="N73" s="320">
        <f t="shared" ref="N73:N104" ca="1" si="40">COUNTIF(M$9:M$107,"&gt;="&amp;M73)</f>
        <v>65</v>
      </c>
      <c r="O73" s="320">
        <f t="shared" ref="O73:O107" si="41">COUNTIF(I$9:I$107,"&gt;="&amp;I73)</f>
        <v>82</v>
      </c>
      <c r="P73" s="397" t="str">
        <f t="shared" ref="P73:P104" ca="1" si="42">TEXT(K73,"000,0")&amp;"-"&amp;L73&amp;"-"&amp;TEXT(O73,"000")</f>
        <v>005,0-0000000A000A0D-082</v>
      </c>
      <c r="Q73" s="320">
        <f t="shared" ref="Q73:Q104" ca="1" si="43">COUNTIF(P$9:P$107,"&lt;="&amp;P73)</f>
        <v>35</v>
      </c>
      <c r="R73" s="328"/>
      <c r="S73" s="380"/>
      <c r="T73" s="400"/>
      <c r="U73" s="559"/>
      <c r="V73" s="97" t="str">
        <f>IFERROR(INDEX('1'!C$300:C$400,MATCH("*"&amp;I73&amp;"*",'1'!B$300:B$400,0)),"  ")</f>
        <v xml:space="preserve">  </v>
      </c>
      <c r="W73" s="97" t="str">
        <f>IFERROR(INDEX('2'!C$300:C$400,MATCH("*"&amp;I73&amp;"*",'2'!B$300:B$400,0)),"  ")</f>
        <v xml:space="preserve">  </v>
      </c>
      <c r="X73" s="97" t="str">
        <f>IFERROR(INDEX('3'!C$300:C$400,MATCH("*"&amp;I73&amp;"*",'3'!B$300:B$400,0)),"  ")</f>
        <v xml:space="preserve">  </v>
      </c>
      <c r="Y73" s="97" t="str">
        <f>IFERROR(INDEX('4'!C$300:C$400,MATCH("*"&amp;I73&amp;"*",'4'!B$300:B$400,0)),"  ")</f>
        <v xml:space="preserve">  </v>
      </c>
      <c r="Z73" s="97" t="str">
        <f>IFERROR(INDEX('5'!C$300:C$400,MATCH("*"&amp;I73&amp;"*",'5'!B$300:B$400,0)),"  ")</f>
        <v xml:space="preserve">  </v>
      </c>
      <c r="AA73" s="97" t="str">
        <f>IFERROR(INDEX('6'!C$300:C$400,MATCH("*"&amp;I73&amp;"*",'6'!B$300:B$400,0)),"  ")</f>
        <v xml:space="preserve">  </v>
      </c>
      <c r="AB73" s="97" t="str">
        <f>IFERROR(INDEX('7'!C$300:C$400,MATCH("*"&amp;I73&amp;"*",'7'!B$300:B$400,0)),"  ")</f>
        <v xml:space="preserve">  </v>
      </c>
      <c r="AC73" s="97" t="str">
        <f>IFERROR(INDEX('8'!C$300:C$400,MATCH("*"&amp;I73&amp;"*",'8'!B$300:B$400,0)),"  ")</f>
        <v xml:space="preserve">  </v>
      </c>
      <c r="AD73" s="97" t="str">
        <f ca="1">IFERROR(INDEX('9'!C$300:C$400,MATCH("*"&amp;I73&amp;"*",'9'!B$300:B$400,0)),"  ")</f>
        <v xml:space="preserve">  </v>
      </c>
      <c r="AE73" s="97">
        <f>IFERROR(INDEX('10'!C$300:C$400,MATCH("*"&amp;I73&amp;"*",'10'!B$300:B$400,0)),"  ")</f>
        <v>1</v>
      </c>
      <c r="AF73" s="97">
        <f>IFERROR(INDEX('11'!C$300:C$400,MATCH("*"&amp;I73&amp;"*",'11'!B$300:B$400,0)),"  ")</f>
        <v>4</v>
      </c>
      <c r="AG73" s="294">
        <f t="shared" ref="AG73:AG104" ca="1" si="44">COUNTIF(V73:AF73,"&gt;=0")</f>
        <v>2</v>
      </c>
      <c r="AH73" s="794">
        <f t="shared" ref="AH73:AH104" ca="1" si="45">COUNTIF(V73,"&gt;=12")+COUNTIF(X73,"&gt;=12")+COUNTIF(AA73:AC73,"&gt;=12")+COUNTIF(AE73,"&gt;=12")+COUNTIF(W73,"&gt;=16")+COUNTIF(Y73:Z73,"&gt;=16")+COUNTIF(AD73,"&gt;=16")+COUNTIF(AF73,"&gt;=16")</f>
        <v>0</v>
      </c>
      <c r="AI73" s="796">
        <f t="shared" ref="AI73:AI104" ca="1" si="46">COUNTIF(V73,"=20")+COUNTIF(X73,"=20")+COUNTIF(AA73:AC73,"=20")+COUNTIF(AE73,"=20")+COUNTIF(V73:AF73,"=25")</f>
        <v>0</v>
      </c>
      <c r="AJ73" s="303">
        <f t="shared" ref="AJ73:AJ104" ca="1" si="47">COUNTIF(V73:AF73,"=25")</f>
        <v>0</v>
      </c>
      <c r="AK73" s="405">
        <f t="shared" ref="AK73:AK104" si="48">MIN(IF($V73="  ",FALSE,$V73)+$V$8/10000,IF($X73="  ",FALSE,$X73)+$X$8/10000,IF($AA73="  ",FALSE,$AA73)+$AA$8/10000,IF($AB73="  ",FALSE,$AB73)+$AB$8/10000,IF($AC73="  ",FALSE,$AC73)+$AC$8/10000,IF($AE73="  ",FALSE,$AE73)+$AE$8/10000)</f>
        <v>1E-4</v>
      </c>
      <c r="AL73" s="405">
        <f t="shared" ref="AL73:AL104" ca="1" si="49">MIN(IF($W73="  ",FALSE,$W73)+$W$8/10000,IF($Y73="  ",FALSE,$Y73)+$Y$8/10000,IF($Z73="  ",FALSE,$Z73)+$Z$8/10000,IF($AD73="  ",FALSE,$AD73)+$AD$8/10000,IF($AF73="  ",FALSE,$AF73)+$AF$8/10000)</f>
        <v>2.0000000000000001E-4</v>
      </c>
      <c r="AM73" s="442">
        <f t="array" aca="1" ref="AM73" ca="1">MIN(IF(V$5:AF$5="ESMV",IF(V73:AF73="  ",FALSE,V73:AF73)+COLUMN(V:AF)/10000))</f>
        <v>2.3E-3</v>
      </c>
      <c r="AN73" s="405">
        <f t="shared" si="17"/>
        <v>2.9999999999999997E-4</v>
      </c>
    </row>
    <row r="74" spans="1:40" s="2" customFormat="1" x14ac:dyDescent="0.2">
      <c r="A74" s="328">
        <v>20</v>
      </c>
      <c r="B74" s="331">
        <f t="shared" ca="1" si="34"/>
        <v>20</v>
      </c>
      <c r="C74" s="329" t="str">
        <f t="shared" ca="1" si="35"/>
        <v>005,0-000000000B0A0C</v>
      </c>
      <c r="D74" s="907" t="s">
        <v>257</v>
      </c>
      <c r="E74" s="331" t="str">
        <f t="shared" si="36"/>
        <v/>
      </c>
      <c r="F74" s="330" t="str">
        <f t="shared" si="37"/>
        <v/>
      </c>
      <c r="G74" s="390">
        <f t="shared" ca="1" si="38"/>
        <v>66</v>
      </c>
      <c r="H74" s="906">
        <v>66</v>
      </c>
      <c r="I74" s="98" t="s">
        <v>572</v>
      </c>
      <c r="J74" s="800">
        <v>5</v>
      </c>
      <c r="K74" s="801">
        <f t="array" aca="1" ref="K74" ca="1">(IF(COUNT(V74,X74,AA74,AB74,AC74,AE74)&lt;4,SUM(V74,X74,AA74,AB74,AC74,AE74),SUM(LARGE((V74,X74,AA74,AB74,AC74,AE74),{1;2;3;4}))))+(IF(COUNT(W74,Y74,Z74,AD74,AF74)&lt;4,SUM(W74,Y74,Z74,AD74,AF74),SUM(LARGE((W74,Y74,Z74,AD74,AF74),{1;2;3;4}))))</f>
        <v>5</v>
      </c>
      <c r="L74" s="397" t="str">
        <f ca="1">INDEX(ETAPP!B$1:B$32,MATCH(COUNTIF(V74:AF74,PUNKTID!A$1),ETAPP!A$1:A$32,0))&amp;INDEX(ETAPP!B$1:B$32,MATCH(COUNTIF(V74:AF74,PUNKTID!A$2),ETAPP!A$1:A$32,0))&amp;INDEX(ETAPP!B$1:B$32,MATCH(COUNTIF(V74:AF74,PUNKTID!A$3),ETAPP!A$1:A$32,0))&amp;INDEX(ETAPP!B$1:B$32,MATCH(COUNTIF(V74:AF74,PUNKTID!A$4),ETAPP!A$1:A$32,0))&amp;INDEX(ETAPP!B$1:B$32,MATCH(COUNTIF(V74:AF74,PUNKTID!A$5),ETAPP!A$1:A$32,0))&amp;INDEX(ETAPP!B$1:B$32,MATCH(COUNTIF(V74:AF74,PUNKTID!A$6),ETAPP!A$1:A$32,0))&amp;INDEX(ETAPP!B$1:B$32,MATCH(COUNTIF(V74:AF74,PUNKTID!A$7),ETAPP!A$1:A$32,0))&amp;INDEX(ETAPP!B$1:B$32,MATCH(COUNTIF(V74:AF74,PUNKTID!A$8),ETAPP!A$1:A$32,0))&amp;INDEX(ETAPP!B$1:B$32,MATCH(COUNTIF(V74:AF74,PUNKTID!A$9),ETAPP!A$1:A$32,0))&amp;INDEX(ETAPP!B$1:B$32,MATCH(COUNTIF(V74:AF74,PUNKTID!A$10),ETAPP!A$1:A$32,0))&amp;INDEX(ETAPP!B$1:B$32,MATCH(COUNTIF(V74:AF74,PUNKTID!A$11),ETAPP!A$1:A$32,0))&amp;INDEX(ETAPP!B$1:B$32,MATCH(COUNTIF(V74:AF74,PUNKTID!A$12),ETAPP!A$1:A$32,0))&amp;INDEX(ETAPP!B$1:B$32,MATCH(COUNTIF(V74:AF74,PUNKTID!A$13),ETAPP!A$1:A$32,0))&amp;INDEX(ETAPP!B$1:B$32,MATCH(COUNTIF(V74:AF74,PUNKTID!A$14),ETAPP!A$1:A$32,0))</f>
        <v>000000000B0A0C</v>
      </c>
      <c r="M74" s="397" t="str">
        <f t="shared" ca="1" si="39"/>
        <v>005,0-000000000B0A0C</v>
      </c>
      <c r="N74" s="320">
        <f t="shared" ca="1" si="40"/>
        <v>69</v>
      </c>
      <c r="O74" s="320">
        <f t="shared" si="41"/>
        <v>51</v>
      </c>
      <c r="P74" s="397" t="str">
        <f t="shared" ca="1" si="42"/>
        <v>005,0-000000000B0A0C-051</v>
      </c>
      <c r="Q74" s="320">
        <f t="shared" ca="1" si="43"/>
        <v>34</v>
      </c>
      <c r="R74" s="328" t="s">
        <v>562</v>
      </c>
      <c r="S74" s="380"/>
      <c r="T74" s="400" t="s">
        <v>605</v>
      </c>
      <c r="U74" s="559"/>
      <c r="V74" s="97" t="str">
        <f>IFERROR(INDEX('1'!C$300:C$400,MATCH("*"&amp;I74&amp;"*",'1'!B$300:B$400,0)),"  ")</f>
        <v xml:space="preserve">  </v>
      </c>
      <c r="W74" s="97" t="str">
        <f>IFERROR(INDEX('2'!C$300:C$400,MATCH("*"&amp;I74&amp;"*",'2'!B$300:B$400,0)),"  ")</f>
        <v xml:space="preserve">  </v>
      </c>
      <c r="X74" s="97" t="str">
        <f>IFERROR(INDEX('3'!C$300:C$400,MATCH("*"&amp;I74&amp;"*",'3'!B$300:B$400,0)),"  ")</f>
        <v xml:space="preserve">  </v>
      </c>
      <c r="Y74" s="97">
        <f>IFERROR(INDEX('4'!C$300:C$400,MATCH("*"&amp;I74&amp;"*",'4'!B$300:B$400,0)),"  ")</f>
        <v>2</v>
      </c>
      <c r="Z74" s="97">
        <f>IFERROR(INDEX('5'!C$300:C$400,MATCH("*"&amp;I74&amp;"*",'5'!B$300:B$400,0)),"  ")</f>
        <v>2</v>
      </c>
      <c r="AA74" s="97">
        <f>IFERROR(INDEX('6'!C$300:C$400,MATCH("*"&amp;I74&amp;"*",'6'!B$300:B$400,0)),"  ")</f>
        <v>1</v>
      </c>
      <c r="AB74" s="97" t="str">
        <f>IFERROR(INDEX('7'!C$300:C$400,MATCH("*"&amp;I74&amp;"*",'7'!B$300:B$400,0)),"  ")</f>
        <v xml:space="preserve">  </v>
      </c>
      <c r="AC74" s="97" t="str">
        <f>IFERROR(INDEX('8'!C$300:C$400,MATCH("*"&amp;I74&amp;"*",'8'!B$300:B$400,0)),"  ")</f>
        <v xml:space="preserve">  </v>
      </c>
      <c r="AD74" s="97" t="str">
        <f ca="1">IFERROR(INDEX('9'!C$300:C$400,MATCH("*"&amp;I74&amp;"*",'9'!B$300:B$400,0)),"  ")</f>
        <v xml:space="preserve">  </v>
      </c>
      <c r="AE74" s="97" t="str">
        <f>IFERROR(INDEX('10'!C$300:C$400,MATCH("*"&amp;I74&amp;"*",'10'!B$300:B$400,0)),"  ")</f>
        <v xml:space="preserve">  </v>
      </c>
      <c r="AF74" s="97" t="str">
        <f>IFERROR(INDEX('11'!C$300:C$400,MATCH("*"&amp;I74&amp;"*",'11'!B$300:B$400,0)),"  ")</f>
        <v xml:space="preserve">  </v>
      </c>
      <c r="AG74" s="294">
        <f t="shared" ca="1" si="44"/>
        <v>3</v>
      </c>
      <c r="AH74" s="794">
        <f t="shared" ca="1" si="45"/>
        <v>0</v>
      </c>
      <c r="AI74" s="796">
        <f t="shared" ca="1" si="46"/>
        <v>0</v>
      </c>
      <c r="AJ74" s="303">
        <f t="shared" ca="1" si="47"/>
        <v>0</v>
      </c>
      <c r="AK74" s="405">
        <f t="shared" si="48"/>
        <v>1E-4</v>
      </c>
      <c r="AL74" s="405">
        <f t="shared" ca="1" si="49"/>
        <v>2.0000000000000001E-4</v>
      </c>
      <c r="AM74" s="442">
        <f t="array" aca="1" ref="AM74" ca="1">MIN(IF(V$5:AF$5="ESMV",IF(V74:AF74="  ",FALSE,V74:AF74)+COLUMN(V:AF)/10000))</f>
        <v>2.3E-3</v>
      </c>
      <c r="AN74" s="405">
        <f t="shared" ref="AN74:AN107" si="50">MIN(IF((IF($V74="  ",FALSE,$V74)+$V$8/10000)=AK74,333,IF($V74="  ",FALSE,$V74)+$V$8/10000),IF((IF($X74="  ",FALSE,$X74)+$X$8/10000)=AK74,333,IF($X74="  ",FALSE,$X74)+$X$8/10000),IF((IF($AA74="  ",FALSE,$AA74)+$AA$8/10000)=AK74,333,IF($AA74="  ",FALSE,$AA74)+$AA$8/10000),IF((IF($AB74="  ",FALSE,$AB74)+$AB$8/10000)=AK74,333,IF($AB74="  ",FALSE,$AB74)+$AB$8/10000),IF((IF($AC74="  ",FALSE,$AC74)+$AC$8/10000)=AK74,333,IF($AC74="  ",FALSE,$AC74)+$AC$8/10000),IF((IF($AE74="  ",FALSE,$AE74)+$AE$8/10000)=AK74,333,IF($AE74="  ",FALSE,$AE74)+$AE$8/10000))</f>
        <v>2.9999999999999997E-4</v>
      </c>
    </row>
    <row r="75" spans="1:40" s="2" customFormat="1" x14ac:dyDescent="0.2">
      <c r="A75" s="328">
        <v>20</v>
      </c>
      <c r="B75" s="331">
        <f t="shared" ca="1" si="34"/>
        <v>20</v>
      </c>
      <c r="C75" s="329" t="str">
        <f t="shared" ca="1" si="35"/>
        <v>005,0-000000000B0A0C</v>
      </c>
      <c r="D75" s="907" t="s">
        <v>257</v>
      </c>
      <c r="E75" s="331" t="str">
        <f t="shared" si="36"/>
        <v/>
      </c>
      <c r="F75" s="330" t="str">
        <f t="shared" si="37"/>
        <v/>
      </c>
      <c r="G75" s="390">
        <f t="shared" ca="1" si="38"/>
        <v>66</v>
      </c>
      <c r="H75" s="906">
        <v>66</v>
      </c>
      <c r="I75" s="83" t="s">
        <v>30</v>
      </c>
      <c r="J75" s="800">
        <v>5</v>
      </c>
      <c r="K75" s="801">
        <f t="array" aca="1" ref="K75" ca="1">(IF(COUNT(V75,X75,AA75,AB75,AC75,AE75)&lt;4,SUM(V75,X75,AA75,AB75,AC75,AE75),SUM(LARGE((V75,X75,AA75,AB75,AC75,AE75),{1;2;3;4}))))+(IF(COUNT(W75,Y75,Z75,AD75,AF75)&lt;4,SUM(W75,Y75,Z75,AD75,AF75),SUM(LARGE((W75,Y75,Z75,AD75,AF75),{1;2;3;4}))))</f>
        <v>5</v>
      </c>
      <c r="L75" s="397" t="str">
        <f ca="1">INDEX(ETAPP!B$1:B$32,MATCH(COUNTIF(V75:AF75,PUNKTID!A$1),ETAPP!A$1:A$32,0))&amp;INDEX(ETAPP!B$1:B$32,MATCH(COUNTIF(V75:AF75,PUNKTID!A$2),ETAPP!A$1:A$32,0))&amp;INDEX(ETAPP!B$1:B$32,MATCH(COUNTIF(V75:AF75,PUNKTID!A$3),ETAPP!A$1:A$32,0))&amp;INDEX(ETAPP!B$1:B$32,MATCH(COUNTIF(V75:AF75,PUNKTID!A$4),ETAPP!A$1:A$32,0))&amp;INDEX(ETAPP!B$1:B$32,MATCH(COUNTIF(V75:AF75,PUNKTID!A$5),ETAPP!A$1:A$32,0))&amp;INDEX(ETAPP!B$1:B$32,MATCH(COUNTIF(V75:AF75,PUNKTID!A$6),ETAPP!A$1:A$32,0))&amp;INDEX(ETAPP!B$1:B$32,MATCH(COUNTIF(V75:AF75,PUNKTID!A$7),ETAPP!A$1:A$32,0))&amp;INDEX(ETAPP!B$1:B$32,MATCH(COUNTIF(V75:AF75,PUNKTID!A$8),ETAPP!A$1:A$32,0))&amp;INDEX(ETAPP!B$1:B$32,MATCH(COUNTIF(V75:AF75,PUNKTID!A$9),ETAPP!A$1:A$32,0))&amp;INDEX(ETAPP!B$1:B$32,MATCH(COUNTIF(V75:AF75,PUNKTID!A$10),ETAPP!A$1:A$32,0))&amp;INDEX(ETAPP!B$1:B$32,MATCH(COUNTIF(V75:AF75,PUNKTID!A$11),ETAPP!A$1:A$32,0))&amp;INDEX(ETAPP!B$1:B$32,MATCH(COUNTIF(V75:AF75,PUNKTID!A$12),ETAPP!A$1:A$32,0))&amp;INDEX(ETAPP!B$1:B$32,MATCH(COUNTIF(V75:AF75,PUNKTID!A$13),ETAPP!A$1:A$32,0))&amp;INDEX(ETAPP!B$1:B$32,MATCH(COUNTIF(V75:AF75,PUNKTID!A$14),ETAPP!A$1:A$32,0))</f>
        <v>000000000B0A0C</v>
      </c>
      <c r="M75" s="397" t="str">
        <f t="shared" ca="1" si="39"/>
        <v>005,0-000000000B0A0C</v>
      </c>
      <c r="N75" s="320">
        <f t="shared" ca="1" si="40"/>
        <v>69</v>
      </c>
      <c r="O75" s="320">
        <f t="shared" si="41"/>
        <v>41</v>
      </c>
      <c r="P75" s="397" t="str">
        <f t="shared" ca="1" si="42"/>
        <v>005,0-000000000B0A0C-041</v>
      </c>
      <c r="Q75" s="320">
        <f t="shared" ca="1" si="43"/>
        <v>33</v>
      </c>
      <c r="R75" s="328" t="s">
        <v>562</v>
      </c>
      <c r="S75" s="380"/>
      <c r="T75" s="400"/>
      <c r="U75" s="559"/>
      <c r="V75" s="97">
        <f>IFERROR(INDEX('1'!C$300:C$400,MATCH("*"&amp;I75&amp;"*",'1'!B$300:B$400,0)),"  ")</f>
        <v>1</v>
      </c>
      <c r="W75" s="97">
        <f>IFERROR(INDEX('2'!C$300:C$400,MATCH("*"&amp;I75&amp;"*",'2'!B$300:B$400,0)),"  ")</f>
        <v>2</v>
      </c>
      <c r="X75" s="97" t="str">
        <f>IFERROR(INDEX('3'!C$300:C$400,MATCH("*"&amp;I75&amp;"*",'3'!B$300:B$400,0)),"  ")</f>
        <v xml:space="preserve">  </v>
      </c>
      <c r="Y75" s="97">
        <f>IFERROR(INDEX('4'!C$300:C$400,MATCH("*"&amp;I75&amp;"*",'4'!B$300:B$400,0)),"  ")</f>
        <v>2</v>
      </c>
      <c r="Z75" s="97" t="str">
        <f>IFERROR(INDEX('5'!C$300:C$400,MATCH("*"&amp;I75&amp;"*",'5'!B$300:B$400,0)),"  ")</f>
        <v xml:space="preserve">  </v>
      </c>
      <c r="AA75" s="97" t="str">
        <f>IFERROR(INDEX('6'!C$300:C$400,MATCH("*"&amp;I75&amp;"*",'6'!B$300:B$400,0)),"  ")</f>
        <v xml:space="preserve">  </v>
      </c>
      <c r="AB75" s="97" t="str">
        <f>IFERROR(INDEX('7'!C$300:C$400,MATCH("*"&amp;I75&amp;"*",'7'!B$300:B$400,0)),"  ")</f>
        <v xml:space="preserve">  </v>
      </c>
      <c r="AC75" s="97" t="str">
        <f>IFERROR(INDEX('8'!C$300:C$400,MATCH("*"&amp;I75&amp;"*",'8'!B$300:B$400,0)),"  ")</f>
        <v xml:space="preserve">  </v>
      </c>
      <c r="AD75" s="97" t="str">
        <f ca="1">IFERROR(INDEX('9'!C$300:C$400,MATCH("*"&amp;I75&amp;"*",'9'!B$300:B$400,0)),"  ")</f>
        <v xml:space="preserve">  </v>
      </c>
      <c r="AE75" s="97" t="str">
        <f>IFERROR(INDEX('10'!C$300:C$400,MATCH("*"&amp;I75&amp;"*",'10'!B$300:B$400,0)),"  ")</f>
        <v xml:space="preserve">  </v>
      </c>
      <c r="AF75" s="97" t="str">
        <f>IFERROR(INDEX('11'!C$300:C$400,MATCH("*"&amp;I75&amp;"*",'11'!B$300:B$400,0)),"  ")</f>
        <v xml:space="preserve">  </v>
      </c>
      <c r="AG75" s="294">
        <f t="shared" ca="1" si="44"/>
        <v>3</v>
      </c>
      <c r="AH75" s="794">
        <f t="shared" ca="1" si="45"/>
        <v>0</v>
      </c>
      <c r="AI75" s="796">
        <f t="shared" ca="1" si="46"/>
        <v>0</v>
      </c>
      <c r="AJ75" s="303">
        <f t="shared" ca="1" si="47"/>
        <v>0</v>
      </c>
      <c r="AK75" s="405">
        <f t="shared" si="48"/>
        <v>2.9999999999999997E-4</v>
      </c>
      <c r="AL75" s="405">
        <f t="shared" ca="1" si="49"/>
        <v>5.0000000000000001E-4</v>
      </c>
      <c r="AM75" s="442">
        <f t="array" aca="1" ref="AM75" ca="1">MIN(IF(V$5:AF$5="ESMV",IF(V75:AF75="  ",FALSE,V75:AF75)+COLUMN(V:AF)/10000))</f>
        <v>2.5999999999999999E-3</v>
      </c>
      <c r="AN75" s="405">
        <f t="shared" si="50"/>
        <v>5.9999999999999995E-4</v>
      </c>
    </row>
    <row r="76" spans="1:40" s="2" customFormat="1" x14ac:dyDescent="0.2">
      <c r="A76" s="328">
        <v>20</v>
      </c>
      <c r="B76" s="331">
        <f t="shared" ca="1" si="34"/>
        <v>20</v>
      </c>
      <c r="C76" s="329" t="str">
        <f t="shared" ca="1" si="35"/>
        <v>005,0-000000000B0A0C</v>
      </c>
      <c r="D76" s="907" t="s">
        <v>257</v>
      </c>
      <c r="E76" s="331" t="str">
        <f t="shared" si="36"/>
        <v/>
      </c>
      <c r="F76" s="330" t="str">
        <f t="shared" si="37"/>
        <v/>
      </c>
      <c r="G76" s="390">
        <f t="shared" ca="1" si="38"/>
        <v>66</v>
      </c>
      <c r="H76" s="906">
        <v>66</v>
      </c>
      <c r="I76" s="98" t="s">
        <v>229</v>
      </c>
      <c r="J76" s="800">
        <v>5</v>
      </c>
      <c r="K76" s="801">
        <f t="array" aca="1" ref="K76" ca="1">(IF(COUNT(V76,X76,AA76,AB76,AC76,AE76)&lt;4,SUM(V76,X76,AA76,AB76,AC76,AE76),SUM(LARGE((V76,X76,AA76,AB76,AC76,AE76),{1;2;3;4}))))+(IF(COUNT(W76,Y76,Z76,AD76,AF76)&lt;4,SUM(W76,Y76,Z76,AD76,AF76),SUM(LARGE((W76,Y76,Z76,AD76,AF76),{1;2;3;4}))))</f>
        <v>5</v>
      </c>
      <c r="L76" s="397" t="str">
        <f ca="1">INDEX(ETAPP!B$1:B$32,MATCH(COUNTIF(V76:AF76,PUNKTID!A$1),ETAPP!A$1:A$32,0))&amp;INDEX(ETAPP!B$1:B$32,MATCH(COUNTIF(V76:AF76,PUNKTID!A$2),ETAPP!A$1:A$32,0))&amp;INDEX(ETAPP!B$1:B$32,MATCH(COUNTIF(V76:AF76,PUNKTID!A$3),ETAPP!A$1:A$32,0))&amp;INDEX(ETAPP!B$1:B$32,MATCH(COUNTIF(V76:AF76,PUNKTID!A$4),ETAPP!A$1:A$32,0))&amp;INDEX(ETAPP!B$1:B$32,MATCH(COUNTIF(V76:AF76,PUNKTID!A$5),ETAPP!A$1:A$32,0))&amp;INDEX(ETAPP!B$1:B$32,MATCH(COUNTIF(V76:AF76,PUNKTID!A$6),ETAPP!A$1:A$32,0))&amp;INDEX(ETAPP!B$1:B$32,MATCH(COUNTIF(V76:AF76,PUNKTID!A$7),ETAPP!A$1:A$32,0))&amp;INDEX(ETAPP!B$1:B$32,MATCH(COUNTIF(V76:AF76,PUNKTID!A$8),ETAPP!A$1:A$32,0))&amp;INDEX(ETAPP!B$1:B$32,MATCH(COUNTIF(V76:AF76,PUNKTID!A$9),ETAPP!A$1:A$32,0))&amp;INDEX(ETAPP!B$1:B$32,MATCH(COUNTIF(V76:AF76,PUNKTID!A$10),ETAPP!A$1:A$32,0))&amp;INDEX(ETAPP!B$1:B$32,MATCH(COUNTIF(V76:AF76,PUNKTID!A$11),ETAPP!A$1:A$32,0))&amp;INDEX(ETAPP!B$1:B$32,MATCH(COUNTIF(V76:AF76,PUNKTID!A$12),ETAPP!A$1:A$32,0))&amp;INDEX(ETAPP!B$1:B$32,MATCH(COUNTIF(V76:AF76,PUNKTID!A$13),ETAPP!A$1:A$32,0))&amp;INDEX(ETAPP!B$1:B$32,MATCH(COUNTIF(V76:AF76,PUNKTID!A$14),ETAPP!A$1:A$32,0))</f>
        <v>000000000B0A0C</v>
      </c>
      <c r="M76" s="397" t="str">
        <f t="shared" ca="1" si="39"/>
        <v>005,0-000000000B0A0C</v>
      </c>
      <c r="N76" s="320">
        <f t="shared" ca="1" si="40"/>
        <v>69</v>
      </c>
      <c r="O76" s="320">
        <f t="shared" si="41"/>
        <v>37</v>
      </c>
      <c r="P76" s="397" t="str">
        <f t="shared" ca="1" si="42"/>
        <v>005,0-000000000B0A0C-037</v>
      </c>
      <c r="Q76" s="320">
        <f t="shared" ca="1" si="43"/>
        <v>32</v>
      </c>
      <c r="R76" s="328" t="s">
        <v>562</v>
      </c>
      <c r="S76" s="380"/>
      <c r="T76" s="400"/>
      <c r="U76" s="559"/>
      <c r="V76" s="97" t="str">
        <f>IFERROR(INDEX('1'!C$300:C$400,MATCH("*"&amp;I76&amp;"*",'1'!B$300:B$400,0)),"  ")</f>
        <v xml:space="preserve">  </v>
      </c>
      <c r="W76" s="97">
        <f>IFERROR(INDEX('2'!C$300:C$400,MATCH("*"&amp;I76&amp;"*",'2'!B$300:B$400,0)),"  ")</f>
        <v>2</v>
      </c>
      <c r="X76" s="97" t="str">
        <f>IFERROR(INDEX('3'!C$300:C$400,MATCH("*"&amp;I76&amp;"*",'3'!B$300:B$400,0)),"  ")</f>
        <v xml:space="preserve">  </v>
      </c>
      <c r="Y76" s="97" t="str">
        <f>IFERROR(INDEX('4'!C$300:C$400,MATCH("*"&amp;I76&amp;"*",'4'!B$300:B$400,0)),"  ")</f>
        <v xml:space="preserve">  </v>
      </c>
      <c r="Z76" s="97">
        <f>IFERROR(INDEX('5'!C$300:C$400,MATCH("*"&amp;I76&amp;"*",'5'!B$300:B$400,0)),"  ")</f>
        <v>2</v>
      </c>
      <c r="AA76" s="97">
        <f>IFERROR(INDEX('6'!C$300:C$400,MATCH("*"&amp;I76&amp;"*",'6'!B$300:B$400,0)),"  ")</f>
        <v>1</v>
      </c>
      <c r="AB76" s="97" t="str">
        <f>IFERROR(INDEX('7'!C$300:C$400,MATCH("*"&amp;I76&amp;"*",'7'!B$300:B$400,0)),"  ")</f>
        <v xml:space="preserve">  </v>
      </c>
      <c r="AC76" s="97" t="str">
        <f>IFERROR(INDEX('8'!C$300:C$400,MATCH("*"&amp;I76&amp;"*",'8'!B$300:B$400,0)),"  ")</f>
        <v xml:space="preserve">  </v>
      </c>
      <c r="AD76" s="97" t="str">
        <f ca="1">IFERROR(INDEX('9'!C$300:C$400,MATCH("*"&amp;I76&amp;"*",'9'!B$300:B$400,0)),"  ")</f>
        <v xml:space="preserve">  </v>
      </c>
      <c r="AE76" s="97" t="str">
        <f>IFERROR(INDEX('10'!C$300:C$400,MATCH("*"&amp;I76&amp;"*",'10'!B$300:B$400,0)),"  ")</f>
        <v xml:space="preserve">  </v>
      </c>
      <c r="AF76" s="97" t="str">
        <f>IFERROR(INDEX('11'!C$300:C$400,MATCH("*"&amp;I76&amp;"*",'11'!B$300:B$400,0)),"  ")</f>
        <v xml:space="preserve">  </v>
      </c>
      <c r="AG76" s="294">
        <f t="shared" ca="1" si="44"/>
        <v>3</v>
      </c>
      <c r="AH76" s="794">
        <f t="shared" ca="1" si="45"/>
        <v>0</v>
      </c>
      <c r="AI76" s="796">
        <f t="shared" ca="1" si="46"/>
        <v>0</v>
      </c>
      <c r="AJ76" s="303">
        <f t="shared" ca="1" si="47"/>
        <v>0</v>
      </c>
      <c r="AK76" s="405">
        <f t="shared" si="48"/>
        <v>1E-4</v>
      </c>
      <c r="AL76" s="405">
        <f t="shared" ca="1" si="49"/>
        <v>4.0000000000000002E-4</v>
      </c>
      <c r="AM76" s="442">
        <f t="array" aca="1" ref="AM76" ca="1">MIN(IF(V$5:AF$5="ESMV",IF(V76:AF76="  ",FALSE,V76:AF76)+COLUMN(V:AF)/10000))</f>
        <v>2.5000000000000001E-3</v>
      </c>
      <c r="AN76" s="405">
        <f t="shared" si="50"/>
        <v>2.9999999999999997E-4</v>
      </c>
    </row>
    <row r="77" spans="1:40" s="2" customFormat="1" x14ac:dyDescent="0.2">
      <c r="A77" s="328" t="s">
        <v>257</v>
      </c>
      <c r="B77" s="331" t="str">
        <f t="shared" si="34"/>
        <v/>
      </c>
      <c r="C77" s="329" t="str">
        <f t="shared" si="35"/>
        <v/>
      </c>
      <c r="D77" s="907" t="s">
        <v>257</v>
      </c>
      <c r="E77" s="331" t="str">
        <f t="shared" si="36"/>
        <v/>
      </c>
      <c r="F77" s="330" t="str">
        <f t="shared" si="37"/>
        <v/>
      </c>
      <c r="G77" s="390">
        <f t="shared" ca="1" si="38"/>
        <v>66</v>
      </c>
      <c r="H77" s="906">
        <v>66</v>
      </c>
      <c r="I77" s="98" t="s">
        <v>147</v>
      </c>
      <c r="J77" s="800">
        <v>5</v>
      </c>
      <c r="K77" s="801">
        <f t="array" aca="1" ref="K77" ca="1">(IF(COUNT(V77,X77,AA77,AB77,AC77,AE77)&lt;4,SUM(V77,X77,AA77,AB77,AC77,AE77),SUM(LARGE((V77,X77,AA77,AB77,AC77,AE77),{1;2;3;4}))))+(IF(COUNT(W77,Y77,Z77,AD77,AF77)&lt;4,SUM(W77,Y77,Z77,AD77,AF77),SUM(LARGE((W77,Y77,Z77,AD77,AF77),{1;2;3;4}))))</f>
        <v>5</v>
      </c>
      <c r="L77" s="397" t="str">
        <f ca="1">INDEX(ETAPP!B$1:B$32,MATCH(COUNTIF(V77:AF77,PUNKTID!A$1),ETAPP!A$1:A$32,0))&amp;INDEX(ETAPP!B$1:B$32,MATCH(COUNTIF(V77:AF77,PUNKTID!A$2),ETAPP!A$1:A$32,0))&amp;INDEX(ETAPP!B$1:B$32,MATCH(COUNTIF(V77:AF77,PUNKTID!A$3),ETAPP!A$1:A$32,0))&amp;INDEX(ETAPP!B$1:B$32,MATCH(COUNTIF(V77:AF77,PUNKTID!A$4),ETAPP!A$1:A$32,0))&amp;INDEX(ETAPP!B$1:B$32,MATCH(COUNTIF(V77:AF77,PUNKTID!A$5),ETAPP!A$1:A$32,0))&amp;INDEX(ETAPP!B$1:B$32,MATCH(COUNTIF(V77:AF77,PUNKTID!A$6),ETAPP!A$1:A$32,0))&amp;INDEX(ETAPP!B$1:B$32,MATCH(COUNTIF(V77:AF77,PUNKTID!A$7),ETAPP!A$1:A$32,0))&amp;INDEX(ETAPP!B$1:B$32,MATCH(COUNTIF(V77:AF77,PUNKTID!A$8),ETAPP!A$1:A$32,0))&amp;INDEX(ETAPP!B$1:B$32,MATCH(COUNTIF(V77:AF77,PUNKTID!A$9),ETAPP!A$1:A$32,0))&amp;INDEX(ETAPP!B$1:B$32,MATCH(COUNTIF(V77:AF77,PUNKTID!A$10),ETAPP!A$1:A$32,0))&amp;INDEX(ETAPP!B$1:B$32,MATCH(COUNTIF(V77:AF77,PUNKTID!A$11),ETAPP!A$1:A$32,0))&amp;INDEX(ETAPP!B$1:B$32,MATCH(COUNTIF(V77:AF77,PUNKTID!A$12),ETAPP!A$1:A$32,0))&amp;INDEX(ETAPP!B$1:B$32,MATCH(COUNTIF(V77:AF77,PUNKTID!A$13),ETAPP!A$1:A$32,0))&amp;INDEX(ETAPP!B$1:B$32,MATCH(COUNTIF(V77:AF77,PUNKTID!A$14),ETAPP!A$1:A$32,0))</f>
        <v>000000000B0A0C</v>
      </c>
      <c r="M77" s="397" t="str">
        <f t="shared" ca="1" si="39"/>
        <v>005,0-000000000B0A0C</v>
      </c>
      <c r="N77" s="320">
        <f t="shared" ca="1" si="40"/>
        <v>69</v>
      </c>
      <c r="O77" s="320">
        <f t="shared" si="41"/>
        <v>3</v>
      </c>
      <c r="P77" s="397" t="str">
        <f t="shared" ca="1" si="42"/>
        <v>005,0-000000000B0A0C-003</v>
      </c>
      <c r="Q77" s="320">
        <f t="shared" ca="1" si="43"/>
        <v>31</v>
      </c>
      <c r="R77" s="328"/>
      <c r="S77" s="380"/>
      <c r="T77" s="400" t="s">
        <v>605</v>
      </c>
      <c r="U77" s="559"/>
      <c r="V77" s="97" t="str">
        <f>IFERROR(INDEX('1'!C$300:C$400,MATCH("*"&amp;I77&amp;"*",'1'!B$300:B$400,0)),"  ")</f>
        <v xml:space="preserve">  </v>
      </c>
      <c r="W77" s="97" t="str">
        <f>IFERROR(INDEX('2'!C$300:C$400,MATCH("*"&amp;I77&amp;"*",'2'!B$300:B$400,0)),"  ")</f>
        <v xml:space="preserve">  </v>
      </c>
      <c r="X77" s="97" t="str">
        <f>IFERROR(INDEX('3'!C$300:C$400,MATCH("*"&amp;I77&amp;"*",'3'!B$300:B$400,0)),"  ")</f>
        <v xml:space="preserve">  </v>
      </c>
      <c r="Y77" s="97">
        <f>IFERROR(INDEX('4'!C$300:C$400,MATCH("*"&amp;I77&amp;"*",'4'!B$300:B$400,0)),"  ")</f>
        <v>2</v>
      </c>
      <c r="Z77" s="97">
        <f>IFERROR(INDEX('5'!C$300:C$400,MATCH("*"&amp;I77&amp;"*",'5'!B$300:B$400,0)),"  ")</f>
        <v>2</v>
      </c>
      <c r="AA77" s="97">
        <f>IFERROR(INDEX('6'!C$300:C$400,MATCH("*"&amp;I77&amp;"*",'6'!B$300:B$400,0)),"  ")</f>
        <v>1</v>
      </c>
      <c r="AB77" s="97" t="str">
        <f>IFERROR(INDEX('7'!C$300:C$400,MATCH("*"&amp;I77&amp;"*",'7'!B$300:B$400,0)),"  ")</f>
        <v xml:space="preserve">  </v>
      </c>
      <c r="AC77" s="97" t="str">
        <f>IFERROR(INDEX('8'!C$300:C$400,MATCH("*"&amp;I77&amp;"*",'8'!B$300:B$400,0)),"  ")</f>
        <v xml:space="preserve">  </v>
      </c>
      <c r="AD77" s="97" t="str">
        <f ca="1">IFERROR(INDEX('9'!C$300:C$400,MATCH("*"&amp;I77&amp;"*",'9'!B$300:B$400,0)),"  ")</f>
        <v xml:space="preserve">  </v>
      </c>
      <c r="AE77" s="97" t="str">
        <f>IFERROR(INDEX('10'!C$300:C$400,MATCH("*"&amp;I77&amp;"*",'10'!B$300:B$400,0)),"  ")</f>
        <v xml:space="preserve">  </v>
      </c>
      <c r="AF77" s="97" t="str">
        <f>IFERROR(INDEX('11'!C$300:C$400,MATCH("*"&amp;I77&amp;"*",'11'!B$300:B$400,0)),"  ")</f>
        <v xml:space="preserve">  </v>
      </c>
      <c r="AG77" s="294">
        <f t="shared" ca="1" si="44"/>
        <v>3</v>
      </c>
      <c r="AH77" s="794">
        <f t="shared" ca="1" si="45"/>
        <v>0</v>
      </c>
      <c r="AI77" s="796">
        <f t="shared" ca="1" si="46"/>
        <v>0</v>
      </c>
      <c r="AJ77" s="303">
        <f t="shared" ca="1" si="47"/>
        <v>0</v>
      </c>
      <c r="AK77" s="405">
        <f t="shared" si="48"/>
        <v>1E-4</v>
      </c>
      <c r="AL77" s="405">
        <f t="shared" ca="1" si="49"/>
        <v>2.0000000000000001E-4</v>
      </c>
      <c r="AM77" s="442">
        <f t="array" aca="1" ref="AM77" ca="1">MIN(IF(V$5:AF$5="ESMV",IF(V77:AF77="  ",FALSE,V77:AF77)+COLUMN(V:AF)/10000))</f>
        <v>2.3E-3</v>
      </c>
      <c r="AN77" s="405">
        <f t="shared" si="50"/>
        <v>2.9999999999999997E-4</v>
      </c>
    </row>
    <row r="78" spans="1:40" s="2" customFormat="1" ht="12.75" customHeight="1" x14ac:dyDescent="0.2">
      <c r="A78" s="328">
        <v>21</v>
      </c>
      <c r="B78" s="331">
        <f t="shared" ca="1" si="34"/>
        <v>21</v>
      </c>
      <c r="C78" s="329" t="str">
        <f t="shared" ca="1" si="35"/>
        <v>005,0-000000000A0C0G</v>
      </c>
      <c r="D78" s="907" t="s">
        <v>257</v>
      </c>
      <c r="E78" s="331" t="str">
        <f t="shared" si="36"/>
        <v/>
      </c>
      <c r="F78" s="330" t="str">
        <f t="shared" si="37"/>
        <v/>
      </c>
      <c r="G78" s="390">
        <f t="shared" ca="1" si="38"/>
        <v>70</v>
      </c>
      <c r="H78" s="906">
        <v>70</v>
      </c>
      <c r="I78" s="98" t="s">
        <v>56</v>
      </c>
      <c r="J78" s="800">
        <v>5</v>
      </c>
      <c r="K78" s="801">
        <f t="array" aca="1" ref="K78" ca="1">(IF(COUNT(V78,X78,AA78,AB78,AC78,AE78)&lt;4,SUM(V78,X78,AA78,AB78,AC78,AE78),SUM(LARGE((V78,X78,AA78,AB78,AC78,AE78),{1;2;3;4}))))+(IF(COUNT(W78,Y78,Z78,AD78,AF78)&lt;4,SUM(W78,Y78,Z78,AD78,AF78),SUM(LARGE((W78,Y78,Z78,AD78,AF78),{1;2;3;4}))))</f>
        <v>5</v>
      </c>
      <c r="L78" s="397" t="str">
        <f ca="1">INDEX(ETAPP!B$1:B$32,MATCH(COUNTIF(V78:AF78,PUNKTID!A$1),ETAPP!A$1:A$32,0))&amp;INDEX(ETAPP!B$1:B$32,MATCH(COUNTIF(V78:AF78,PUNKTID!A$2),ETAPP!A$1:A$32,0))&amp;INDEX(ETAPP!B$1:B$32,MATCH(COUNTIF(V78:AF78,PUNKTID!A$3),ETAPP!A$1:A$32,0))&amp;INDEX(ETAPP!B$1:B$32,MATCH(COUNTIF(V78:AF78,PUNKTID!A$4),ETAPP!A$1:A$32,0))&amp;INDEX(ETAPP!B$1:B$32,MATCH(COUNTIF(V78:AF78,PUNKTID!A$5),ETAPP!A$1:A$32,0))&amp;INDEX(ETAPP!B$1:B$32,MATCH(COUNTIF(V78:AF78,PUNKTID!A$6),ETAPP!A$1:A$32,0))&amp;INDEX(ETAPP!B$1:B$32,MATCH(COUNTIF(V78:AF78,PUNKTID!A$7),ETAPP!A$1:A$32,0))&amp;INDEX(ETAPP!B$1:B$32,MATCH(COUNTIF(V78:AF78,PUNKTID!A$8),ETAPP!A$1:A$32,0))&amp;INDEX(ETAPP!B$1:B$32,MATCH(COUNTIF(V78:AF78,PUNKTID!A$9),ETAPP!A$1:A$32,0))&amp;INDEX(ETAPP!B$1:B$32,MATCH(COUNTIF(V78:AF78,PUNKTID!A$10),ETAPP!A$1:A$32,0))&amp;INDEX(ETAPP!B$1:B$32,MATCH(COUNTIF(V78:AF78,PUNKTID!A$11),ETAPP!A$1:A$32,0))&amp;INDEX(ETAPP!B$1:B$32,MATCH(COUNTIF(V78:AF78,PUNKTID!A$12),ETAPP!A$1:A$32,0))&amp;INDEX(ETAPP!B$1:B$32,MATCH(COUNTIF(V78:AF78,PUNKTID!A$13),ETAPP!A$1:A$32,0))&amp;INDEX(ETAPP!B$1:B$32,MATCH(COUNTIF(V78:AF78,PUNKTID!A$14),ETAPP!A$1:A$32,0))</f>
        <v>000000000A0C0G</v>
      </c>
      <c r="M78" s="397" t="str">
        <f t="shared" ca="1" si="39"/>
        <v>005,0-000000000A0C0G</v>
      </c>
      <c r="N78" s="320">
        <f t="shared" ca="1" si="40"/>
        <v>70</v>
      </c>
      <c r="O78" s="320">
        <f t="shared" si="41"/>
        <v>88</v>
      </c>
      <c r="P78" s="397" t="str">
        <f t="shared" ca="1" si="42"/>
        <v>005,0-000000000A0C0G-088</v>
      </c>
      <c r="Q78" s="320">
        <f t="shared" ca="1" si="43"/>
        <v>30</v>
      </c>
      <c r="R78" s="328" t="s">
        <v>562</v>
      </c>
      <c r="S78" s="380"/>
      <c r="T78" s="400"/>
      <c r="U78" s="559"/>
      <c r="V78" s="97" t="str">
        <f>IFERROR(INDEX('1'!C$300:C$400,MATCH("*"&amp;I78&amp;"*",'1'!B$300:B$400,0)),"  ")</f>
        <v xml:space="preserve">  </v>
      </c>
      <c r="W78" s="97" t="str">
        <f>IFERROR(INDEX('2'!C$300:C$400,MATCH("*"&amp;I78&amp;"*",'2'!B$300:B$400,0)),"  ")</f>
        <v xml:space="preserve">  </v>
      </c>
      <c r="X78" s="97" t="str">
        <f>IFERROR(INDEX('3'!C$300:C$400,MATCH("*"&amp;I78&amp;"*",'3'!B$300:B$400,0)),"  ")</f>
        <v xml:space="preserve">  </v>
      </c>
      <c r="Y78" s="97">
        <f>IFERROR(INDEX('4'!C$300:C$400,MATCH("*"&amp;I78&amp;"*",'4'!B$300:B$400,0)),"  ")</f>
        <v>2</v>
      </c>
      <c r="Z78" s="97" t="str">
        <f>IFERROR(INDEX('5'!C$300:C$400,MATCH("*"&amp;I78&amp;"*",'5'!B$300:B$400,0)),"  ")</f>
        <v xml:space="preserve">  </v>
      </c>
      <c r="AA78" s="97">
        <f>IFERROR(INDEX('6'!C$300:C$400,MATCH("*"&amp;I78&amp;"*",'6'!B$300:B$400,0)),"  ")</f>
        <v>1</v>
      </c>
      <c r="AB78" s="97">
        <f>IFERROR(INDEX('7'!C$300:C$400,MATCH("*"&amp;I78&amp;"*",'7'!B$300:B$400,0)),"  ")</f>
        <v>1</v>
      </c>
      <c r="AC78" s="97">
        <f>IFERROR(INDEX('8'!C$300:C$400,MATCH("*"&amp;I78&amp;"*",'8'!B$300:B$400,0)),"  ")</f>
        <v>1</v>
      </c>
      <c r="AD78" s="97" t="str">
        <f ca="1">IFERROR(INDEX('9'!C$300:C$400,MATCH("*"&amp;I78&amp;"*",'9'!B$300:B$400,0)),"  ")</f>
        <v xml:space="preserve">  </v>
      </c>
      <c r="AE78" s="97" t="str">
        <f>IFERROR(INDEX('10'!C$300:C$400,MATCH("*"&amp;I78&amp;"*",'10'!B$300:B$400,0)),"  ")</f>
        <v xml:space="preserve">  </v>
      </c>
      <c r="AF78" s="97" t="str">
        <f>IFERROR(INDEX('11'!C$300:C$400,MATCH("*"&amp;I78&amp;"*",'11'!B$300:B$400,0)),"  ")</f>
        <v xml:space="preserve">  </v>
      </c>
      <c r="AG78" s="294">
        <f t="shared" ca="1" si="44"/>
        <v>4</v>
      </c>
      <c r="AH78" s="794">
        <f t="shared" ca="1" si="45"/>
        <v>0</v>
      </c>
      <c r="AI78" s="796">
        <f t="shared" ca="1" si="46"/>
        <v>0</v>
      </c>
      <c r="AJ78" s="303">
        <f t="shared" ca="1" si="47"/>
        <v>0</v>
      </c>
      <c r="AK78" s="405">
        <f t="shared" si="48"/>
        <v>1E-4</v>
      </c>
      <c r="AL78" s="405">
        <f t="shared" ca="1" si="49"/>
        <v>2.0000000000000001E-4</v>
      </c>
      <c r="AM78" s="442">
        <f t="array" aca="1" ref="AM78" ca="1">MIN(IF(V$5:AF$5="ESMV",IF(V78:AF78="  ",FALSE,V78:AF78)+COLUMN(V:AF)/10000))</f>
        <v>2.3E-3</v>
      </c>
      <c r="AN78" s="405">
        <f t="shared" si="50"/>
        <v>2.9999999999999997E-4</v>
      </c>
    </row>
    <row r="79" spans="1:40" s="2" customFormat="1" ht="12.75" customHeight="1" x14ac:dyDescent="0.2">
      <c r="A79" s="328">
        <v>22</v>
      </c>
      <c r="B79" s="331">
        <f t="shared" ca="1" si="34"/>
        <v>22</v>
      </c>
      <c r="C79" s="329" t="str">
        <f t="shared" ca="1" si="35"/>
        <v>004,0-0000000A00000E</v>
      </c>
      <c r="D79" s="907" t="s">
        <v>257</v>
      </c>
      <c r="E79" s="331" t="str">
        <f t="shared" si="36"/>
        <v/>
      </c>
      <c r="F79" s="330" t="str">
        <f t="shared" si="37"/>
        <v/>
      </c>
      <c r="G79" s="390">
        <f t="shared" ca="1" si="38"/>
        <v>71</v>
      </c>
      <c r="H79" s="906">
        <v>71</v>
      </c>
      <c r="I79" s="98" t="s">
        <v>597</v>
      </c>
      <c r="J79" s="800">
        <v>4</v>
      </c>
      <c r="K79" s="801">
        <f t="array" aca="1" ref="K79" ca="1">(IF(COUNT(V79,X79,AA79,AB79,AC79,AE79)&lt;4,SUM(V79,X79,AA79,AB79,AC79,AE79),SUM(LARGE((V79,X79,AA79,AB79,AC79,AE79),{1;2;3;4}))))+(IF(COUNT(W79,Y79,Z79,AD79,AF79)&lt;4,SUM(W79,Y79,Z79,AD79,AF79),SUM(LARGE((W79,Y79,Z79,AD79,AF79),{1;2;3;4}))))</f>
        <v>4</v>
      </c>
      <c r="L79" s="397" t="str">
        <f ca="1">INDEX(ETAPP!B$1:B$32,MATCH(COUNTIF(V79:AF79,PUNKTID!A$1),ETAPP!A$1:A$32,0))&amp;INDEX(ETAPP!B$1:B$32,MATCH(COUNTIF(V79:AF79,PUNKTID!A$2),ETAPP!A$1:A$32,0))&amp;INDEX(ETAPP!B$1:B$32,MATCH(COUNTIF(V79:AF79,PUNKTID!A$3),ETAPP!A$1:A$32,0))&amp;INDEX(ETAPP!B$1:B$32,MATCH(COUNTIF(V79:AF79,PUNKTID!A$4),ETAPP!A$1:A$32,0))&amp;INDEX(ETAPP!B$1:B$32,MATCH(COUNTIF(V79:AF79,PUNKTID!A$5),ETAPP!A$1:A$32,0))&amp;INDEX(ETAPP!B$1:B$32,MATCH(COUNTIF(V79:AF79,PUNKTID!A$6),ETAPP!A$1:A$32,0))&amp;INDEX(ETAPP!B$1:B$32,MATCH(COUNTIF(V79:AF79,PUNKTID!A$7),ETAPP!A$1:A$32,0))&amp;INDEX(ETAPP!B$1:B$32,MATCH(COUNTIF(V79:AF79,PUNKTID!A$8),ETAPP!A$1:A$32,0))&amp;INDEX(ETAPP!B$1:B$32,MATCH(COUNTIF(V79:AF79,PUNKTID!A$9),ETAPP!A$1:A$32,0))&amp;INDEX(ETAPP!B$1:B$32,MATCH(COUNTIF(V79:AF79,PUNKTID!A$10),ETAPP!A$1:A$32,0))&amp;INDEX(ETAPP!B$1:B$32,MATCH(COUNTIF(V79:AF79,PUNKTID!A$11),ETAPP!A$1:A$32,0))&amp;INDEX(ETAPP!B$1:B$32,MATCH(COUNTIF(V79:AF79,PUNKTID!A$12),ETAPP!A$1:A$32,0))&amp;INDEX(ETAPP!B$1:B$32,MATCH(COUNTIF(V79:AF79,PUNKTID!A$13),ETAPP!A$1:A$32,0))&amp;INDEX(ETAPP!B$1:B$32,MATCH(COUNTIF(V79:AF79,PUNKTID!A$14),ETAPP!A$1:A$32,0))</f>
        <v>0000000A00000E</v>
      </c>
      <c r="M79" s="397" t="str">
        <f t="shared" ca="1" si="39"/>
        <v>004,0-0000000A00000E</v>
      </c>
      <c r="N79" s="320">
        <f t="shared" ca="1" si="40"/>
        <v>71</v>
      </c>
      <c r="O79" s="320">
        <f t="shared" si="41"/>
        <v>39</v>
      </c>
      <c r="P79" s="397" t="str">
        <f t="shared" ca="1" si="42"/>
        <v>004,0-0000000A00000E-039</v>
      </c>
      <c r="Q79" s="320">
        <f t="shared" ca="1" si="43"/>
        <v>29</v>
      </c>
      <c r="R79" s="328" t="s">
        <v>562</v>
      </c>
      <c r="S79" s="380"/>
      <c r="T79" s="400"/>
      <c r="U79" s="559"/>
      <c r="V79" s="97" t="str">
        <f>IFERROR(INDEX('1'!C$300:C$400,MATCH("*"&amp;I79&amp;"*",'1'!B$300:B$400,0)),"  ")</f>
        <v xml:space="preserve">  </v>
      </c>
      <c r="W79" s="97" t="str">
        <f>IFERROR(INDEX('2'!C$300:C$400,MATCH("*"&amp;I79&amp;"*",'2'!B$300:B$400,0)),"  ")</f>
        <v xml:space="preserve">  </v>
      </c>
      <c r="X79" s="97" t="str">
        <f>IFERROR(INDEX('3'!C$300:C$400,MATCH("*"&amp;I79&amp;"*",'3'!B$300:B$400,0)),"  ")</f>
        <v xml:space="preserve">  </v>
      </c>
      <c r="Y79" s="97">
        <f>IFERROR(INDEX('4'!C$300:C$400,MATCH("*"&amp;I79&amp;"*",'4'!B$300:B$400,0)),"  ")</f>
        <v>4</v>
      </c>
      <c r="Z79" s="97" t="str">
        <f>IFERROR(INDEX('5'!C$300:C$400,MATCH("*"&amp;I79&amp;"*",'5'!B$300:B$400,0)),"  ")</f>
        <v xml:space="preserve">  </v>
      </c>
      <c r="AA79" s="97" t="str">
        <f>IFERROR(INDEX('6'!C$300:C$400,MATCH("*"&amp;I79&amp;"*",'6'!B$300:B$400,0)),"  ")</f>
        <v xml:space="preserve">  </v>
      </c>
      <c r="AB79" s="97" t="str">
        <f>IFERROR(INDEX('7'!C$300:C$400,MATCH("*"&amp;I79&amp;"*",'7'!B$300:B$400,0)),"  ")</f>
        <v xml:space="preserve">  </v>
      </c>
      <c r="AC79" s="97" t="str">
        <f>IFERROR(INDEX('8'!C$300:C$400,MATCH("*"&amp;I79&amp;"*",'8'!B$300:B$400,0)),"  ")</f>
        <v xml:space="preserve">  </v>
      </c>
      <c r="AD79" s="97" t="str">
        <f ca="1">IFERROR(INDEX('9'!C$300:C$400,MATCH("*"&amp;I79&amp;"*",'9'!B$300:B$400,0)),"  ")</f>
        <v xml:space="preserve">  </v>
      </c>
      <c r="AE79" s="97" t="str">
        <f>IFERROR(INDEX('10'!C$300:C$400,MATCH("*"&amp;I79&amp;"*",'10'!B$300:B$400,0)),"  ")</f>
        <v xml:space="preserve">  </v>
      </c>
      <c r="AF79" s="97" t="str">
        <f>IFERROR(INDEX('11'!C$300:C$400,MATCH("*"&amp;I79&amp;"*",'11'!B$300:B$400,0)),"  ")</f>
        <v xml:space="preserve">  </v>
      </c>
      <c r="AG79" s="294">
        <f t="shared" ca="1" si="44"/>
        <v>1</v>
      </c>
      <c r="AH79" s="794">
        <f t="shared" ca="1" si="45"/>
        <v>0</v>
      </c>
      <c r="AI79" s="796">
        <f t="shared" ca="1" si="46"/>
        <v>0</v>
      </c>
      <c r="AJ79" s="303">
        <f t="shared" ca="1" si="47"/>
        <v>0</v>
      </c>
      <c r="AK79" s="405">
        <f t="shared" si="48"/>
        <v>1E-4</v>
      </c>
      <c r="AL79" s="405">
        <f t="shared" ca="1" si="49"/>
        <v>2.0000000000000001E-4</v>
      </c>
      <c r="AM79" s="442">
        <f t="array" aca="1" ref="AM79" ca="1">MIN(IF(V$5:AF$5="ESMV",IF(V79:AF79="  ",FALSE,V79:AF79)+COLUMN(V:AF)/10000))</f>
        <v>2.3E-3</v>
      </c>
      <c r="AN79" s="405">
        <f t="shared" si="50"/>
        <v>2.9999999999999997E-4</v>
      </c>
    </row>
    <row r="80" spans="1:40" s="2" customFormat="1" ht="12.75" customHeight="1" x14ac:dyDescent="0.2">
      <c r="A80" s="328">
        <v>25</v>
      </c>
      <c r="B80" s="331">
        <f t="shared" ca="1" si="34"/>
        <v>25</v>
      </c>
      <c r="C80" s="329" t="str">
        <f t="shared" ca="1" si="35"/>
        <v>004,0-000000000B000D</v>
      </c>
      <c r="D80" s="907" t="s">
        <v>257</v>
      </c>
      <c r="E80" s="331" t="str">
        <f t="shared" si="36"/>
        <v/>
      </c>
      <c r="F80" s="330" t="str">
        <f t="shared" si="37"/>
        <v/>
      </c>
      <c r="G80" s="390">
        <f t="shared" ca="1" si="38"/>
        <v>72</v>
      </c>
      <c r="H80" s="906">
        <v>72</v>
      </c>
      <c r="I80" s="98" t="s">
        <v>31</v>
      </c>
      <c r="J80" s="800">
        <v>4</v>
      </c>
      <c r="K80" s="801">
        <f t="array" aca="1" ref="K80" ca="1">(IF(COUNT(V80,X80,AA80,AB80,AC80,AE80)&lt;4,SUM(V80,X80,AA80,AB80,AC80,AE80),SUM(LARGE((V80,X80,AA80,AB80,AC80,AE80),{1;2;3;4}))))+(IF(COUNT(W80,Y80,Z80,AD80,AF80)&lt;4,SUM(W80,Y80,Z80,AD80,AF80),SUM(LARGE((W80,Y80,Z80,AD80,AF80),{1;2;3;4}))))</f>
        <v>4</v>
      </c>
      <c r="L80" s="397" t="str">
        <f ca="1">INDEX(ETAPP!B$1:B$32,MATCH(COUNTIF(V80:AF80,PUNKTID!A$1),ETAPP!A$1:A$32,0))&amp;INDEX(ETAPP!B$1:B$32,MATCH(COUNTIF(V80:AF80,PUNKTID!A$2),ETAPP!A$1:A$32,0))&amp;INDEX(ETAPP!B$1:B$32,MATCH(COUNTIF(V80:AF80,PUNKTID!A$3),ETAPP!A$1:A$32,0))&amp;INDEX(ETAPP!B$1:B$32,MATCH(COUNTIF(V80:AF80,PUNKTID!A$4),ETAPP!A$1:A$32,0))&amp;INDEX(ETAPP!B$1:B$32,MATCH(COUNTIF(V80:AF80,PUNKTID!A$5),ETAPP!A$1:A$32,0))&amp;INDEX(ETAPP!B$1:B$32,MATCH(COUNTIF(V80:AF80,PUNKTID!A$6),ETAPP!A$1:A$32,0))&amp;INDEX(ETAPP!B$1:B$32,MATCH(COUNTIF(V80:AF80,PUNKTID!A$7),ETAPP!A$1:A$32,0))&amp;INDEX(ETAPP!B$1:B$32,MATCH(COUNTIF(V80:AF80,PUNKTID!A$8),ETAPP!A$1:A$32,0))&amp;INDEX(ETAPP!B$1:B$32,MATCH(COUNTIF(V80:AF80,PUNKTID!A$9),ETAPP!A$1:A$32,0))&amp;INDEX(ETAPP!B$1:B$32,MATCH(COUNTIF(V80:AF80,PUNKTID!A$10),ETAPP!A$1:A$32,0))&amp;INDEX(ETAPP!B$1:B$32,MATCH(COUNTIF(V80:AF80,PUNKTID!A$11),ETAPP!A$1:A$32,0))&amp;INDEX(ETAPP!B$1:B$32,MATCH(COUNTIF(V80:AF80,PUNKTID!A$12),ETAPP!A$1:A$32,0))&amp;INDEX(ETAPP!B$1:B$32,MATCH(COUNTIF(V80:AF80,PUNKTID!A$13),ETAPP!A$1:A$32,0))&amp;INDEX(ETAPP!B$1:B$32,MATCH(COUNTIF(V80:AF80,PUNKTID!A$14),ETAPP!A$1:A$32,0))</f>
        <v>000000000B000D</v>
      </c>
      <c r="M80" s="397" t="str">
        <f t="shared" ca="1" si="39"/>
        <v>004,0-000000000B000D</v>
      </c>
      <c r="N80" s="320">
        <f t="shared" ca="1" si="40"/>
        <v>74</v>
      </c>
      <c r="O80" s="320">
        <f t="shared" si="41"/>
        <v>49</v>
      </c>
      <c r="P80" s="397" t="str">
        <f t="shared" ca="1" si="42"/>
        <v>004,0-000000000B000D-049</v>
      </c>
      <c r="Q80" s="320">
        <f t="shared" ca="1" si="43"/>
        <v>28</v>
      </c>
      <c r="R80" s="328" t="s">
        <v>562</v>
      </c>
      <c r="S80" s="380"/>
      <c r="T80" s="400"/>
      <c r="U80" s="559"/>
      <c r="V80" s="97" t="str">
        <f>IFERROR(INDEX('1'!C$300:C$400,MATCH("*"&amp;I80&amp;"*",'1'!B$300:B$400,0)),"  ")</f>
        <v xml:space="preserve">  </v>
      </c>
      <c r="W80" s="97">
        <f>IFERROR(INDEX('2'!C$300:C$400,MATCH("*"&amp;I80&amp;"*",'2'!B$300:B$400,0)),"  ")</f>
        <v>2</v>
      </c>
      <c r="X80" s="97" t="str">
        <f>IFERROR(INDEX('3'!C$300:C$400,MATCH("*"&amp;I80&amp;"*",'3'!B$300:B$400,0)),"  ")</f>
        <v xml:space="preserve">  </v>
      </c>
      <c r="Y80" s="97" t="str">
        <f>IFERROR(INDEX('4'!C$300:C$400,MATCH("*"&amp;I80&amp;"*",'4'!B$300:B$400,0)),"  ")</f>
        <v xml:space="preserve">  </v>
      </c>
      <c r="Z80" s="97" t="str">
        <f>IFERROR(INDEX('5'!C$300:C$400,MATCH("*"&amp;I80&amp;"*",'5'!B$300:B$400,0)),"  ")</f>
        <v xml:space="preserve">  </v>
      </c>
      <c r="AA80" s="97" t="str">
        <f>IFERROR(INDEX('6'!C$300:C$400,MATCH("*"&amp;I80&amp;"*",'6'!B$300:B$400,0)),"  ")</f>
        <v xml:space="preserve">  </v>
      </c>
      <c r="AB80" s="97" t="str">
        <f>IFERROR(INDEX('7'!C$300:C$400,MATCH("*"&amp;I80&amp;"*",'7'!B$300:B$400,0)),"  ")</f>
        <v xml:space="preserve">  </v>
      </c>
      <c r="AC80" s="97" t="str">
        <f>IFERROR(INDEX('8'!C$300:C$400,MATCH("*"&amp;I80&amp;"*",'8'!B$300:B$400,0)),"  ")</f>
        <v xml:space="preserve">  </v>
      </c>
      <c r="AD80" s="97" t="str">
        <f ca="1">IFERROR(INDEX('9'!C$300:C$400,MATCH("*"&amp;I80&amp;"*",'9'!B$300:B$400,0)),"  ")</f>
        <v xml:space="preserve">  </v>
      </c>
      <c r="AE80" s="97" t="str">
        <f>IFERROR(INDEX('10'!C$300:C$400,MATCH("*"&amp;I80&amp;"*",'10'!B$300:B$400,0)),"  ")</f>
        <v xml:space="preserve">  </v>
      </c>
      <c r="AF80" s="97">
        <f>IFERROR(INDEX('11'!C$300:C$400,MATCH("*"&amp;I80&amp;"*",'11'!B$300:B$400,0)),"  ")</f>
        <v>2</v>
      </c>
      <c r="AG80" s="294">
        <f t="shared" ca="1" si="44"/>
        <v>2</v>
      </c>
      <c r="AH80" s="794">
        <f t="shared" ca="1" si="45"/>
        <v>0</v>
      </c>
      <c r="AI80" s="796">
        <f t="shared" ca="1" si="46"/>
        <v>0</v>
      </c>
      <c r="AJ80" s="303">
        <f t="shared" ca="1" si="47"/>
        <v>0</v>
      </c>
      <c r="AK80" s="405">
        <f t="shared" si="48"/>
        <v>1E-4</v>
      </c>
      <c r="AL80" s="405">
        <f t="shared" ca="1" si="49"/>
        <v>4.0000000000000002E-4</v>
      </c>
      <c r="AM80" s="442">
        <f t="array" aca="1" ref="AM80" ca="1">MIN(IF(V$5:AF$5="ESMV",IF(V80:AF80="  ",FALSE,V80:AF80)+COLUMN(V:AF)/10000))</f>
        <v>2.5000000000000001E-3</v>
      </c>
      <c r="AN80" s="405">
        <f t="shared" si="50"/>
        <v>2.9999999999999997E-4</v>
      </c>
    </row>
    <row r="81" spans="1:40" s="2" customFormat="1" ht="12.75" customHeight="1" x14ac:dyDescent="0.2">
      <c r="A81" s="328">
        <v>25</v>
      </c>
      <c r="B81" s="331">
        <f t="shared" ca="1" si="34"/>
        <v>25</v>
      </c>
      <c r="C81" s="329" t="str">
        <f t="shared" ca="1" si="35"/>
        <v>004,0-000000000B000D</v>
      </c>
      <c r="D81" s="907" t="s">
        <v>257</v>
      </c>
      <c r="E81" s="331" t="str">
        <f t="shared" si="36"/>
        <v/>
      </c>
      <c r="F81" s="330" t="str">
        <f t="shared" si="37"/>
        <v/>
      </c>
      <c r="G81" s="390">
        <f t="shared" ca="1" si="38"/>
        <v>72</v>
      </c>
      <c r="H81" s="906">
        <v>72</v>
      </c>
      <c r="I81" s="98" t="s">
        <v>208</v>
      </c>
      <c r="J81" s="800">
        <v>4</v>
      </c>
      <c r="K81" s="801">
        <f t="array" aca="1" ref="K81" ca="1">(IF(COUNT(V81,X81,AA81,AB81,AC81,AE81)&lt;4,SUM(V81,X81,AA81,AB81,AC81,AE81),SUM(LARGE((V81,X81,AA81,AB81,AC81,AE81),{1;2;3;4}))))+(IF(COUNT(W81,Y81,Z81,AD81,AF81)&lt;4,SUM(W81,Y81,Z81,AD81,AF81),SUM(LARGE((W81,Y81,Z81,AD81,AF81),{1;2;3;4}))))</f>
        <v>4</v>
      </c>
      <c r="L81" s="397" t="str">
        <f ca="1">INDEX(ETAPP!B$1:B$32,MATCH(COUNTIF(V81:AF81,PUNKTID!A$1),ETAPP!A$1:A$32,0))&amp;INDEX(ETAPP!B$1:B$32,MATCH(COUNTIF(V81:AF81,PUNKTID!A$2),ETAPP!A$1:A$32,0))&amp;INDEX(ETAPP!B$1:B$32,MATCH(COUNTIF(V81:AF81,PUNKTID!A$3),ETAPP!A$1:A$32,0))&amp;INDEX(ETAPP!B$1:B$32,MATCH(COUNTIF(V81:AF81,PUNKTID!A$4),ETAPP!A$1:A$32,0))&amp;INDEX(ETAPP!B$1:B$32,MATCH(COUNTIF(V81:AF81,PUNKTID!A$5),ETAPP!A$1:A$32,0))&amp;INDEX(ETAPP!B$1:B$32,MATCH(COUNTIF(V81:AF81,PUNKTID!A$6),ETAPP!A$1:A$32,0))&amp;INDEX(ETAPP!B$1:B$32,MATCH(COUNTIF(V81:AF81,PUNKTID!A$7),ETAPP!A$1:A$32,0))&amp;INDEX(ETAPP!B$1:B$32,MATCH(COUNTIF(V81:AF81,PUNKTID!A$8),ETAPP!A$1:A$32,0))&amp;INDEX(ETAPP!B$1:B$32,MATCH(COUNTIF(V81:AF81,PUNKTID!A$9),ETAPP!A$1:A$32,0))&amp;INDEX(ETAPP!B$1:B$32,MATCH(COUNTIF(V81:AF81,PUNKTID!A$10),ETAPP!A$1:A$32,0))&amp;INDEX(ETAPP!B$1:B$32,MATCH(COUNTIF(V81:AF81,PUNKTID!A$11),ETAPP!A$1:A$32,0))&amp;INDEX(ETAPP!B$1:B$32,MATCH(COUNTIF(V81:AF81,PUNKTID!A$12),ETAPP!A$1:A$32,0))&amp;INDEX(ETAPP!B$1:B$32,MATCH(COUNTIF(V81:AF81,PUNKTID!A$13),ETAPP!A$1:A$32,0))&amp;INDEX(ETAPP!B$1:B$32,MATCH(COUNTIF(V81:AF81,PUNKTID!A$14),ETAPP!A$1:A$32,0))</f>
        <v>000000000B000D</v>
      </c>
      <c r="M81" s="397" t="str">
        <f t="shared" ca="1" si="39"/>
        <v>004,0-000000000B000D</v>
      </c>
      <c r="N81" s="320">
        <f t="shared" ca="1" si="40"/>
        <v>74</v>
      </c>
      <c r="O81" s="320">
        <f t="shared" si="41"/>
        <v>40</v>
      </c>
      <c r="P81" s="397" t="str">
        <f t="shared" ca="1" si="42"/>
        <v>004,0-000000000B000D-040</v>
      </c>
      <c r="Q81" s="320">
        <f t="shared" ca="1" si="43"/>
        <v>27</v>
      </c>
      <c r="R81" s="328" t="s">
        <v>562</v>
      </c>
      <c r="S81" s="380"/>
      <c r="T81" s="400"/>
      <c r="U81" s="559"/>
      <c r="V81" s="97" t="str">
        <f>IFERROR(INDEX('1'!C$300:C$400,MATCH("*"&amp;I81&amp;"*",'1'!B$300:B$400,0)),"  ")</f>
        <v xml:space="preserve">  </v>
      </c>
      <c r="W81" s="97" t="str">
        <f>IFERROR(INDEX('2'!C$300:C$400,MATCH("*"&amp;I81&amp;"*",'2'!B$300:B$400,0)),"  ")</f>
        <v xml:space="preserve">  </v>
      </c>
      <c r="X81" s="97" t="str">
        <f>IFERROR(INDEX('3'!C$300:C$400,MATCH("*"&amp;I81&amp;"*",'3'!B$300:B$400,0)),"  ")</f>
        <v xml:space="preserve">  </v>
      </c>
      <c r="Y81" s="97">
        <f>IFERROR(INDEX('4'!C$300:C$400,MATCH("*"&amp;I81&amp;"*",'4'!B$300:B$400,0)),"  ")</f>
        <v>2</v>
      </c>
      <c r="Z81" s="97" t="str">
        <f>IFERROR(INDEX('5'!C$300:C$400,MATCH("*"&amp;I81&amp;"*",'5'!B$300:B$400,0)),"  ")</f>
        <v xml:space="preserve">  </v>
      </c>
      <c r="AA81" s="97" t="str">
        <f>IFERROR(INDEX('6'!C$300:C$400,MATCH("*"&amp;I81&amp;"*",'6'!B$300:B$400,0)),"  ")</f>
        <v xml:space="preserve">  </v>
      </c>
      <c r="AB81" s="97" t="str">
        <f>IFERROR(INDEX('7'!C$300:C$400,MATCH("*"&amp;I81&amp;"*",'7'!B$300:B$400,0)),"  ")</f>
        <v xml:space="preserve">  </v>
      </c>
      <c r="AC81" s="97" t="str">
        <f>IFERROR(INDEX('8'!C$300:C$400,MATCH("*"&amp;I81&amp;"*",'8'!B$300:B$400,0)),"  ")</f>
        <v xml:space="preserve">  </v>
      </c>
      <c r="AD81" s="97" t="str">
        <f ca="1">IFERROR(INDEX('9'!C$300:C$400,MATCH("*"&amp;I81&amp;"*",'9'!B$300:B$400,0)),"  ")</f>
        <v xml:space="preserve">  </v>
      </c>
      <c r="AE81" s="97" t="str">
        <f>IFERROR(INDEX('10'!C$300:C$400,MATCH("*"&amp;I81&amp;"*",'10'!B$300:B$400,0)),"  ")</f>
        <v xml:space="preserve">  </v>
      </c>
      <c r="AF81" s="97">
        <f>IFERROR(INDEX('11'!C$300:C$400,MATCH("*"&amp;I81&amp;"*",'11'!B$300:B$400,0)),"  ")</f>
        <v>2</v>
      </c>
      <c r="AG81" s="294">
        <f t="shared" ca="1" si="44"/>
        <v>2</v>
      </c>
      <c r="AH81" s="794">
        <f t="shared" ca="1" si="45"/>
        <v>0</v>
      </c>
      <c r="AI81" s="796">
        <f t="shared" ca="1" si="46"/>
        <v>0</v>
      </c>
      <c r="AJ81" s="303">
        <f t="shared" ca="1" si="47"/>
        <v>0</v>
      </c>
      <c r="AK81" s="405">
        <f t="shared" si="48"/>
        <v>1E-4</v>
      </c>
      <c r="AL81" s="405">
        <f t="shared" ca="1" si="49"/>
        <v>2.0000000000000001E-4</v>
      </c>
      <c r="AM81" s="442">
        <f t="array" aca="1" ref="AM81" ca="1">MIN(IF(V$5:AF$5="ESMV",IF(V81:AF81="  ",FALSE,V81:AF81)+COLUMN(V:AF)/10000))</f>
        <v>2.3E-3</v>
      </c>
      <c r="AN81" s="405">
        <f t="shared" si="50"/>
        <v>2.9999999999999997E-4</v>
      </c>
    </row>
    <row r="82" spans="1:40" s="2" customFormat="1" ht="12.75" customHeight="1" x14ac:dyDescent="0.2">
      <c r="A82" s="328">
        <v>25</v>
      </c>
      <c r="B82" s="331">
        <f t="shared" ca="1" si="34"/>
        <v>25</v>
      </c>
      <c r="C82" s="329" t="str">
        <f t="shared" ca="1" si="35"/>
        <v>004,0-000000000B000D</v>
      </c>
      <c r="D82" s="907" t="s">
        <v>257</v>
      </c>
      <c r="E82" s="331" t="str">
        <f t="shared" si="36"/>
        <v/>
      </c>
      <c r="F82" s="330" t="str">
        <f t="shared" si="37"/>
        <v/>
      </c>
      <c r="G82" s="390">
        <f t="shared" ca="1" si="38"/>
        <v>72</v>
      </c>
      <c r="H82" s="906">
        <v>72</v>
      </c>
      <c r="I82" s="98" t="s">
        <v>33</v>
      </c>
      <c r="J82" s="800">
        <v>4</v>
      </c>
      <c r="K82" s="801">
        <f t="array" aca="1" ref="K82" ca="1">(IF(COUNT(V82,X82,AA82,AB82,AC82,AE82)&lt;4,SUM(V82,X82,AA82,AB82,AC82,AE82),SUM(LARGE((V82,X82,AA82,AB82,AC82,AE82),{1;2;3;4}))))+(IF(COUNT(W82,Y82,Z82,AD82,AF82)&lt;4,SUM(W82,Y82,Z82,AD82,AF82),SUM(LARGE((W82,Y82,Z82,AD82,AF82),{1;2;3;4}))))</f>
        <v>4</v>
      </c>
      <c r="L82" s="397" t="str">
        <f ca="1">INDEX(ETAPP!B$1:B$32,MATCH(COUNTIF(V82:AF82,PUNKTID!A$1),ETAPP!A$1:A$32,0))&amp;INDEX(ETAPP!B$1:B$32,MATCH(COUNTIF(V82:AF82,PUNKTID!A$2),ETAPP!A$1:A$32,0))&amp;INDEX(ETAPP!B$1:B$32,MATCH(COUNTIF(V82:AF82,PUNKTID!A$3),ETAPP!A$1:A$32,0))&amp;INDEX(ETAPP!B$1:B$32,MATCH(COUNTIF(V82:AF82,PUNKTID!A$4),ETAPP!A$1:A$32,0))&amp;INDEX(ETAPP!B$1:B$32,MATCH(COUNTIF(V82:AF82,PUNKTID!A$5),ETAPP!A$1:A$32,0))&amp;INDEX(ETAPP!B$1:B$32,MATCH(COUNTIF(V82:AF82,PUNKTID!A$6),ETAPP!A$1:A$32,0))&amp;INDEX(ETAPP!B$1:B$32,MATCH(COUNTIF(V82:AF82,PUNKTID!A$7),ETAPP!A$1:A$32,0))&amp;INDEX(ETAPP!B$1:B$32,MATCH(COUNTIF(V82:AF82,PUNKTID!A$8),ETAPP!A$1:A$32,0))&amp;INDEX(ETAPP!B$1:B$32,MATCH(COUNTIF(V82:AF82,PUNKTID!A$9),ETAPP!A$1:A$32,0))&amp;INDEX(ETAPP!B$1:B$32,MATCH(COUNTIF(V82:AF82,PUNKTID!A$10),ETAPP!A$1:A$32,0))&amp;INDEX(ETAPP!B$1:B$32,MATCH(COUNTIF(V82:AF82,PUNKTID!A$11),ETAPP!A$1:A$32,0))&amp;INDEX(ETAPP!B$1:B$32,MATCH(COUNTIF(V82:AF82,PUNKTID!A$12),ETAPP!A$1:A$32,0))&amp;INDEX(ETAPP!B$1:B$32,MATCH(COUNTIF(V82:AF82,PUNKTID!A$13),ETAPP!A$1:A$32,0))&amp;INDEX(ETAPP!B$1:B$32,MATCH(COUNTIF(V82:AF82,PUNKTID!A$14),ETAPP!A$1:A$32,0))</f>
        <v>000000000B000D</v>
      </c>
      <c r="M82" s="397" t="str">
        <f t="shared" ca="1" si="39"/>
        <v>004,0-000000000B000D</v>
      </c>
      <c r="N82" s="320">
        <f t="shared" ca="1" si="40"/>
        <v>74</v>
      </c>
      <c r="O82" s="320">
        <f t="shared" si="41"/>
        <v>7</v>
      </c>
      <c r="P82" s="397" t="str">
        <f t="shared" ca="1" si="42"/>
        <v>004,0-000000000B000D-007</v>
      </c>
      <c r="Q82" s="320">
        <f t="shared" ca="1" si="43"/>
        <v>26</v>
      </c>
      <c r="R82" s="328" t="s">
        <v>562</v>
      </c>
      <c r="S82" s="380"/>
      <c r="T82" s="400"/>
      <c r="U82" s="559"/>
      <c r="V82" s="97" t="str">
        <f>IFERROR(INDEX('1'!C$300:C$400,MATCH("*"&amp;I82&amp;"*",'1'!B$300:B$400,0)),"  ")</f>
        <v xml:space="preserve">  </v>
      </c>
      <c r="W82" s="97">
        <f>IFERROR(INDEX('2'!C$300:C$400,MATCH("*"&amp;I82&amp;"*",'2'!B$300:B$400,0)),"  ")</f>
        <v>2</v>
      </c>
      <c r="X82" s="97" t="str">
        <f>IFERROR(INDEX('3'!C$300:C$400,MATCH("*"&amp;I82&amp;"*",'3'!B$300:B$400,0)),"  ")</f>
        <v xml:space="preserve">  </v>
      </c>
      <c r="Y82" s="97" t="str">
        <f>IFERROR(INDEX('4'!C$300:C$400,MATCH("*"&amp;I82&amp;"*",'4'!B$300:B$400,0)),"  ")</f>
        <v xml:space="preserve">  </v>
      </c>
      <c r="Z82" s="97" t="str">
        <f>IFERROR(INDEX('5'!C$300:C$400,MATCH("*"&amp;I82&amp;"*",'5'!B$300:B$400,0)),"  ")</f>
        <v xml:space="preserve">  </v>
      </c>
      <c r="AA82" s="97" t="str">
        <f>IFERROR(INDEX('6'!C$300:C$400,MATCH("*"&amp;I82&amp;"*",'6'!B$300:B$400,0)),"  ")</f>
        <v xml:space="preserve">  </v>
      </c>
      <c r="AB82" s="97" t="str">
        <f>IFERROR(INDEX('7'!C$300:C$400,MATCH("*"&amp;I82&amp;"*",'7'!B$300:B$400,0)),"  ")</f>
        <v xml:space="preserve">  </v>
      </c>
      <c r="AC82" s="97" t="str">
        <f>IFERROR(INDEX('8'!C$300:C$400,MATCH("*"&amp;I82&amp;"*",'8'!B$300:B$400,0)),"  ")</f>
        <v xml:space="preserve">  </v>
      </c>
      <c r="AD82" s="97" t="str">
        <f ca="1">IFERROR(INDEX('9'!C$300:C$400,MATCH("*"&amp;I82&amp;"*",'9'!B$300:B$400,0)),"  ")</f>
        <v xml:space="preserve">  </v>
      </c>
      <c r="AE82" s="97" t="str">
        <f>IFERROR(INDEX('10'!C$300:C$400,MATCH("*"&amp;I82&amp;"*",'10'!B$300:B$400,0)),"  ")</f>
        <v xml:space="preserve">  </v>
      </c>
      <c r="AF82" s="97">
        <f>IFERROR(INDEX('11'!C$300:C$400,MATCH("*"&amp;I82&amp;"*",'11'!B$300:B$400,0)),"  ")</f>
        <v>2</v>
      </c>
      <c r="AG82" s="294">
        <f t="shared" ca="1" si="44"/>
        <v>2</v>
      </c>
      <c r="AH82" s="794">
        <f t="shared" ca="1" si="45"/>
        <v>0</v>
      </c>
      <c r="AI82" s="796">
        <f t="shared" ca="1" si="46"/>
        <v>0</v>
      </c>
      <c r="AJ82" s="303">
        <f t="shared" ca="1" si="47"/>
        <v>0</v>
      </c>
      <c r="AK82" s="405">
        <f t="shared" si="48"/>
        <v>1E-4</v>
      </c>
      <c r="AL82" s="405">
        <f t="shared" ca="1" si="49"/>
        <v>4.0000000000000002E-4</v>
      </c>
      <c r="AM82" s="442">
        <f t="array" aca="1" ref="AM82" ca="1">MIN(IF(V$5:AF$5="ESMV",IF(V82:AF82="  ",FALSE,V82:AF82)+COLUMN(V:AF)/10000))</f>
        <v>2.5000000000000001E-3</v>
      </c>
      <c r="AN82" s="405">
        <f t="shared" si="50"/>
        <v>2.9999999999999997E-4</v>
      </c>
    </row>
    <row r="83" spans="1:40" s="2" customFormat="1" ht="12.75" customHeight="1" x14ac:dyDescent="0.2">
      <c r="A83" s="328" t="s">
        <v>257</v>
      </c>
      <c r="B83" s="331" t="str">
        <f t="shared" si="34"/>
        <v/>
      </c>
      <c r="C83" s="329" t="str">
        <f t="shared" si="35"/>
        <v/>
      </c>
      <c r="D83" s="907" t="s">
        <v>257</v>
      </c>
      <c r="E83" s="331" t="str">
        <f t="shared" si="36"/>
        <v/>
      </c>
      <c r="F83" s="330" t="str">
        <f t="shared" si="37"/>
        <v/>
      </c>
      <c r="G83" s="390">
        <f t="shared" ca="1" si="38"/>
        <v>75</v>
      </c>
      <c r="H83" s="906">
        <v>75</v>
      </c>
      <c r="I83" s="98" t="s">
        <v>45</v>
      </c>
      <c r="J83" s="800">
        <v>3.5</v>
      </c>
      <c r="K83" s="801">
        <f t="array" aca="1" ref="K83" ca="1">(IF(COUNT(V83,X83,AA83,AB83,AC83,AE83)&lt;4,SUM(V83,X83,AA83,AB83,AC83,AE83),SUM(LARGE((V83,X83,AA83,AB83,AC83,AE83),{1;2;3;4}))))+(IF(COUNT(W83,Y83,Z83,AD83,AF83)&lt;4,SUM(W83,Y83,Z83,AD83,AF83),SUM(LARGE((W83,Y83,Z83,AD83,AF83),{1;2;3;4}))))</f>
        <v>3.5</v>
      </c>
      <c r="L83" s="397" t="str">
        <f ca="1">INDEX(ETAPP!B$1:B$32,MATCH(COUNTIF(V83:AF83,PUNKTID!A$1),ETAPP!A$1:A$32,0))&amp;INDEX(ETAPP!B$1:B$32,MATCH(COUNTIF(V83:AF83,PUNKTID!A$2),ETAPP!A$1:A$32,0))&amp;INDEX(ETAPP!B$1:B$32,MATCH(COUNTIF(V83:AF83,PUNKTID!A$3),ETAPP!A$1:A$32,0))&amp;INDEX(ETAPP!B$1:B$32,MATCH(COUNTIF(V83:AF83,PUNKTID!A$4),ETAPP!A$1:A$32,0))&amp;INDEX(ETAPP!B$1:B$32,MATCH(COUNTIF(V83:AF83,PUNKTID!A$5),ETAPP!A$1:A$32,0))&amp;INDEX(ETAPP!B$1:B$32,MATCH(COUNTIF(V83:AF83,PUNKTID!A$6),ETAPP!A$1:A$32,0))&amp;INDEX(ETAPP!B$1:B$32,MATCH(COUNTIF(V83:AF83,PUNKTID!A$7),ETAPP!A$1:A$32,0))&amp;INDEX(ETAPP!B$1:B$32,MATCH(COUNTIF(V83:AF83,PUNKTID!A$8),ETAPP!A$1:A$32,0))&amp;INDEX(ETAPP!B$1:B$32,MATCH(COUNTIF(V83:AF83,PUNKTID!A$9),ETAPP!A$1:A$32,0))&amp;INDEX(ETAPP!B$1:B$32,MATCH(COUNTIF(V83:AF83,PUNKTID!A$10),ETAPP!A$1:A$32,0))&amp;INDEX(ETAPP!B$1:B$32,MATCH(COUNTIF(V83:AF83,PUNKTID!A$11),ETAPP!A$1:A$32,0))&amp;INDEX(ETAPP!B$1:B$32,MATCH(COUNTIF(V83:AF83,PUNKTID!A$12),ETAPP!A$1:A$32,0))&amp;INDEX(ETAPP!B$1:B$32,MATCH(COUNTIF(V83:AF83,PUNKTID!A$13),ETAPP!A$1:A$32,0))&amp;INDEX(ETAPP!B$1:B$32,MATCH(COUNTIF(V83:AF83,PUNKTID!A$14),ETAPP!A$1:A$32,0))</f>
        <v>000000000AA00D</v>
      </c>
      <c r="M83" s="397" t="str">
        <f t="shared" ca="1" si="39"/>
        <v>003,5-000000000AA00D</v>
      </c>
      <c r="N83" s="320">
        <f t="shared" ca="1" si="40"/>
        <v>75</v>
      </c>
      <c r="O83" s="320">
        <f t="shared" si="41"/>
        <v>17</v>
      </c>
      <c r="P83" s="397" t="str">
        <f t="shared" ca="1" si="42"/>
        <v>003,5-000000000AA00D-017</v>
      </c>
      <c r="Q83" s="320">
        <f t="shared" ca="1" si="43"/>
        <v>25</v>
      </c>
      <c r="R83" s="328"/>
      <c r="S83" s="380"/>
      <c r="T83" s="400"/>
      <c r="U83" s="559"/>
      <c r="V83" s="97" t="str">
        <f>IFERROR(INDEX('1'!C$300:C$400,MATCH("*"&amp;I83&amp;"*",'1'!B$300:B$400,0)),"  ")</f>
        <v xml:space="preserve">  </v>
      </c>
      <c r="W83" s="97">
        <f>IFERROR(INDEX('2'!C$300:C$400,MATCH("*"&amp;I83&amp;"*",'2'!B$300:B$400,0)),"  ")</f>
        <v>2</v>
      </c>
      <c r="X83" s="380">
        <f>IFERROR(INDEX('3'!C$300:C$400,MATCH("*"&amp;I83&amp;"*",'3'!B$300:B$400,0)),"  ")</f>
        <v>1.5</v>
      </c>
      <c r="Y83" s="97" t="str">
        <f>IFERROR(INDEX('4'!C$300:C$400,MATCH("*"&amp;I83&amp;"*",'4'!B$300:B$400,0)),"  ")</f>
        <v xml:space="preserve">  </v>
      </c>
      <c r="Z83" s="97" t="str">
        <f>IFERROR(INDEX('5'!C$300:C$400,MATCH("*"&amp;I83&amp;"*",'5'!B$300:B$400,0)),"  ")</f>
        <v xml:space="preserve">  </v>
      </c>
      <c r="AA83" s="97" t="str">
        <f>IFERROR(INDEX('6'!C$300:C$400,MATCH("*"&amp;I83&amp;"*",'6'!B$300:B$400,0)),"  ")</f>
        <v xml:space="preserve">  </v>
      </c>
      <c r="AB83" s="97" t="str">
        <f>IFERROR(INDEX('7'!C$300:C$400,MATCH("*"&amp;I83&amp;"*",'7'!B$300:B$400,0)),"  ")</f>
        <v xml:space="preserve">  </v>
      </c>
      <c r="AC83" s="97" t="str">
        <f>IFERROR(INDEX('8'!C$300:C$400,MATCH("*"&amp;I83&amp;"*",'8'!B$300:B$400,0)),"  ")</f>
        <v xml:space="preserve">  </v>
      </c>
      <c r="AD83" s="97" t="str">
        <f ca="1">IFERROR(INDEX('9'!C$300:C$400,MATCH("*"&amp;I83&amp;"*",'9'!B$300:B$400,0)),"  ")</f>
        <v xml:space="preserve">  </v>
      </c>
      <c r="AE83" s="97" t="str">
        <f>IFERROR(INDEX('10'!C$300:C$400,MATCH("*"&amp;I83&amp;"*",'10'!B$300:B$400,0)),"  ")</f>
        <v xml:space="preserve">  </v>
      </c>
      <c r="AF83" s="97" t="str">
        <f>IFERROR(INDEX('11'!C$300:C$400,MATCH("*"&amp;I83&amp;"*",'11'!B$300:B$400,0)),"  ")</f>
        <v xml:space="preserve">  </v>
      </c>
      <c r="AG83" s="294">
        <f t="shared" ca="1" si="44"/>
        <v>2</v>
      </c>
      <c r="AH83" s="794">
        <f t="shared" ca="1" si="45"/>
        <v>0</v>
      </c>
      <c r="AI83" s="796">
        <f t="shared" ca="1" si="46"/>
        <v>0</v>
      </c>
      <c r="AJ83" s="303">
        <f t="shared" ca="1" si="47"/>
        <v>0</v>
      </c>
      <c r="AK83" s="405">
        <f t="shared" si="48"/>
        <v>1E-4</v>
      </c>
      <c r="AL83" s="405">
        <f t="shared" ca="1" si="49"/>
        <v>4.0000000000000002E-4</v>
      </c>
      <c r="AM83" s="442">
        <f t="array" aca="1" ref="AM83" ca="1">MIN(IF(V$5:AF$5="ESMV",IF(V83:AF83="  ",FALSE,V83:AF83)+COLUMN(V:AF)/10000))</f>
        <v>2.5000000000000001E-3</v>
      </c>
      <c r="AN83" s="405">
        <f t="shared" si="50"/>
        <v>5.9999999999999995E-4</v>
      </c>
    </row>
    <row r="84" spans="1:40" s="2" customFormat="1" ht="12.75" customHeight="1" x14ac:dyDescent="0.2">
      <c r="A84" s="328" t="s">
        <v>257</v>
      </c>
      <c r="B84" s="331" t="str">
        <f t="shared" si="34"/>
        <v/>
      </c>
      <c r="C84" s="329" t="str">
        <f t="shared" si="35"/>
        <v/>
      </c>
      <c r="D84" s="907" t="s">
        <v>257</v>
      </c>
      <c r="E84" s="331" t="str">
        <f t="shared" si="36"/>
        <v/>
      </c>
      <c r="F84" s="330" t="str">
        <f t="shared" si="37"/>
        <v/>
      </c>
      <c r="G84" s="390">
        <f t="shared" ca="1" si="38"/>
        <v>76</v>
      </c>
      <c r="H84" s="76">
        <v>76</v>
      </c>
      <c r="I84" s="98" t="s">
        <v>191</v>
      </c>
      <c r="J84" s="800">
        <v>3</v>
      </c>
      <c r="K84" s="801">
        <f t="array" aca="1" ref="K84" ca="1">(IF(COUNT(V84,X84,AA84,AB84,AC84,AE84)&lt;4,SUM(V84,X84,AA84,AB84,AC84,AE84),SUM(LARGE((V84,X84,AA84,AB84,AC84,AE84),{1;2;3;4}))))+(IF(COUNT(W84,Y84,Z84,AD84,AF84)&lt;4,SUM(W84,Y84,Z84,AD84,AF84),SUM(LARGE((W84,Y84,Z84,AD84,AF84),{1;2;3;4}))))</f>
        <v>3</v>
      </c>
      <c r="L84" s="397" t="str">
        <f ca="1">INDEX(ETAPP!B$1:B$32,MATCH(COUNTIF(V84:AF84,PUNKTID!A$1),ETAPP!A$1:A$32,0))&amp;INDEX(ETAPP!B$1:B$32,MATCH(COUNTIF(V84:AF84,PUNKTID!A$2),ETAPP!A$1:A$32,0))&amp;INDEX(ETAPP!B$1:B$32,MATCH(COUNTIF(V84:AF84,PUNKTID!A$3),ETAPP!A$1:A$32,0))&amp;INDEX(ETAPP!B$1:B$32,MATCH(COUNTIF(V84:AF84,PUNKTID!A$4),ETAPP!A$1:A$32,0))&amp;INDEX(ETAPP!B$1:B$32,MATCH(COUNTIF(V84:AF84,PUNKTID!A$5),ETAPP!A$1:A$32,0))&amp;INDEX(ETAPP!B$1:B$32,MATCH(COUNTIF(V84:AF84,PUNKTID!A$6),ETAPP!A$1:A$32,0))&amp;INDEX(ETAPP!B$1:B$32,MATCH(COUNTIF(V84:AF84,PUNKTID!A$7),ETAPP!A$1:A$32,0))&amp;INDEX(ETAPP!B$1:B$32,MATCH(COUNTIF(V84:AF84,PUNKTID!A$8),ETAPP!A$1:A$32,0))&amp;INDEX(ETAPP!B$1:B$32,MATCH(COUNTIF(V84:AF84,PUNKTID!A$9),ETAPP!A$1:A$32,0))&amp;INDEX(ETAPP!B$1:B$32,MATCH(COUNTIF(V84:AF84,PUNKTID!A$10),ETAPP!A$1:A$32,0))&amp;INDEX(ETAPP!B$1:B$32,MATCH(COUNTIF(V84:AF84,PUNKTID!A$11),ETAPP!A$1:A$32,0))&amp;INDEX(ETAPP!B$1:B$32,MATCH(COUNTIF(V84:AF84,PUNKTID!A$12),ETAPP!A$1:A$32,0))&amp;INDEX(ETAPP!B$1:B$32,MATCH(COUNTIF(V84:AF84,PUNKTID!A$13),ETAPP!A$1:A$32,0))&amp;INDEX(ETAPP!B$1:B$32,MATCH(COUNTIF(V84:AF84,PUNKTID!A$14),ETAPP!A$1:A$32,0))</f>
        <v>000000000A0A0D</v>
      </c>
      <c r="M84" s="397" t="str">
        <f t="shared" ca="1" si="39"/>
        <v>003,0-000000000A0A0D</v>
      </c>
      <c r="N84" s="320">
        <f t="shared" ca="1" si="40"/>
        <v>81</v>
      </c>
      <c r="O84" s="320">
        <f t="shared" si="41"/>
        <v>84</v>
      </c>
      <c r="P84" s="397" t="str">
        <f t="shared" ca="1" si="42"/>
        <v>003,0-000000000A0A0D-084</v>
      </c>
      <c r="Q84" s="320">
        <f t="shared" ca="1" si="43"/>
        <v>24</v>
      </c>
      <c r="R84" s="328"/>
      <c r="S84" s="380"/>
      <c r="T84" s="400"/>
      <c r="U84" s="559"/>
      <c r="V84" s="97" t="str">
        <f>IFERROR(INDEX('1'!C$300:C$400,MATCH("*"&amp;I84&amp;"*",'1'!B$300:B$400,0)),"  ")</f>
        <v xml:space="preserve">  </v>
      </c>
      <c r="W84" s="97" t="str">
        <f>IFERROR(INDEX('2'!C$300:C$400,MATCH("*"&amp;I84&amp;"*",'2'!B$300:B$400,0)),"  ")</f>
        <v xml:space="preserve">  </v>
      </c>
      <c r="X84" s="97">
        <f>IFERROR(INDEX('3'!C$300:C$400,MATCH("*"&amp;I84&amp;"*",'3'!B$300:B$400,0)),"  ")</f>
        <v>1</v>
      </c>
      <c r="Y84" s="97" t="str">
        <f>IFERROR(INDEX('4'!C$300:C$400,MATCH("*"&amp;I84&amp;"*",'4'!B$300:B$400,0)),"  ")</f>
        <v xml:space="preserve">  </v>
      </c>
      <c r="Z84" s="97" t="str">
        <f>IFERROR(INDEX('5'!C$300:C$400,MATCH("*"&amp;I84&amp;"*",'5'!B$300:B$400,0)),"  ")</f>
        <v xml:space="preserve">  </v>
      </c>
      <c r="AA84" s="97" t="str">
        <f>IFERROR(INDEX('6'!C$300:C$400,MATCH("*"&amp;I84&amp;"*",'6'!B$300:B$400,0)),"  ")</f>
        <v xml:space="preserve">  </v>
      </c>
      <c r="AB84" s="97" t="str">
        <f>IFERROR(INDEX('7'!C$300:C$400,MATCH("*"&amp;I84&amp;"*",'7'!B$300:B$400,0)),"  ")</f>
        <v xml:space="preserve">  </v>
      </c>
      <c r="AC84" s="97" t="str">
        <f>IFERROR(INDEX('8'!C$300:C$400,MATCH("*"&amp;I84&amp;"*",'8'!B$300:B$400,0)),"  ")</f>
        <v xml:space="preserve">  </v>
      </c>
      <c r="AD84" s="97">
        <f ca="1">IFERROR(INDEX('9'!C$300:C$400,MATCH("*"&amp;I84&amp;"*",'9'!B$300:B$400,0)),"  ")</f>
        <v>2</v>
      </c>
      <c r="AE84" s="97" t="str">
        <f>IFERROR(INDEX('10'!C$300:C$400,MATCH("*"&amp;I84&amp;"*",'10'!B$300:B$400,0)),"  ")</f>
        <v xml:space="preserve">  </v>
      </c>
      <c r="AF84" s="97" t="str">
        <f>IFERROR(INDEX('11'!C$300:C$400,MATCH("*"&amp;I84&amp;"*",'11'!B$300:B$400,0)),"  ")</f>
        <v xml:space="preserve">  </v>
      </c>
      <c r="AG84" s="294">
        <f t="shared" ca="1" si="44"/>
        <v>2</v>
      </c>
      <c r="AH84" s="794">
        <f t="shared" ca="1" si="45"/>
        <v>0</v>
      </c>
      <c r="AI84" s="796">
        <f t="shared" ca="1" si="46"/>
        <v>0</v>
      </c>
      <c r="AJ84" s="303">
        <f t="shared" ca="1" si="47"/>
        <v>0</v>
      </c>
      <c r="AK84" s="405">
        <f t="shared" si="48"/>
        <v>1E-4</v>
      </c>
      <c r="AL84" s="405">
        <f t="shared" ca="1" si="49"/>
        <v>2.0000000000000001E-4</v>
      </c>
      <c r="AM84" s="442">
        <f t="array" aca="1" ref="AM84" ca="1">MIN(IF(V$5:AF$5="ESMV",IF(V84:AF84="  ",FALSE,V84:AF84)+COLUMN(V:AF)/10000))</f>
        <v>2.3E-3</v>
      </c>
      <c r="AN84" s="405">
        <f t="shared" si="50"/>
        <v>5.9999999999999995E-4</v>
      </c>
    </row>
    <row r="85" spans="1:40" s="2" customFormat="1" ht="12.75" customHeight="1" x14ac:dyDescent="0.2">
      <c r="A85" s="328" t="s">
        <v>257</v>
      </c>
      <c r="B85" s="331" t="str">
        <f t="shared" si="34"/>
        <v/>
      </c>
      <c r="C85" s="329" t="str">
        <f t="shared" si="35"/>
        <v/>
      </c>
      <c r="D85" s="907">
        <v>3</v>
      </c>
      <c r="E85" s="331">
        <f t="shared" ca="1" si="36"/>
        <v>3</v>
      </c>
      <c r="F85" s="330" t="str">
        <f t="shared" ca="1" si="37"/>
        <v>003,0-000000000A0A0D</v>
      </c>
      <c r="G85" s="390">
        <f t="shared" ca="1" si="38"/>
        <v>76</v>
      </c>
      <c r="H85" s="76">
        <v>76</v>
      </c>
      <c r="I85" s="98" t="s">
        <v>190</v>
      </c>
      <c r="J85" s="800">
        <v>3</v>
      </c>
      <c r="K85" s="801">
        <f t="array" aca="1" ref="K85" ca="1">(IF(COUNT(V85,X85,AA85,AB85,AC85,AE85)&lt;4,SUM(V85,X85,AA85,AB85,AC85,AE85),SUM(LARGE((V85,X85,AA85,AB85,AC85,AE85),{1;2;3;4}))))+(IF(COUNT(W85,Y85,Z85,AD85,AF85)&lt;4,SUM(W85,Y85,Z85,AD85,AF85),SUM(LARGE((W85,Y85,Z85,AD85,AF85),{1;2;3;4}))))</f>
        <v>3</v>
      </c>
      <c r="L85" s="397" t="str">
        <f ca="1">INDEX(ETAPP!B$1:B$32,MATCH(COUNTIF(V85:AF85,PUNKTID!A$1),ETAPP!A$1:A$32,0))&amp;INDEX(ETAPP!B$1:B$32,MATCH(COUNTIF(V85:AF85,PUNKTID!A$2),ETAPP!A$1:A$32,0))&amp;INDEX(ETAPP!B$1:B$32,MATCH(COUNTIF(V85:AF85,PUNKTID!A$3),ETAPP!A$1:A$32,0))&amp;INDEX(ETAPP!B$1:B$32,MATCH(COUNTIF(V85:AF85,PUNKTID!A$4),ETAPP!A$1:A$32,0))&amp;INDEX(ETAPP!B$1:B$32,MATCH(COUNTIF(V85:AF85,PUNKTID!A$5),ETAPP!A$1:A$32,0))&amp;INDEX(ETAPP!B$1:B$32,MATCH(COUNTIF(V85:AF85,PUNKTID!A$6),ETAPP!A$1:A$32,0))&amp;INDEX(ETAPP!B$1:B$32,MATCH(COUNTIF(V85:AF85,PUNKTID!A$7),ETAPP!A$1:A$32,0))&amp;INDEX(ETAPP!B$1:B$32,MATCH(COUNTIF(V85:AF85,PUNKTID!A$8),ETAPP!A$1:A$32,0))&amp;INDEX(ETAPP!B$1:B$32,MATCH(COUNTIF(V85:AF85,PUNKTID!A$9),ETAPP!A$1:A$32,0))&amp;INDEX(ETAPP!B$1:B$32,MATCH(COUNTIF(V85:AF85,PUNKTID!A$10),ETAPP!A$1:A$32,0))&amp;INDEX(ETAPP!B$1:B$32,MATCH(COUNTIF(V85:AF85,PUNKTID!A$11),ETAPP!A$1:A$32,0))&amp;INDEX(ETAPP!B$1:B$32,MATCH(COUNTIF(V85:AF85,PUNKTID!A$12),ETAPP!A$1:A$32,0))&amp;INDEX(ETAPP!B$1:B$32,MATCH(COUNTIF(V85:AF85,PUNKTID!A$13),ETAPP!A$1:A$32,0))&amp;INDEX(ETAPP!B$1:B$32,MATCH(COUNTIF(V85:AF85,PUNKTID!A$14),ETAPP!A$1:A$32,0))</f>
        <v>000000000A0A0D</v>
      </c>
      <c r="M85" s="397" t="str">
        <f t="shared" ca="1" si="39"/>
        <v>003,0-000000000A0A0D</v>
      </c>
      <c r="N85" s="320">
        <f t="shared" ca="1" si="40"/>
        <v>81</v>
      </c>
      <c r="O85" s="320">
        <f t="shared" si="41"/>
        <v>77</v>
      </c>
      <c r="P85" s="397" t="str">
        <f t="shared" ca="1" si="42"/>
        <v>003,0-000000000A0A0D-077</v>
      </c>
      <c r="Q85" s="320">
        <f t="shared" ca="1" si="43"/>
        <v>23</v>
      </c>
      <c r="R85" s="328"/>
      <c r="S85" s="380" t="s">
        <v>563</v>
      </c>
      <c r="T85" s="400"/>
      <c r="U85" s="559"/>
      <c r="V85" s="97" t="str">
        <f>IFERROR(INDEX('1'!C$300:C$400,MATCH("*"&amp;I85&amp;"*",'1'!B$300:B$400,0)),"  ")</f>
        <v xml:space="preserve">  </v>
      </c>
      <c r="W85" s="97">
        <f>IFERROR(INDEX('2'!C$300:C$400,MATCH("*"&amp;I85&amp;"*",'2'!B$300:B$400,0)),"  ")</f>
        <v>2</v>
      </c>
      <c r="X85" s="97">
        <f>IFERROR(INDEX('3'!C$300:C$400,MATCH("*"&amp;I85&amp;"*",'3'!B$300:B$400,0)),"  ")</f>
        <v>1</v>
      </c>
      <c r="Y85" s="97" t="str">
        <f>IFERROR(INDEX('4'!C$300:C$400,MATCH("*"&amp;I85&amp;"*",'4'!B$300:B$400,0)),"  ")</f>
        <v xml:space="preserve">  </v>
      </c>
      <c r="Z85" s="97" t="str">
        <f>IFERROR(INDEX('5'!C$300:C$400,MATCH("*"&amp;I85&amp;"*",'5'!B$300:B$400,0)),"  ")</f>
        <v xml:space="preserve">  </v>
      </c>
      <c r="AA85" s="97" t="str">
        <f>IFERROR(INDEX('6'!C$300:C$400,MATCH("*"&amp;I85&amp;"*",'6'!B$300:B$400,0)),"  ")</f>
        <v xml:space="preserve">  </v>
      </c>
      <c r="AB85" s="97" t="str">
        <f>IFERROR(INDEX('7'!C$300:C$400,MATCH("*"&amp;I85&amp;"*",'7'!B$300:B$400,0)),"  ")</f>
        <v xml:space="preserve">  </v>
      </c>
      <c r="AC85" s="97" t="str">
        <f>IFERROR(INDEX('8'!C$300:C$400,MATCH("*"&amp;I85&amp;"*",'8'!B$300:B$400,0)),"  ")</f>
        <v xml:space="preserve">  </v>
      </c>
      <c r="AD85" s="97" t="str">
        <f ca="1">IFERROR(INDEX('9'!C$300:C$400,MATCH("*"&amp;I85&amp;"*",'9'!B$300:B$400,0)),"  ")</f>
        <v xml:space="preserve">  </v>
      </c>
      <c r="AE85" s="97" t="str">
        <f>IFERROR(INDEX('10'!C$300:C$400,MATCH("*"&amp;I85&amp;"*",'10'!B$300:B$400,0)),"  ")</f>
        <v xml:space="preserve">  </v>
      </c>
      <c r="AF85" s="97" t="str">
        <f>IFERROR(INDEX('11'!C$300:C$400,MATCH("*"&amp;I85&amp;"*",'11'!B$300:B$400,0)),"  ")</f>
        <v xml:space="preserve">  </v>
      </c>
      <c r="AG85" s="294">
        <f t="shared" ca="1" si="44"/>
        <v>2</v>
      </c>
      <c r="AH85" s="794">
        <f t="shared" ca="1" si="45"/>
        <v>0</v>
      </c>
      <c r="AI85" s="796">
        <f t="shared" ca="1" si="46"/>
        <v>0</v>
      </c>
      <c r="AJ85" s="303">
        <f t="shared" ca="1" si="47"/>
        <v>0</v>
      </c>
      <c r="AK85" s="405">
        <f t="shared" si="48"/>
        <v>1E-4</v>
      </c>
      <c r="AL85" s="405">
        <f t="shared" ca="1" si="49"/>
        <v>4.0000000000000002E-4</v>
      </c>
      <c r="AM85" s="442">
        <f t="array" aca="1" ref="AM85" ca="1">MIN(IF(V$5:AF$5="ESMV",IF(V85:AF85="  ",FALSE,V85:AF85)+COLUMN(V:AF)/10000))</f>
        <v>2.5000000000000001E-3</v>
      </c>
      <c r="AN85" s="405">
        <f t="shared" si="50"/>
        <v>5.9999999999999995E-4</v>
      </c>
    </row>
    <row r="86" spans="1:40" s="2" customFormat="1" ht="12.75" customHeight="1" x14ac:dyDescent="0.2">
      <c r="A86" s="328">
        <v>26</v>
      </c>
      <c r="B86" s="331">
        <f t="shared" ca="1" si="34"/>
        <v>26</v>
      </c>
      <c r="C86" s="329" t="str">
        <f t="shared" ca="1" si="35"/>
        <v>003,0-000000000A0A0D</v>
      </c>
      <c r="D86" s="907" t="s">
        <v>257</v>
      </c>
      <c r="E86" s="331" t="str">
        <f t="shared" si="36"/>
        <v/>
      </c>
      <c r="F86" s="330" t="str">
        <f t="shared" si="37"/>
        <v/>
      </c>
      <c r="G86" s="390">
        <f t="shared" ca="1" si="38"/>
        <v>76</v>
      </c>
      <c r="H86" s="76">
        <v>76</v>
      </c>
      <c r="I86" s="98" t="s">
        <v>249</v>
      </c>
      <c r="J86" s="800">
        <v>3</v>
      </c>
      <c r="K86" s="801">
        <f t="array" aca="1" ref="K86" ca="1">(IF(COUNT(V86,X86,AA86,AB86,AC86,AE86)&lt;4,SUM(V86,X86,AA86,AB86,AC86,AE86),SUM(LARGE((V86,X86,AA86,AB86,AC86,AE86),{1;2;3;4}))))+(IF(COUNT(W86,Y86,Z86,AD86,AF86)&lt;4,SUM(W86,Y86,Z86,AD86,AF86),SUM(LARGE((W86,Y86,Z86,AD86,AF86),{1;2;3;4}))))</f>
        <v>3</v>
      </c>
      <c r="L86" s="397" t="str">
        <f ca="1">INDEX(ETAPP!B$1:B$32,MATCH(COUNTIF(V86:AF86,PUNKTID!A$1),ETAPP!A$1:A$32,0))&amp;INDEX(ETAPP!B$1:B$32,MATCH(COUNTIF(V86:AF86,PUNKTID!A$2),ETAPP!A$1:A$32,0))&amp;INDEX(ETAPP!B$1:B$32,MATCH(COUNTIF(V86:AF86,PUNKTID!A$3),ETAPP!A$1:A$32,0))&amp;INDEX(ETAPP!B$1:B$32,MATCH(COUNTIF(V86:AF86,PUNKTID!A$4),ETAPP!A$1:A$32,0))&amp;INDEX(ETAPP!B$1:B$32,MATCH(COUNTIF(V86:AF86,PUNKTID!A$5),ETAPP!A$1:A$32,0))&amp;INDEX(ETAPP!B$1:B$32,MATCH(COUNTIF(V86:AF86,PUNKTID!A$6),ETAPP!A$1:A$32,0))&amp;INDEX(ETAPP!B$1:B$32,MATCH(COUNTIF(V86:AF86,PUNKTID!A$7),ETAPP!A$1:A$32,0))&amp;INDEX(ETAPP!B$1:B$32,MATCH(COUNTIF(V86:AF86,PUNKTID!A$8),ETAPP!A$1:A$32,0))&amp;INDEX(ETAPP!B$1:B$32,MATCH(COUNTIF(V86:AF86,PUNKTID!A$9),ETAPP!A$1:A$32,0))&amp;INDEX(ETAPP!B$1:B$32,MATCH(COUNTIF(V86:AF86,PUNKTID!A$10),ETAPP!A$1:A$32,0))&amp;INDEX(ETAPP!B$1:B$32,MATCH(COUNTIF(V86:AF86,PUNKTID!A$11),ETAPP!A$1:A$32,0))&amp;INDEX(ETAPP!B$1:B$32,MATCH(COUNTIF(V86:AF86,PUNKTID!A$12),ETAPP!A$1:A$32,0))&amp;INDEX(ETAPP!B$1:B$32,MATCH(COUNTIF(V86:AF86,PUNKTID!A$13),ETAPP!A$1:A$32,0))&amp;INDEX(ETAPP!B$1:B$32,MATCH(COUNTIF(V86:AF86,PUNKTID!A$14),ETAPP!A$1:A$32,0))</f>
        <v>000000000A0A0D</v>
      </c>
      <c r="M86" s="397" t="str">
        <f t="shared" ca="1" si="39"/>
        <v>003,0-000000000A0A0D</v>
      </c>
      <c r="N86" s="320">
        <f t="shared" ca="1" si="40"/>
        <v>81</v>
      </c>
      <c r="O86" s="320">
        <f t="shared" si="41"/>
        <v>56</v>
      </c>
      <c r="P86" s="397" t="str">
        <f t="shared" ca="1" si="42"/>
        <v>003,0-000000000A0A0D-056</v>
      </c>
      <c r="Q86" s="320">
        <f t="shared" ca="1" si="43"/>
        <v>22</v>
      </c>
      <c r="R86" s="328" t="s">
        <v>562</v>
      </c>
      <c r="S86" s="380"/>
      <c r="T86" s="400"/>
      <c r="U86" s="559"/>
      <c r="V86" s="97" t="str">
        <f>IFERROR(INDEX('1'!C$300:C$400,MATCH("*"&amp;I86&amp;"*",'1'!B$300:B$400,0)),"  ")</f>
        <v xml:space="preserve">  </v>
      </c>
      <c r="W86" s="97" t="str">
        <f>IFERROR(INDEX('2'!C$300:C$400,MATCH("*"&amp;I86&amp;"*",'2'!B$300:B$400,0)),"  ")</f>
        <v xml:space="preserve">  </v>
      </c>
      <c r="X86" s="97">
        <f>IFERROR(INDEX('3'!C$300:C$400,MATCH("*"&amp;I86&amp;"*",'3'!B$300:B$400,0)),"  ")</f>
        <v>1</v>
      </c>
      <c r="Y86" s="97">
        <f>IFERROR(INDEX('4'!C$300:C$400,MATCH("*"&amp;I86&amp;"*",'4'!B$300:B$400,0)),"  ")</f>
        <v>2</v>
      </c>
      <c r="Z86" s="97" t="str">
        <f>IFERROR(INDEX('5'!C$300:C$400,MATCH("*"&amp;I86&amp;"*",'5'!B$300:B$400,0)),"  ")</f>
        <v xml:space="preserve">  </v>
      </c>
      <c r="AA86" s="97" t="str">
        <f>IFERROR(INDEX('6'!C$300:C$400,MATCH("*"&amp;I86&amp;"*",'6'!B$300:B$400,0)),"  ")</f>
        <v xml:space="preserve">  </v>
      </c>
      <c r="AB86" s="97" t="str">
        <f>IFERROR(INDEX('7'!C$300:C$400,MATCH("*"&amp;I86&amp;"*",'7'!B$300:B$400,0)),"  ")</f>
        <v xml:space="preserve">  </v>
      </c>
      <c r="AC86" s="97" t="str">
        <f>IFERROR(INDEX('8'!C$300:C$400,MATCH("*"&amp;I86&amp;"*",'8'!B$300:B$400,0)),"  ")</f>
        <v xml:space="preserve">  </v>
      </c>
      <c r="AD86" s="97" t="str">
        <f ca="1">IFERROR(INDEX('9'!C$300:C$400,MATCH("*"&amp;I86&amp;"*",'9'!B$300:B$400,0)),"  ")</f>
        <v xml:space="preserve">  </v>
      </c>
      <c r="AE86" s="97" t="str">
        <f>IFERROR(INDEX('10'!C$300:C$400,MATCH("*"&amp;I86&amp;"*",'10'!B$300:B$400,0)),"  ")</f>
        <v xml:space="preserve">  </v>
      </c>
      <c r="AF86" s="97" t="str">
        <f>IFERROR(INDEX('11'!C$300:C$400,MATCH("*"&amp;I86&amp;"*",'11'!B$300:B$400,0)),"  ")</f>
        <v xml:space="preserve">  </v>
      </c>
      <c r="AG86" s="294">
        <f t="shared" ca="1" si="44"/>
        <v>2</v>
      </c>
      <c r="AH86" s="794">
        <f t="shared" ca="1" si="45"/>
        <v>0</v>
      </c>
      <c r="AI86" s="796">
        <f t="shared" ca="1" si="46"/>
        <v>0</v>
      </c>
      <c r="AJ86" s="303">
        <f t="shared" ca="1" si="47"/>
        <v>0</v>
      </c>
      <c r="AK86" s="405">
        <f t="shared" si="48"/>
        <v>1E-4</v>
      </c>
      <c r="AL86" s="405">
        <f t="shared" ca="1" si="49"/>
        <v>2.0000000000000001E-4</v>
      </c>
      <c r="AM86" s="442">
        <f t="array" aca="1" ref="AM86" ca="1">MIN(IF(V$5:AF$5="ESMV",IF(V86:AF86="  ",FALSE,V86:AF86)+COLUMN(V:AF)/10000))</f>
        <v>2.3E-3</v>
      </c>
      <c r="AN86" s="405">
        <f t="shared" si="50"/>
        <v>5.9999999999999995E-4</v>
      </c>
    </row>
    <row r="87" spans="1:40" s="2" customFormat="1" ht="12.75" customHeight="1" x14ac:dyDescent="0.2">
      <c r="A87" s="328" t="s">
        <v>257</v>
      </c>
      <c r="B87" s="331" t="str">
        <f t="shared" si="34"/>
        <v/>
      </c>
      <c r="C87" s="329" t="str">
        <f t="shared" si="35"/>
        <v/>
      </c>
      <c r="D87" s="907" t="s">
        <v>257</v>
      </c>
      <c r="E87" s="331" t="str">
        <f t="shared" si="36"/>
        <v/>
      </c>
      <c r="F87" s="330" t="str">
        <f t="shared" si="37"/>
        <v/>
      </c>
      <c r="G87" s="390">
        <f t="shared" ca="1" si="38"/>
        <v>76</v>
      </c>
      <c r="H87" s="76">
        <v>76</v>
      </c>
      <c r="I87" s="98" t="s">
        <v>58</v>
      </c>
      <c r="J87" s="800">
        <v>3</v>
      </c>
      <c r="K87" s="801">
        <f t="array" aca="1" ref="K87" ca="1">(IF(COUNT(V87,X87,AA87,AB87,AC87,AE87)&lt;4,SUM(V87,X87,AA87,AB87,AC87,AE87),SUM(LARGE((V87,X87,AA87,AB87,AC87,AE87),{1;2;3;4}))))+(IF(COUNT(W87,Y87,Z87,AD87,AF87)&lt;4,SUM(W87,Y87,Z87,AD87,AF87),SUM(LARGE((W87,Y87,Z87,AD87,AF87),{1;2;3;4}))))</f>
        <v>3</v>
      </c>
      <c r="L87" s="397" t="str">
        <f ca="1">INDEX(ETAPP!B$1:B$32,MATCH(COUNTIF(V87:AF87,PUNKTID!A$1),ETAPP!A$1:A$32,0))&amp;INDEX(ETAPP!B$1:B$32,MATCH(COUNTIF(V87:AF87,PUNKTID!A$2),ETAPP!A$1:A$32,0))&amp;INDEX(ETAPP!B$1:B$32,MATCH(COUNTIF(V87:AF87,PUNKTID!A$3),ETAPP!A$1:A$32,0))&amp;INDEX(ETAPP!B$1:B$32,MATCH(COUNTIF(V87:AF87,PUNKTID!A$4),ETAPP!A$1:A$32,0))&amp;INDEX(ETAPP!B$1:B$32,MATCH(COUNTIF(V87:AF87,PUNKTID!A$5),ETAPP!A$1:A$32,0))&amp;INDEX(ETAPP!B$1:B$32,MATCH(COUNTIF(V87:AF87,PUNKTID!A$6),ETAPP!A$1:A$32,0))&amp;INDEX(ETAPP!B$1:B$32,MATCH(COUNTIF(V87:AF87,PUNKTID!A$7),ETAPP!A$1:A$32,0))&amp;INDEX(ETAPP!B$1:B$32,MATCH(COUNTIF(V87:AF87,PUNKTID!A$8),ETAPP!A$1:A$32,0))&amp;INDEX(ETAPP!B$1:B$32,MATCH(COUNTIF(V87:AF87,PUNKTID!A$9),ETAPP!A$1:A$32,0))&amp;INDEX(ETAPP!B$1:B$32,MATCH(COUNTIF(V87:AF87,PUNKTID!A$10),ETAPP!A$1:A$32,0))&amp;INDEX(ETAPP!B$1:B$32,MATCH(COUNTIF(V87:AF87,PUNKTID!A$11),ETAPP!A$1:A$32,0))&amp;INDEX(ETAPP!B$1:B$32,MATCH(COUNTIF(V87:AF87,PUNKTID!A$12),ETAPP!A$1:A$32,0))&amp;INDEX(ETAPP!B$1:B$32,MATCH(COUNTIF(V87:AF87,PUNKTID!A$13),ETAPP!A$1:A$32,0))&amp;INDEX(ETAPP!B$1:B$32,MATCH(COUNTIF(V87:AF87,PUNKTID!A$14),ETAPP!A$1:A$32,0))</f>
        <v>000000000A0A0D</v>
      </c>
      <c r="M87" s="397" t="str">
        <f t="shared" ca="1" si="39"/>
        <v>003,0-000000000A0A0D</v>
      </c>
      <c r="N87" s="320">
        <f t="shared" ca="1" si="40"/>
        <v>81</v>
      </c>
      <c r="O87" s="320">
        <f t="shared" si="41"/>
        <v>42</v>
      </c>
      <c r="P87" s="397" t="str">
        <f t="shared" ca="1" si="42"/>
        <v>003,0-000000000A0A0D-042</v>
      </c>
      <c r="Q87" s="320">
        <f t="shared" ca="1" si="43"/>
        <v>21</v>
      </c>
      <c r="R87" s="328"/>
      <c r="S87" s="380"/>
      <c r="T87" s="400"/>
      <c r="U87" s="559"/>
      <c r="V87" s="97" t="str">
        <f>IFERROR(INDEX('1'!C$300:C$400,MATCH("*"&amp;I87&amp;"*",'1'!B$300:B$400,0)),"  ")</f>
        <v xml:space="preserve">  </v>
      </c>
      <c r="W87" s="97" t="str">
        <f>IFERROR(INDEX('2'!C$300:C$400,MATCH("*"&amp;I87&amp;"*",'2'!B$300:B$400,0)),"  ")</f>
        <v xml:space="preserve">  </v>
      </c>
      <c r="X87" s="97" t="str">
        <f>IFERROR(INDEX('3'!C$300:C$400,MATCH("*"&amp;I87&amp;"*",'3'!B$300:B$400,0)),"  ")</f>
        <v xml:space="preserve">  </v>
      </c>
      <c r="Y87" s="97">
        <f>IFERROR(INDEX('4'!C$300:C$400,MATCH("*"&amp;I87&amp;"*",'4'!B$300:B$400,0)),"  ")</f>
        <v>2</v>
      </c>
      <c r="Z87" s="97" t="str">
        <f>IFERROR(INDEX('5'!C$300:C$400,MATCH("*"&amp;I87&amp;"*",'5'!B$300:B$400,0)),"  ")</f>
        <v xml:space="preserve">  </v>
      </c>
      <c r="AA87" s="97" t="str">
        <f>IFERROR(INDEX('6'!C$300:C$400,MATCH("*"&amp;I87&amp;"*",'6'!B$300:B$400,0)),"  ")</f>
        <v xml:space="preserve">  </v>
      </c>
      <c r="AB87" s="97" t="str">
        <f>IFERROR(INDEX('7'!C$300:C$400,MATCH("*"&amp;I87&amp;"*",'7'!B$300:B$400,0)),"  ")</f>
        <v xml:space="preserve">  </v>
      </c>
      <c r="AC87" s="97">
        <f>IFERROR(INDEX('8'!C$300:C$400,MATCH("*"&amp;I87&amp;"*",'8'!B$300:B$400,0)),"  ")</f>
        <v>1</v>
      </c>
      <c r="AD87" s="97" t="str">
        <f ca="1">IFERROR(INDEX('9'!C$300:C$400,MATCH("*"&amp;I87&amp;"*",'9'!B$300:B$400,0)),"  ")</f>
        <v xml:space="preserve">  </v>
      </c>
      <c r="AE87" s="97" t="str">
        <f>IFERROR(INDEX('10'!C$300:C$400,MATCH("*"&amp;I87&amp;"*",'10'!B$300:B$400,0)),"  ")</f>
        <v xml:space="preserve">  </v>
      </c>
      <c r="AF87" s="97" t="str">
        <f>IFERROR(INDEX('11'!C$300:C$400,MATCH("*"&amp;I87&amp;"*",'11'!B$300:B$400,0)),"  ")</f>
        <v xml:space="preserve">  </v>
      </c>
      <c r="AG87" s="294">
        <f t="shared" ca="1" si="44"/>
        <v>2</v>
      </c>
      <c r="AH87" s="794">
        <f t="shared" ca="1" si="45"/>
        <v>0</v>
      </c>
      <c r="AI87" s="796">
        <f t="shared" ca="1" si="46"/>
        <v>0</v>
      </c>
      <c r="AJ87" s="303">
        <f t="shared" ca="1" si="47"/>
        <v>0</v>
      </c>
      <c r="AK87" s="405">
        <f t="shared" si="48"/>
        <v>1E-4</v>
      </c>
      <c r="AL87" s="405">
        <f t="shared" ca="1" si="49"/>
        <v>2.0000000000000001E-4</v>
      </c>
      <c r="AM87" s="442">
        <f t="array" aca="1" ref="AM87" ca="1">MIN(IF(V$5:AF$5="ESMV",IF(V87:AF87="  ",FALSE,V87:AF87)+COLUMN(V:AF)/10000))</f>
        <v>2.3E-3</v>
      </c>
      <c r="AN87" s="405">
        <f t="shared" si="50"/>
        <v>2.9999999999999997E-4</v>
      </c>
    </row>
    <row r="88" spans="1:40" s="2" customFormat="1" ht="12.75" customHeight="1" x14ac:dyDescent="0.2">
      <c r="A88" s="328" t="s">
        <v>257</v>
      </c>
      <c r="B88" s="331" t="str">
        <f t="shared" si="34"/>
        <v/>
      </c>
      <c r="C88" s="329" t="str">
        <f t="shared" si="35"/>
        <v/>
      </c>
      <c r="D88" s="907" t="s">
        <v>257</v>
      </c>
      <c r="E88" s="331" t="str">
        <f t="shared" si="36"/>
        <v/>
      </c>
      <c r="F88" s="330" t="str">
        <f t="shared" si="37"/>
        <v/>
      </c>
      <c r="G88" s="390">
        <f t="shared" ca="1" si="38"/>
        <v>76</v>
      </c>
      <c r="H88" s="76">
        <v>76</v>
      </c>
      <c r="I88" s="98" t="s">
        <v>575</v>
      </c>
      <c r="J88" s="800">
        <v>3</v>
      </c>
      <c r="K88" s="801">
        <f t="array" aca="1" ref="K88" ca="1">(IF(COUNT(V88,X88,AA88,AB88,AC88,AE88)&lt;4,SUM(V88,X88,AA88,AB88,AC88,AE88),SUM(LARGE((V88,X88,AA88,AB88,AC88,AE88),{1;2;3;4}))))+(IF(COUNT(W88,Y88,Z88,AD88,AF88)&lt;4,SUM(W88,Y88,Z88,AD88,AF88),SUM(LARGE((W88,Y88,Z88,AD88,AF88),{1;2;3;4}))))</f>
        <v>3</v>
      </c>
      <c r="L88" s="397" t="str">
        <f ca="1">INDEX(ETAPP!B$1:B$32,MATCH(COUNTIF(V88:AF88,PUNKTID!A$1),ETAPP!A$1:A$32,0))&amp;INDEX(ETAPP!B$1:B$32,MATCH(COUNTIF(V88:AF88,PUNKTID!A$2),ETAPP!A$1:A$32,0))&amp;INDEX(ETAPP!B$1:B$32,MATCH(COUNTIF(V88:AF88,PUNKTID!A$3),ETAPP!A$1:A$32,0))&amp;INDEX(ETAPP!B$1:B$32,MATCH(COUNTIF(V88:AF88,PUNKTID!A$4),ETAPP!A$1:A$32,0))&amp;INDEX(ETAPP!B$1:B$32,MATCH(COUNTIF(V88:AF88,PUNKTID!A$5),ETAPP!A$1:A$32,0))&amp;INDEX(ETAPP!B$1:B$32,MATCH(COUNTIF(V88:AF88,PUNKTID!A$6),ETAPP!A$1:A$32,0))&amp;INDEX(ETAPP!B$1:B$32,MATCH(COUNTIF(V88:AF88,PUNKTID!A$7),ETAPP!A$1:A$32,0))&amp;INDEX(ETAPP!B$1:B$32,MATCH(COUNTIF(V88:AF88,PUNKTID!A$8),ETAPP!A$1:A$32,0))&amp;INDEX(ETAPP!B$1:B$32,MATCH(COUNTIF(V88:AF88,PUNKTID!A$9),ETAPP!A$1:A$32,0))&amp;INDEX(ETAPP!B$1:B$32,MATCH(COUNTIF(V88:AF88,PUNKTID!A$10),ETAPP!A$1:A$32,0))&amp;INDEX(ETAPP!B$1:B$32,MATCH(COUNTIF(V88:AF88,PUNKTID!A$11),ETAPP!A$1:A$32,0))&amp;INDEX(ETAPP!B$1:B$32,MATCH(COUNTIF(V88:AF88,PUNKTID!A$12),ETAPP!A$1:A$32,0))&amp;INDEX(ETAPP!B$1:B$32,MATCH(COUNTIF(V88:AF88,PUNKTID!A$13),ETAPP!A$1:A$32,0))&amp;INDEX(ETAPP!B$1:B$32,MATCH(COUNTIF(V88:AF88,PUNKTID!A$14),ETAPP!A$1:A$32,0))</f>
        <v>000000000A0A0D</v>
      </c>
      <c r="M88" s="397" t="str">
        <f t="shared" ca="1" si="39"/>
        <v>003,0-000000000A0A0D</v>
      </c>
      <c r="N88" s="320">
        <f t="shared" ca="1" si="40"/>
        <v>81</v>
      </c>
      <c r="O88" s="320">
        <f t="shared" si="41"/>
        <v>23</v>
      </c>
      <c r="P88" s="397" t="str">
        <f t="shared" ca="1" si="42"/>
        <v>003,0-000000000A0A0D-023</v>
      </c>
      <c r="Q88" s="320">
        <f t="shared" ca="1" si="43"/>
        <v>20</v>
      </c>
      <c r="R88" s="328"/>
      <c r="S88" s="380"/>
      <c r="T88" s="400"/>
      <c r="U88" s="559"/>
      <c r="V88" s="97" t="str">
        <f>IFERROR(INDEX('1'!C$300:C$400,MATCH("*"&amp;I88&amp;"*",'1'!B$300:B$400,0)),"  ")</f>
        <v xml:space="preserve">  </v>
      </c>
      <c r="W88" s="97" t="str">
        <f>IFERROR(INDEX('2'!C$300:C$400,MATCH("*"&amp;I88&amp;"*",'2'!B$300:B$400,0)),"  ")</f>
        <v xml:space="preserve">  </v>
      </c>
      <c r="X88" s="97" t="str">
        <f>IFERROR(INDEX('3'!C$300:C$400,MATCH("*"&amp;I88&amp;"*",'3'!B$300:B$400,0)),"  ")</f>
        <v xml:space="preserve">  </v>
      </c>
      <c r="Y88" s="97" t="str">
        <f>IFERROR(INDEX('4'!C$300:C$400,MATCH("*"&amp;I88&amp;"*",'4'!B$300:B$400,0)),"  ")</f>
        <v xml:space="preserve">  </v>
      </c>
      <c r="Z88" s="97">
        <f>IFERROR(INDEX('5'!C$300:C$400,MATCH("*"&amp;I88&amp;"*",'5'!B$300:B$400,0)),"  ")</f>
        <v>2</v>
      </c>
      <c r="AA88" s="97">
        <f>IFERROR(INDEX('6'!C$300:C$400,MATCH("*"&amp;I88&amp;"*",'6'!B$300:B$400,0)),"  ")</f>
        <v>1</v>
      </c>
      <c r="AB88" s="97" t="str">
        <f>IFERROR(INDEX('7'!C$300:C$400,MATCH("*"&amp;I88&amp;"*",'7'!B$300:B$400,0)),"  ")</f>
        <v xml:space="preserve">  </v>
      </c>
      <c r="AC88" s="97" t="str">
        <f>IFERROR(INDEX('8'!C$300:C$400,MATCH("*"&amp;I88&amp;"*",'8'!B$300:B$400,0)),"  ")</f>
        <v xml:space="preserve">  </v>
      </c>
      <c r="AD88" s="97" t="str">
        <f ca="1">IFERROR(INDEX('9'!C$300:C$400,MATCH("*"&amp;I88&amp;"*",'9'!B$300:B$400,0)),"  ")</f>
        <v xml:space="preserve">  </v>
      </c>
      <c r="AE88" s="97" t="str">
        <f>IFERROR(INDEX('10'!C$300:C$400,MATCH("*"&amp;I88&amp;"*",'10'!B$300:B$400,0)),"  ")</f>
        <v xml:space="preserve">  </v>
      </c>
      <c r="AF88" s="97" t="str">
        <f>IFERROR(INDEX('11'!C$300:C$400,MATCH("*"&amp;I88&amp;"*",'11'!B$300:B$400,0)),"  ")</f>
        <v xml:space="preserve">  </v>
      </c>
      <c r="AG88" s="294">
        <f t="shared" ca="1" si="44"/>
        <v>2</v>
      </c>
      <c r="AH88" s="794">
        <f t="shared" ca="1" si="45"/>
        <v>0</v>
      </c>
      <c r="AI88" s="796">
        <f t="shared" ca="1" si="46"/>
        <v>0</v>
      </c>
      <c r="AJ88" s="303">
        <f t="shared" ca="1" si="47"/>
        <v>0</v>
      </c>
      <c r="AK88" s="405">
        <f t="shared" si="48"/>
        <v>1E-4</v>
      </c>
      <c r="AL88" s="405">
        <f t="shared" ca="1" si="49"/>
        <v>2.0000000000000001E-4</v>
      </c>
      <c r="AM88" s="442">
        <f t="array" aca="1" ref="AM88" ca="1">MIN(IF(V$5:AF$5="ESMV",IF(V88:AF88="  ",FALSE,V88:AF88)+COLUMN(V:AF)/10000))</f>
        <v>2.3E-3</v>
      </c>
      <c r="AN88" s="405">
        <f t="shared" si="50"/>
        <v>2.9999999999999997E-4</v>
      </c>
    </row>
    <row r="89" spans="1:40" s="2" customFormat="1" ht="12.75" customHeight="1" x14ac:dyDescent="0.2">
      <c r="A89" s="328" t="s">
        <v>257</v>
      </c>
      <c r="B89" s="331" t="str">
        <f t="shared" si="34"/>
        <v/>
      </c>
      <c r="C89" s="329" t="str">
        <f t="shared" si="35"/>
        <v/>
      </c>
      <c r="D89" s="907" t="s">
        <v>257</v>
      </c>
      <c r="E89" s="331" t="str">
        <f t="shared" si="36"/>
        <v/>
      </c>
      <c r="F89" s="330" t="str">
        <f t="shared" si="37"/>
        <v/>
      </c>
      <c r="G89" s="390">
        <f t="shared" ca="1" si="38"/>
        <v>76</v>
      </c>
      <c r="H89" s="76">
        <v>76</v>
      </c>
      <c r="I89" s="98" t="s">
        <v>699</v>
      </c>
      <c r="J89" s="800">
        <v>3</v>
      </c>
      <c r="K89" s="801">
        <f t="array" aca="1" ref="K89" ca="1">(IF(COUNT(V89,X89,AA89,AB89,AC89,AE89)&lt;4,SUM(V89,X89,AA89,AB89,AC89,AE89),SUM(LARGE((V89,X89,AA89,AB89,AC89,AE89),{1;2;3;4}))))+(IF(COUNT(W89,Y89,Z89,AD89,AF89)&lt;4,SUM(W89,Y89,Z89,AD89,AF89),SUM(LARGE((W89,Y89,Z89,AD89,AF89),{1;2;3;4}))))</f>
        <v>3</v>
      </c>
      <c r="L89" s="397" t="str">
        <f ca="1">INDEX(ETAPP!B$1:B$32,MATCH(COUNTIF(V89:AF89,PUNKTID!A$1),ETAPP!A$1:A$32,0))&amp;INDEX(ETAPP!B$1:B$32,MATCH(COUNTIF(V89:AF89,PUNKTID!A$2),ETAPP!A$1:A$32,0))&amp;INDEX(ETAPP!B$1:B$32,MATCH(COUNTIF(V89:AF89,PUNKTID!A$3),ETAPP!A$1:A$32,0))&amp;INDEX(ETAPP!B$1:B$32,MATCH(COUNTIF(V89:AF89,PUNKTID!A$4),ETAPP!A$1:A$32,0))&amp;INDEX(ETAPP!B$1:B$32,MATCH(COUNTIF(V89:AF89,PUNKTID!A$5),ETAPP!A$1:A$32,0))&amp;INDEX(ETAPP!B$1:B$32,MATCH(COUNTIF(V89:AF89,PUNKTID!A$6),ETAPP!A$1:A$32,0))&amp;INDEX(ETAPP!B$1:B$32,MATCH(COUNTIF(V89:AF89,PUNKTID!A$7),ETAPP!A$1:A$32,0))&amp;INDEX(ETAPP!B$1:B$32,MATCH(COUNTIF(V89:AF89,PUNKTID!A$8),ETAPP!A$1:A$32,0))&amp;INDEX(ETAPP!B$1:B$32,MATCH(COUNTIF(V89:AF89,PUNKTID!A$9),ETAPP!A$1:A$32,0))&amp;INDEX(ETAPP!B$1:B$32,MATCH(COUNTIF(V89:AF89,PUNKTID!A$10),ETAPP!A$1:A$32,0))&amp;INDEX(ETAPP!B$1:B$32,MATCH(COUNTIF(V89:AF89,PUNKTID!A$11),ETAPP!A$1:A$32,0))&amp;INDEX(ETAPP!B$1:B$32,MATCH(COUNTIF(V89:AF89,PUNKTID!A$12),ETAPP!A$1:A$32,0))&amp;INDEX(ETAPP!B$1:B$32,MATCH(COUNTIF(V89:AF89,PUNKTID!A$13),ETAPP!A$1:A$32,0))&amp;INDEX(ETAPP!B$1:B$32,MATCH(COUNTIF(V89:AF89,PUNKTID!A$14),ETAPP!A$1:A$32,0))</f>
        <v>000000000A0A0D</v>
      </c>
      <c r="M89" s="397" t="str">
        <f t="shared" ca="1" si="39"/>
        <v>003,0-000000000A0A0D</v>
      </c>
      <c r="N89" s="320">
        <f t="shared" ca="1" si="40"/>
        <v>81</v>
      </c>
      <c r="O89" s="320">
        <f t="shared" si="41"/>
        <v>5</v>
      </c>
      <c r="P89" s="397" t="str">
        <f t="shared" ca="1" si="42"/>
        <v>003,0-000000000A0A0D-005</v>
      </c>
      <c r="Q89" s="320">
        <f t="shared" ca="1" si="43"/>
        <v>19</v>
      </c>
      <c r="R89" s="328"/>
      <c r="S89" s="380"/>
      <c r="T89" s="400"/>
      <c r="U89" s="559"/>
      <c r="V89" s="97" t="str">
        <f>IFERROR(INDEX('1'!C$300:C$400,MATCH("*"&amp;I89&amp;"*",'1'!B$300:B$400,0)),"  ")</f>
        <v xml:space="preserve">  </v>
      </c>
      <c r="W89" s="97" t="str">
        <f>IFERROR(INDEX('2'!C$300:C$400,MATCH("*"&amp;I89&amp;"*",'2'!B$300:B$400,0)),"  ")</f>
        <v xml:space="preserve">  </v>
      </c>
      <c r="X89" s="97" t="str">
        <f>IFERROR(INDEX('3'!C$300:C$400,MATCH("*"&amp;I89&amp;"*",'3'!B$300:B$400,0)),"  ")</f>
        <v xml:space="preserve">  </v>
      </c>
      <c r="Y89" s="97" t="str">
        <f>IFERROR(INDEX('4'!C$300:C$400,MATCH("*"&amp;I89&amp;"*",'4'!B$300:B$400,0)),"  ")</f>
        <v xml:space="preserve">  </v>
      </c>
      <c r="Z89" s="97">
        <f>IFERROR(INDEX('5'!C$300:C$400,MATCH("*"&amp;I89&amp;"*",'5'!B$300:B$400,0)),"  ")</f>
        <v>2</v>
      </c>
      <c r="AA89" s="97">
        <f>IFERROR(INDEX('6'!C$300:C$400,MATCH("*"&amp;I89&amp;"*",'6'!B$300:B$400,0)),"  ")</f>
        <v>1</v>
      </c>
      <c r="AB89" s="97" t="str">
        <f>IFERROR(INDEX('7'!C$300:C$400,MATCH("*"&amp;I89&amp;"*",'7'!B$300:B$400,0)),"  ")</f>
        <v xml:space="preserve">  </v>
      </c>
      <c r="AC89" s="97" t="str">
        <f>IFERROR(INDEX('8'!C$300:C$400,MATCH("*"&amp;I89&amp;"*",'8'!B$300:B$400,0)),"  ")</f>
        <v xml:space="preserve">  </v>
      </c>
      <c r="AD89" s="97" t="str">
        <f ca="1">IFERROR(INDEX('9'!C$300:C$400,MATCH("*"&amp;I89&amp;"*",'9'!B$300:B$400,0)),"  ")</f>
        <v xml:space="preserve">  </v>
      </c>
      <c r="AE89" s="97" t="str">
        <f>IFERROR(INDEX('10'!C$300:C$400,MATCH("*"&amp;I89&amp;"*",'10'!B$300:B$400,0)),"  ")</f>
        <v xml:space="preserve">  </v>
      </c>
      <c r="AF89" s="97" t="str">
        <f>IFERROR(INDEX('11'!C$300:C$400,MATCH("*"&amp;I89&amp;"*",'11'!B$300:B$400,0)),"  ")</f>
        <v xml:space="preserve">  </v>
      </c>
      <c r="AG89" s="294">
        <f t="shared" ca="1" si="44"/>
        <v>2</v>
      </c>
      <c r="AH89" s="794">
        <f t="shared" ca="1" si="45"/>
        <v>0</v>
      </c>
      <c r="AI89" s="796">
        <f t="shared" ca="1" si="46"/>
        <v>0</v>
      </c>
      <c r="AJ89" s="303">
        <f t="shared" ca="1" si="47"/>
        <v>0</v>
      </c>
      <c r="AK89" s="405">
        <f t="shared" si="48"/>
        <v>1E-4</v>
      </c>
      <c r="AL89" s="405">
        <f t="shared" ca="1" si="49"/>
        <v>2.0000000000000001E-4</v>
      </c>
      <c r="AM89" s="442">
        <f t="array" aca="1" ref="AM89" ca="1">MIN(IF(V$5:AF$5="ESMV",IF(V89:AF89="  ",FALSE,V89:AF89)+COLUMN(V:AF)/10000))</f>
        <v>2.3E-3</v>
      </c>
      <c r="AN89" s="405">
        <f t="shared" si="50"/>
        <v>2.9999999999999997E-4</v>
      </c>
    </row>
    <row r="90" spans="1:40" s="2" customFormat="1" ht="12.75" customHeight="1" x14ac:dyDescent="0.2">
      <c r="A90" s="328" t="s">
        <v>257</v>
      </c>
      <c r="B90" s="331" t="str">
        <f t="shared" si="34"/>
        <v/>
      </c>
      <c r="C90" s="329" t="str">
        <f t="shared" si="35"/>
        <v/>
      </c>
      <c r="D90" s="907" t="s">
        <v>257</v>
      </c>
      <c r="E90" s="331" t="str">
        <f t="shared" si="36"/>
        <v/>
      </c>
      <c r="F90" s="330" t="str">
        <f t="shared" si="37"/>
        <v/>
      </c>
      <c r="G90" s="390">
        <f t="shared" ca="1" si="38"/>
        <v>82</v>
      </c>
      <c r="H90" s="76">
        <v>82</v>
      </c>
      <c r="I90" s="98" t="s">
        <v>201</v>
      </c>
      <c r="J90" s="800">
        <v>3</v>
      </c>
      <c r="K90" s="801">
        <f t="array" aca="1" ref="K90" ca="1">(IF(COUNT(V90,X90,AA90,AB90,AC90,AE90)&lt;4,SUM(V90,X90,AA90,AB90,AC90,AE90),SUM(LARGE((V90,X90,AA90,AB90,AC90,AE90),{1;2;3;4}))))+(IF(COUNT(W90,Y90,Z90,AD90,AF90)&lt;4,SUM(W90,Y90,Z90,AD90,AF90),SUM(LARGE((W90,Y90,Z90,AD90,AF90),{1;2;3;4}))))</f>
        <v>3</v>
      </c>
      <c r="L90" s="397" t="str">
        <f ca="1">INDEX(ETAPP!B$1:B$32,MATCH(COUNTIF(V90:AF90,PUNKTID!A$1),ETAPP!A$1:A$32,0))&amp;INDEX(ETAPP!B$1:B$32,MATCH(COUNTIF(V90:AF90,PUNKTID!A$2),ETAPP!A$1:A$32,0))&amp;INDEX(ETAPP!B$1:B$32,MATCH(COUNTIF(V90:AF90,PUNKTID!A$3),ETAPP!A$1:A$32,0))&amp;INDEX(ETAPP!B$1:B$32,MATCH(COUNTIF(V90:AF90,PUNKTID!A$4),ETAPP!A$1:A$32,0))&amp;INDEX(ETAPP!B$1:B$32,MATCH(COUNTIF(V90:AF90,PUNKTID!A$5),ETAPP!A$1:A$32,0))&amp;INDEX(ETAPP!B$1:B$32,MATCH(COUNTIF(V90:AF90,PUNKTID!A$6),ETAPP!A$1:A$32,0))&amp;INDEX(ETAPP!B$1:B$32,MATCH(COUNTIF(V90:AF90,PUNKTID!A$7),ETAPP!A$1:A$32,0))&amp;INDEX(ETAPP!B$1:B$32,MATCH(COUNTIF(V90:AF90,PUNKTID!A$8),ETAPP!A$1:A$32,0))&amp;INDEX(ETAPP!B$1:B$32,MATCH(COUNTIF(V90:AF90,PUNKTID!A$9),ETAPP!A$1:A$32,0))&amp;INDEX(ETAPP!B$1:B$32,MATCH(COUNTIF(V90:AF90,PUNKTID!A$10),ETAPP!A$1:A$32,0))&amp;INDEX(ETAPP!B$1:B$32,MATCH(COUNTIF(V90:AF90,PUNKTID!A$11),ETAPP!A$1:A$32,0))&amp;INDEX(ETAPP!B$1:B$32,MATCH(COUNTIF(V90:AF90,PUNKTID!A$12),ETAPP!A$1:A$32,0))&amp;INDEX(ETAPP!B$1:B$32,MATCH(COUNTIF(V90:AF90,PUNKTID!A$13),ETAPP!A$1:A$32,0))&amp;INDEX(ETAPP!B$1:B$32,MATCH(COUNTIF(V90:AF90,PUNKTID!A$14),ETAPP!A$1:A$32,0))</f>
        <v>00000000000C0C</v>
      </c>
      <c r="M90" s="397" t="str">
        <f t="shared" ca="1" si="39"/>
        <v>003,0-00000000000C0C</v>
      </c>
      <c r="N90" s="320">
        <f t="shared" ca="1" si="40"/>
        <v>82</v>
      </c>
      <c r="O90" s="320">
        <f t="shared" si="41"/>
        <v>36</v>
      </c>
      <c r="P90" s="397" t="str">
        <f t="shared" ca="1" si="42"/>
        <v>003,0-00000000000C0C-036</v>
      </c>
      <c r="Q90" s="320">
        <f t="shared" ca="1" si="43"/>
        <v>18</v>
      </c>
      <c r="R90" s="328"/>
      <c r="S90" s="380"/>
      <c r="T90" s="400"/>
      <c r="U90" s="559"/>
      <c r="V90" s="97" t="str">
        <f>IFERROR(INDEX('1'!C$300:C$400,MATCH("*"&amp;I90&amp;"*",'1'!B$300:B$400,0)),"  ")</f>
        <v xml:space="preserve">  </v>
      </c>
      <c r="W90" s="97" t="str">
        <f>IFERROR(INDEX('2'!C$300:C$400,MATCH("*"&amp;I90&amp;"*",'2'!B$300:B$400,0)),"  ")</f>
        <v xml:space="preserve">  </v>
      </c>
      <c r="X90" s="97" t="str">
        <f>IFERROR(INDEX('3'!C$300:C$400,MATCH("*"&amp;I90&amp;"*",'3'!B$300:B$400,0)),"  ")</f>
        <v xml:space="preserve">  </v>
      </c>
      <c r="Y90" s="97" t="str">
        <f>IFERROR(INDEX('4'!C$300:C$400,MATCH("*"&amp;I90&amp;"*",'4'!B$300:B$400,0)),"  ")</f>
        <v xml:space="preserve">  </v>
      </c>
      <c r="Z90" s="97" t="str">
        <f>IFERROR(INDEX('5'!C$300:C$400,MATCH("*"&amp;I90&amp;"*",'5'!B$300:B$400,0)),"  ")</f>
        <v xml:space="preserve">  </v>
      </c>
      <c r="AA90" s="97">
        <f>IFERROR(INDEX('6'!C$300:C$400,MATCH("*"&amp;I90&amp;"*",'6'!B$300:B$400,0)),"  ")</f>
        <v>1</v>
      </c>
      <c r="AB90" s="97">
        <f>IFERROR(INDEX('7'!C$300:C$400,MATCH("*"&amp;I90&amp;"*",'7'!B$300:B$400,0)),"  ")</f>
        <v>1</v>
      </c>
      <c r="AC90" s="97" t="str">
        <f>IFERROR(INDEX('8'!C$300:C$400,MATCH("*"&amp;I90&amp;"*",'8'!B$300:B$400,0)),"  ")</f>
        <v xml:space="preserve">  </v>
      </c>
      <c r="AD90" s="97" t="str">
        <f ca="1">IFERROR(INDEX('9'!C$300:C$400,MATCH("*"&amp;I90&amp;"*",'9'!B$300:B$400,0)),"  ")</f>
        <v xml:space="preserve">  </v>
      </c>
      <c r="AE90" s="97">
        <f>IFERROR(INDEX('10'!C$300:C$400,MATCH("*"&amp;I90&amp;"*",'10'!B$300:B$400,0)),"  ")</f>
        <v>1</v>
      </c>
      <c r="AF90" s="97" t="str">
        <f>IFERROR(INDEX('11'!C$300:C$400,MATCH("*"&amp;I90&amp;"*",'11'!B$300:B$400,0)),"  ")</f>
        <v xml:space="preserve">  </v>
      </c>
      <c r="AG90" s="294">
        <f t="shared" ca="1" si="44"/>
        <v>3</v>
      </c>
      <c r="AH90" s="794">
        <f t="shared" ca="1" si="45"/>
        <v>0</v>
      </c>
      <c r="AI90" s="796">
        <f t="shared" ca="1" si="46"/>
        <v>0</v>
      </c>
      <c r="AJ90" s="303">
        <f t="shared" ca="1" si="47"/>
        <v>0</v>
      </c>
      <c r="AK90" s="405">
        <f t="shared" si="48"/>
        <v>1E-4</v>
      </c>
      <c r="AL90" s="405">
        <f t="shared" ca="1" si="49"/>
        <v>2.0000000000000001E-4</v>
      </c>
      <c r="AM90" s="442">
        <f t="array" aca="1" ref="AM90" ca="1">MIN(IF(V$5:AF$5="ESMV",IF(V90:AF90="  ",FALSE,V90:AF90)+COLUMN(V:AF)/10000))</f>
        <v>2.3E-3</v>
      </c>
      <c r="AN90" s="405">
        <f t="shared" si="50"/>
        <v>2.9999999999999997E-4</v>
      </c>
    </row>
    <row r="91" spans="1:40" s="2" customFormat="1" ht="12.75" customHeight="1" x14ac:dyDescent="0.2">
      <c r="A91" s="328">
        <v>28</v>
      </c>
      <c r="B91" s="331">
        <f t="shared" ca="1" si="34"/>
        <v>28</v>
      </c>
      <c r="C91" s="329" t="str">
        <f t="shared" ca="1" si="35"/>
        <v>002,0-000000000A000E</v>
      </c>
      <c r="D91" s="907" t="s">
        <v>257</v>
      </c>
      <c r="E91" s="331" t="str">
        <f t="shared" si="36"/>
        <v/>
      </c>
      <c r="F91" s="330" t="str">
        <f t="shared" si="37"/>
        <v/>
      </c>
      <c r="G91" s="390">
        <f t="shared" ca="1" si="38"/>
        <v>83</v>
      </c>
      <c r="H91" s="76">
        <v>83</v>
      </c>
      <c r="I91" s="98" t="s">
        <v>573</v>
      </c>
      <c r="J91" s="800">
        <v>2</v>
      </c>
      <c r="K91" s="801">
        <f t="array" aca="1" ref="K91" ca="1">(IF(COUNT(V91,X91,AA91,AB91,AC91,AE91)&lt;4,SUM(V91,X91,AA91,AB91,AC91,AE91),SUM(LARGE((V91,X91,AA91,AB91,AC91,AE91),{1;2;3;4}))))+(IF(COUNT(W91,Y91,Z91,AD91,AF91)&lt;4,SUM(W91,Y91,Z91,AD91,AF91),SUM(LARGE((W91,Y91,Z91,AD91,AF91),{1;2;3;4}))))</f>
        <v>2</v>
      </c>
      <c r="L91" s="397" t="str">
        <f ca="1">INDEX(ETAPP!B$1:B$32,MATCH(COUNTIF(V91:AF91,PUNKTID!A$1),ETAPP!A$1:A$32,0))&amp;INDEX(ETAPP!B$1:B$32,MATCH(COUNTIF(V91:AF91,PUNKTID!A$2),ETAPP!A$1:A$32,0))&amp;INDEX(ETAPP!B$1:B$32,MATCH(COUNTIF(V91:AF91,PUNKTID!A$3),ETAPP!A$1:A$32,0))&amp;INDEX(ETAPP!B$1:B$32,MATCH(COUNTIF(V91:AF91,PUNKTID!A$4),ETAPP!A$1:A$32,0))&amp;INDEX(ETAPP!B$1:B$32,MATCH(COUNTIF(V91:AF91,PUNKTID!A$5),ETAPP!A$1:A$32,0))&amp;INDEX(ETAPP!B$1:B$32,MATCH(COUNTIF(V91:AF91,PUNKTID!A$6),ETAPP!A$1:A$32,0))&amp;INDEX(ETAPP!B$1:B$32,MATCH(COUNTIF(V91:AF91,PUNKTID!A$7),ETAPP!A$1:A$32,0))&amp;INDEX(ETAPP!B$1:B$32,MATCH(COUNTIF(V91:AF91,PUNKTID!A$8),ETAPP!A$1:A$32,0))&amp;INDEX(ETAPP!B$1:B$32,MATCH(COUNTIF(V91:AF91,PUNKTID!A$9),ETAPP!A$1:A$32,0))&amp;INDEX(ETAPP!B$1:B$32,MATCH(COUNTIF(V91:AF91,PUNKTID!A$10),ETAPP!A$1:A$32,0))&amp;INDEX(ETAPP!B$1:B$32,MATCH(COUNTIF(V91:AF91,PUNKTID!A$11),ETAPP!A$1:A$32,0))&amp;INDEX(ETAPP!B$1:B$32,MATCH(COUNTIF(V91:AF91,PUNKTID!A$12),ETAPP!A$1:A$32,0))&amp;INDEX(ETAPP!B$1:B$32,MATCH(COUNTIF(V91:AF91,PUNKTID!A$13),ETAPP!A$1:A$32,0))&amp;INDEX(ETAPP!B$1:B$32,MATCH(COUNTIF(V91:AF91,PUNKTID!A$14),ETAPP!A$1:A$32,0))</f>
        <v>000000000A000E</v>
      </c>
      <c r="M91" s="397" t="str">
        <f t="shared" ca="1" si="39"/>
        <v>002,0-000000000A000E</v>
      </c>
      <c r="N91" s="320">
        <f t="shared" ca="1" si="40"/>
        <v>93</v>
      </c>
      <c r="O91" s="320">
        <f t="shared" si="41"/>
        <v>89</v>
      </c>
      <c r="P91" s="397" t="str">
        <f t="shared" ca="1" si="42"/>
        <v>002,0-000000000A000E-089</v>
      </c>
      <c r="Q91" s="320">
        <f t="shared" ca="1" si="43"/>
        <v>17</v>
      </c>
      <c r="R91" s="328" t="s">
        <v>562</v>
      </c>
      <c r="S91" s="380"/>
      <c r="T91" s="400"/>
      <c r="U91" s="559"/>
      <c r="V91" s="97" t="str">
        <f>IFERROR(INDEX('1'!C$300:C$400,MATCH("*"&amp;I91&amp;"*",'1'!B$300:B$400,0)),"  ")</f>
        <v xml:space="preserve">  </v>
      </c>
      <c r="W91" s="97" t="str">
        <f>IFERROR(INDEX('2'!C$300:C$400,MATCH("*"&amp;I91&amp;"*",'2'!B$300:B$400,0)),"  ")</f>
        <v xml:space="preserve">  </v>
      </c>
      <c r="X91" s="97" t="str">
        <f>IFERROR(INDEX('3'!C$300:C$400,MATCH("*"&amp;I91&amp;"*",'3'!B$300:B$400,0)),"  ")</f>
        <v xml:space="preserve">  </v>
      </c>
      <c r="Y91" s="97">
        <f>IFERROR(INDEX('4'!C$300:C$400,MATCH("*"&amp;I91&amp;"*",'4'!B$300:B$400,0)),"  ")</f>
        <v>2</v>
      </c>
      <c r="Z91" s="97" t="str">
        <f>IFERROR(INDEX('5'!C$300:C$400,MATCH("*"&amp;I91&amp;"*",'5'!B$300:B$400,0)),"  ")</f>
        <v xml:space="preserve">  </v>
      </c>
      <c r="AA91" s="97" t="str">
        <f>IFERROR(INDEX('6'!C$300:C$400,MATCH("*"&amp;I91&amp;"*",'6'!B$300:B$400,0)),"  ")</f>
        <v xml:space="preserve">  </v>
      </c>
      <c r="AB91" s="97" t="str">
        <f>IFERROR(INDEX('7'!C$300:C$400,MATCH("*"&amp;I91&amp;"*",'7'!B$300:B$400,0)),"  ")</f>
        <v xml:space="preserve">  </v>
      </c>
      <c r="AC91" s="97" t="str">
        <f>IFERROR(INDEX('8'!C$300:C$400,MATCH("*"&amp;I91&amp;"*",'8'!B$300:B$400,0)),"  ")</f>
        <v xml:space="preserve">  </v>
      </c>
      <c r="AD91" s="97" t="str">
        <f ca="1">IFERROR(INDEX('9'!C$300:C$400,MATCH("*"&amp;I91&amp;"*",'9'!B$300:B$400,0)),"  ")</f>
        <v xml:space="preserve">  </v>
      </c>
      <c r="AE91" s="97" t="str">
        <f>IFERROR(INDEX('10'!C$300:C$400,MATCH("*"&amp;I91&amp;"*",'10'!B$300:B$400,0)),"  ")</f>
        <v xml:space="preserve">  </v>
      </c>
      <c r="AF91" s="97" t="str">
        <f>IFERROR(INDEX('11'!C$300:C$400,MATCH("*"&amp;I91&amp;"*",'11'!B$300:B$400,0)),"  ")</f>
        <v xml:space="preserve">  </v>
      </c>
      <c r="AG91" s="294">
        <f t="shared" ca="1" si="44"/>
        <v>1</v>
      </c>
      <c r="AH91" s="794">
        <f t="shared" ca="1" si="45"/>
        <v>0</v>
      </c>
      <c r="AI91" s="796">
        <f t="shared" ca="1" si="46"/>
        <v>0</v>
      </c>
      <c r="AJ91" s="303">
        <f t="shared" ca="1" si="47"/>
        <v>0</v>
      </c>
      <c r="AK91" s="405">
        <f t="shared" si="48"/>
        <v>1E-4</v>
      </c>
      <c r="AL91" s="405">
        <f t="shared" ca="1" si="49"/>
        <v>2.0000000000000001E-4</v>
      </c>
      <c r="AM91" s="442">
        <f t="array" aca="1" ref="AM91" ca="1">MIN(IF(V$5:AF$5="ESMV",IF(V91:AF91="  ",FALSE,V91:AF91)+COLUMN(V:AF)/10000))</f>
        <v>2.3E-3</v>
      </c>
      <c r="AN91" s="405">
        <f t="shared" si="50"/>
        <v>2.9999999999999997E-4</v>
      </c>
    </row>
    <row r="92" spans="1:40" s="2" customFormat="1" ht="12.75" customHeight="1" x14ac:dyDescent="0.2">
      <c r="A92" s="328" t="s">
        <v>257</v>
      </c>
      <c r="B92" s="331" t="str">
        <f t="shared" si="34"/>
        <v/>
      </c>
      <c r="C92" s="329" t="str">
        <f t="shared" si="35"/>
        <v/>
      </c>
      <c r="D92" s="907" t="s">
        <v>257</v>
      </c>
      <c r="E92" s="331" t="str">
        <f t="shared" si="36"/>
        <v/>
      </c>
      <c r="F92" s="330" t="str">
        <f t="shared" si="37"/>
        <v/>
      </c>
      <c r="G92" s="390">
        <f t="shared" ca="1" si="38"/>
        <v>83</v>
      </c>
      <c r="H92" s="76">
        <v>83</v>
      </c>
      <c r="I92" s="98" t="s">
        <v>228</v>
      </c>
      <c r="J92" s="800">
        <v>2</v>
      </c>
      <c r="K92" s="801">
        <f t="array" aca="1" ref="K92" ca="1">(IF(COUNT(V92,X92,AA92,AB92,AC92,AE92)&lt;4,SUM(V92,X92,AA92,AB92,AC92,AE92),SUM(LARGE((V92,X92,AA92,AB92,AC92,AE92),{1;2;3;4}))))+(IF(COUNT(W92,Y92,Z92,AD92,AF92)&lt;4,SUM(W92,Y92,Z92,AD92,AF92),SUM(LARGE((W92,Y92,Z92,AD92,AF92),{1;2;3;4}))))</f>
        <v>2</v>
      </c>
      <c r="L92" s="397" t="str">
        <f ca="1">INDEX(ETAPP!B$1:B$32,MATCH(COUNTIF(V92:AF92,PUNKTID!A$1),ETAPP!A$1:A$32,0))&amp;INDEX(ETAPP!B$1:B$32,MATCH(COUNTIF(V92:AF92,PUNKTID!A$2),ETAPP!A$1:A$32,0))&amp;INDEX(ETAPP!B$1:B$32,MATCH(COUNTIF(V92:AF92,PUNKTID!A$3),ETAPP!A$1:A$32,0))&amp;INDEX(ETAPP!B$1:B$32,MATCH(COUNTIF(V92:AF92,PUNKTID!A$4),ETAPP!A$1:A$32,0))&amp;INDEX(ETAPP!B$1:B$32,MATCH(COUNTIF(V92:AF92,PUNKTID!A$5),ETAPP!A$1:A$32,0))&amp;INDEX(ETAPP!B$1:B$32,MATCH(COUNTIF(V92:AF92,PUNKTID!A$6),ETAPP!A$1:A$32,0))&amp;INDEX(ETAPP!B$1:B$32,MATCH(COUNTIF(V92:AF92,PUNKTID!A$7),ETAPP!A$1:A$32,0))&amp;INDEX(ETAPP!B$1:B$32,MATCH(COUNTIF(V92:AF92,PUNKTID!A$8),ETAPP!A$1:A$32,0))&amp;INDEX(ETAPP!B$1:B$32,MATCH(COUNTIF(V92:AF92,PUNKTID!A$9),ETAPP!A$1:A$32,0))&amp;INDEX(ETAPP!B$1:B$32,MATCH(COUNTIF(V92:AF92,PUNKTID!A$10),ETAPP!A$1:A$32,0))&amp;INDEX(ETAPP!B$1:B$32,MATCH(COUNTIF(V92:AF92,PUNKTID!A$11),ETAPP!A$1:A$32,0))&amp;INDEX(ETAPP!B$1:B$32,MATCH(COUNTIF(V92:AF92,PUNKTID!A$12),ETAPP!A$1:A$32,0))&amp;INDEX(ETAPP!B$1:B$32,MATCH(COUNTIF(V92:AF92,PUNKTID!A$13),ETAPP!A$1:A$32,0))&amp;INDEX(ETAPP!B$1:B$32,MATCH(COUNTIF(V92:AF92,PUNKTID!A$14),ETAPP!A$1:A$32,0))</f>
        <v>000000000A000E</v>
      </c>
      <c r="M92" s="397" t="str">
        <f t="shared" ca="1" si="39"/>
        <v>002,0-000000000A000E</v>
      </c>
      <c r="N92" s="320">
        <f t="shared" ca="1" si="40"/>
        <v>93</v>
      </c>
      <c r="O92" s="320">
        <f t="shared" si="41"/>
        <v>87</v>
      </c>
      <c r="P92" s="397" t="str">
        <f t="shared" ca="1" si="42"/>
        <v>002,0-000000000A000E-087</v>
      </c>
      <c r="Q92" s="320">
        <f t="shared" ca="1" si="43"/>
        <v>16</v>
      </c>
      <c r="R92" s="328"/>
      <c r="S92" s="380"/>
      <c r="T92" s="400"/>
      <c r="U92" s="559"/>
      <c r="V92" s="97" t="str">
        <f>IFERROR(INDEX('1'!C$300:C$400,MATCH("*"&amp;I92&amp;"*",'1'!B$300:B$400,0)),"  ")</f>
        <v xml:space="preserve">  </v>
      </c>
      <c r="W92" s="97">
        <f>IFERROR(INDEX('2'!C$300:C$400,MATCH("*"&amp;I92&amp;"*",'2'!B$300:B$400,0)),"  ")</f>
        <v>2</v>
      </c>
      <c r="X92" s="97" t="str">
        <f>IFERROR(INDEX('3'!C$300:C$400,MATCH("*"&amp;I92&amp;"*",'3'!B$300:B$400,0)),"  ")</f>
        <v xml:space="preserve">  </v>
      </c>
      <c r="Y92" s="97" t="str">
        <f>IFERROR(INDEX('4'!C$300:C$400,MATCH("*"&amp;I92&amp;"*",'4'!B$300:B$400,0)),"  ")</f>
        <v xml:space="preserve">  </v>
      </c>
      <c r="Z92" s="97" t="str">
        <f>IFERROR(INDEX('5'!C$300:C$400,MATCH("*"&amp;I92&amp;"*",'5'!B$300:B$400,0)),"  ")</f>
        <v xml:space="preserve">  </v>
      </c>
      <c r="AA92" s="97" t="str">
        <f>IFERROR(INDEX('6'!C$300:C$400,MATCH("*"&amp;I92&amp;"*",'6'!B$300:B$400,0)),"  ")</f>
        <v xml:space="preserve">  </v>
      </c>
      <c r="AB92" s="97" t="str">
        <f>IFERROR(INDEX('7'!C$300:C$400,MATCH("*"&amp;I92&amp;"*",'7'!B$300:B$400,0)),"  ")</f>
        <v xml:space="preserve">  </v>
      </c>
      <c r="AC92" s="97" t="str">
        <f>IFERROR(INDEX('8'!C$300:C$400,MATCH("*"&amp;I92&amp;"*",'8'!B$300:B$400,0)),"  ")</f>
        <v xml:space="preserve">  </v>
      </c>
      <c r="AD92" s="97" t="str">
        <f ca="1">IFERROR(INDEX('9'!C$300:C$400,MATCH("*"&amp;I92&amp;"*",'9'!B$300:B$400,0)),"  ")</f>
        <v xml:space="preserve">  </v>
      </c>
      <c r="AE92" s="97" t="str">
        <f>IFERROR(INDEX('10'!C$300:C$400,MATCH("*"&amp;I92&amp;"*",'10'!B$300:B$400,0)),"  ")</f>
        <v xml:space="preserve">  </v>
      </c>
      <c r="AF92" s="97" t="str">
        <f>IFERROR(INDEX('11'!C$300:C$400,MATCH("*"&amp;I92&amp;"*",'11'!B$300:B$400,0)),"  ")</f>
        <v xml:space="preserve">  </v>
      </c>
      <c r="AG92" s="294">
        <f t="shared" ca="1" si="44"/>
        <v>1</v>
      </c>
      <c r="AH92" s="794">
        <f t="shared" ca="1" si="45"/>
        <v>0</v>
      </c>
      <c r="AI92" s="796">
        <f t="shared" ca="1" si="46"/>
        <v>0</v>
      </c>
      <c r="AJ92" s="303">
        <f t="shared" ca="1" si="47"/>
        <v>0</v>
      </c>
      <c r="AK92" s="405">
        <f t="shared" si="48"/>
        <v>1E-4</v>
      </c>
      <c r="AL92" s="405">
        <f t="shared" ca="1" si="49"/>
        <v>4.0000000000000002E-4</v>
      </c>
      <c r="AM92" s="442">
        <f t="array" aca="1" ref="AM92" ca="1">MIN(IF(V$5:AF$5="ESMV",IF(V92:AF92="  ",FALSE,V92:AF92)+COLUMN(V:AF)/10000))</f>
        <v>2.5000000000000001E-3</v>
      </c>
      <c r="AN92" s="405">
        <f t="shared" si="50"/>
        <v>2.9999999999999997E-4</v>
      </c>
    </row>
    <row r="93" spans="1:40" s="2" customFormat="1" ht="12.75" customHeight="1" x14ac:dyDescent="0.2">
      <c r="A93" s="328">
        <v>28</v>
      </c>
      <c r="B93" s="331">
        <f t="shared" ca="1" si="34"/>
        <v>28</v>
      </c>
      <c r="C93" s="329" t="str">
        <f t="shared" ca="1" si="35"/>
        <v>002,0-000000000A000E</v>
      </c>
      <c r="D93" s="907" t="s">
        <v>257</v>
      </c>
      <c r="E93" s="331" t="str">
        <f t="shared" si="36"/>
        <v/>
      </c>
      <c r="F93" s="330" t="str">
        <f t="shared" si="37"/>
        <v/>
      </c>
      <c r="G93" s="390">
        <f t="shared" ca="1" si="38"/>
        <v>83</v>
      </c>
      <c r="H93" s="76">
        <v>83</v>
      </c>
      <c r="I93" s="98" t="s">
        <v>247</v>
      </c>
      <c r="J93" s="800">
        <v>2</v>
      </c>
      <c r="K93" s="801">
        <f t="array" aca="1" ref="K93" ca="1">(IF(COUNT(V93,X93,AA93,AB93,AC93,AE93)&lt;4,SUM(V93,X93,AA93,AB93,AC93,AE93),SUM(LARGE((V93,X93,AA93,AB93,AC93,AE93),{1;2;3;4}))))+(IF(COUNT(W93,Y93,Z93,AD93,AF93)&lt;4,SUM(W93,Y93,Z93,AD93,AF93),SUM(LARGE((W93,Y93,Z93,AD93,AF93),{1;2;3;4}))))</f>
        <v>2</v>
      </c>
      <c r="L93" s="397" t="str">
        <f ca="1">INDEX(ETAPP!B$1:B$32,MATCH(COUNTIF(V93:AF93,PUNKTID!A$1),ETAPP!A$1:A$32,0))&amp;INDEX(ETAPP!B$1:B$32,MATCH(COUNTIF(V93:AF93,PUNKTID!A$2),ETAPP!A$1:A$32,0))&amp;INDEX(ETAPP!B$1:B$32,MATCH(COUNTIF(V93:AF93,PUNKTID!A$3),ETAPP!A$1:A$32,0))&amp;INDEX(ETAPP!B$1:B$32,MATCH(COUNTIF(V93:AF93,PUNKTID!A$4),ETAPP!A$1:A$32,0))&amp;INDEX(ETAPP!B$1:B$32,MATCH(COUNTIF(V93:AF93,PUNKTID!A$5),ETAPP!A$1:A$32,0))&amp;INDEX(ETAPP!B$1:B$32,MATCH(COUNTIF(V93:AF93,PUNKTID!A$6),ETAPP!A$1:A$32,0))&amp;INDEX(ETAPP!B$1:B$32,MATCH(COUNTIF(V93:AF93,PUNKTID!A$7),ETAPP!A$1:A$32,0))&amp;INDEX(ETAPP!B$1:B$32,MATCH(COUNTIF(V93:AF93,PUNKTID!A$8),ETAPP!A$1:A$32,0))&amp;INDEX(ETAPP!B$1:B$32,MATCH(COUNTIF(V93:AF93,PUNKTID!A$9),ETAPP!A$1:A$32,0))&amp;INDEX(ETAPP!B$1:B$32,MATCH(COUNTIF(V93:AF93,PUNKTID!A$10),ETAPP!A$1:A$32,0))&amp;INDEX(ETAPP!B$1:B$32,MATCH(COUNTIF(V93:AF93,PUNKTID!A$11),ETAPP!A$1:A$32,0))&amp;INDEX(ETAPP!B$1:B$32,MATCH(COUNTIF(V93:AF93,PUNKTID!A$12),ETAPP!A$1:A$32,0))&amp;INDEX(ETAPP!B$1:B$32,MATCH(COUNTIF(V93:AF93,PUNKTID!A$13),ETAPP!A$1:A$32,0))&amp;INDEX(ETAPP!B$1:B$32,MATCH(COUNTIF(V93:AF93,PUNKTID!A$14),ETAPP!A$1:A$32,0))</f>
        <v>000000000A000E</v>
      </c>
      <c r="M93" s="397" t="str">
        <f t="shared" ca="1" si="39"/>
        <v>002,0-000000000A000E</v>
      </c>
      <c r="N93" s="320">
        <f t="shared" ca="1" si="40"/>
        <v>93</v>
      </c>
      <c r="O93" s="320">
        <f t="shared" si="41"/>
        <v>80</v>
      </c>
      <c r="P93" s="397" t="str">
        <f t="shared" ca="1" si="42"/>
        <v>002,0-000000000A000E-080</v>
      </c>
      <c r="Q93" s="320">
        <f t="shared" ca="1" si="43"/>
        <v>15</v>
      </c>
      <c r="R93" s="328" t="s">
        <v>562</v>
      </c>
      <c r="S93" s="380"/>
      <c r="T93" s="400"/>
      <c r="U93" s="559"/>
      <c r="V93" s="97" t="str">
        <f>IFERROR(INDEX('1'!C$300:C$400,MATCH("*"&amp;I93&amp;"*",'1'!B$300:B$400,0)),"  ")</f>
        <v xml:space="preserve">  </v>
      </c>
      <c r="W93" s="97">
        <f>IFERROR(INDEX('2'!C$300:C$400,MATCH("*"&amp;I93&amp;"*",'2'!B$300:B$400,0)),"  ")</f>
        <v>2</v>
      </c>
      <c r="X93" s="97" t="str">
        <f>IFERROR(INDEX('3'!C$300:C$400,MATCH("*"&amp;I93&amp;"*",'3'!B$300:B$400,0)),"  ")</f>
        <v xml:space="preserve">  </v>
      </c>
      <c r="Y93" s="97" t="str">
        <f>IFERROR(INDEX('4'!C$300:C$400,MATCH("*"&amp;I93&amp;"*",'4'!B$300:B$400,0)),"  ")</f>
        <v xml:space="preserve">  </v>
      </c>
      <c r="Z93" s="97" t="str">
        <f>IFERROR(INDEX('5'!C$300:C$400,MATCH("*"&amp;I93&amp;"*",'5'!B$300:B$400,0)),"  ")</f>
        <v xml:space="preserve">  </v>
      </c>
      <c r="AA93" s="97" t="str">
        <f>IFERROR(INDEX('6'!C$300:C$400,MATCH("*"&amp;I93&amp;"*",'6'!B$300:B$400,0)),"  ")</f>
        <v xml:space="preserve">  </v>
      </c>
      <c r="AB93" s="97" t="str">
        <f>IFERROR(INDEX('7'!C$300:C$400,MATCH("*"&amp;I93&amp;"*",'7'!B$300:B$400,0)),"  ")</f>
        <v xml:space="preserve">  </v>
      </c>
      <c r="AC93" s="97" t="str">
        <f>IFERROR(INDEX('8'!C$300:C$400,MATCH("*"&amp;I93&amp;"*",'8'!B$300:B$400,0)),"  ")</f>
        <v xml:space="preserve">  </v>
      </c>
      <c r="AD93" s="97" t="str">
        <f ca="1">IFERROR(INDEX('9'!C$300:C$400,MATCH("*"&amp;I93&amp;"*",'9'!B$300:B$400,0)),"  ")</f>
        <v xml:space="preserve">  </v>
      </c>
      <c r="AE93" s="97" t="str">
        <f>IFERROR(INDEX('10'!C$300:C$400,MATCH("*"&amp;I93&amp;"*",'10'!B$300:B$400,0)),"  ")</f>
        <v xml:space="preserve">  </v>
      </c>
      <c r="AF93" s="97" t="str">
        <f>IFERROR(INDEX('11'!C$300:C$400,MATCH("*"&amp;I93&amp;"*",'11'!B$300:B$400,0)),"  ")</f>
        <v xml:space="preserve">  </v>
      </c>
      <c r="AG93" s="294">
        <f t="shared" ca="1" si="44"/>
        <v>1</v>
      </c>
      <c r="AH93" s="794">
        <f t="shared" ca="1" si="45"/>
        <v>0</v>
      </c>
      <c r="AI93" s="796">
        <f t="shared" ca="1" si="46"/>
        <v>0</v>
      </c>
      <c r="AJ93" s="303">
        <f t="shared" ca="1" si="47"/>
        <v>0</v>
      </c>
      <c r="AK93" s="405">
        <f t="shared" si="48"/>
        <v>1E-4</v>
      </c>
      <c r="AL93" s="405">
        <f t="shared" ca="1" si="49"/>
        <v>4.0000000000000002E-4</v>
      </c>
      <c r="AM93" s="442">
        <f t="array" aca="1" ref="AM93" ca="1">MIN(IF(V$5:AF$5="ESMV",IF(V93:AF93="  ",FALSE,V93:AF93)+COLUMN(V:AF)/10000))</f>
        <v>2.5000000000000001E-3</v>
      </c>
      <c r="AN93" s="405">
        <f t="shared" si="50"/>
        <v>2.9999999999999997E-4</v>
      </c>
    </row>
    <row r="94" spans="1:40" s="2" customFormat="1" ht="12.75" customHeight="1" x14ac:dyDescent="0.2">
      <c r="A94" s="328" t="s">
        <v>257</v>
      </c>
      <c r="B94" s="331" t="str">
        <f t="shared" si="34"/>
        <v/>
      </c>
      <c r="C94" s="329" t="str">
        <f t="shared" si="35"/>
        <v/>
      </c>
      <c r="D94" s="907" t="s">
        <v>257</v>
      </c>
      <c r="E94" s="331" t="str">
        <f t="shared" si="36"/>
        <v/>
      </c>
      <c r="F94" s="330" t="str">
        <f t="shared" si="37"/>
        <v/>
      </c>
      <c r="G94" s="390">
        <f t="shared" ca="1" si="38"/>
        <v>83</v>
      </c>
      <c r="H94" s="76">
        <v>83</v>
      </c>
      <c r="I94" s="98" t="s">
        <v>248</v>
      </c>
      <c r="J94" s="800">
        <v>2</v>
      </c>
      <c r="K94" s="801">
        <f t="array" aca="1" ref="K94" ca="1">(IF(COUNT(V94,X94,AA94,AB94,AC94,AE94)&lt;4,SUM(V94,X94,AA94,AB94,AC94,AE94),SUM(LARGE((V94,X94,AA94,AB94,AC94,AE94),{1;2;3;4}))))+(IF(COUNT(W94,Y94,Z94,AD94,AF94)&lt;4,SUM(W94,Y94,Z94,AD94,AF94),SUM(LARGE((W94,Y94,Z94,AD94,AF94),{1;2;3;4}))))</f>
        <v>2</v>
      </c>
      <c r="L94" s="397" t="str">
        <f ca="1">INDEX(ETAPP!B$1:B$32,MATCH(COUNTIF(V94:AF94,PUNKTID!A$1),ETAPP!A$1:A$32,0))&amp;INDEX(ETAPP!B$1:B$32,MATCH(COUNTIF(V94:AF94,PUNKTID!A$2),ETAPP!A$1:A$32,0))&amp;INDEX(ETAPP!B$1:B$32,MATCH(COUNTIF(V94:AF94,PUNKTID!A$3),ETAPP!A$1:A$32,0))&amp;INDEX(ETAPP!B$1:B$32,MATCH(COUNTIF(V94:AF94,PUNKTID!A$4),ETAPP!A$1:A$32,0))&amp;INDEX(ETAPP!B$1:B$32,MATCH(COUNTIF(V94:AF94,PUNKTID!A$5),ETAPP!A$1:A$32,0))&amp;INDEX(ETAPP!B$1:B$32,MATCH(COUNTIF(V94:AF94,PUNKTID!A$6),ETAPP!A$1:A$32,0))&amp;INDEX(ETAPP!B$1:B$32,MATCH(COUNTIF(V94:AF94,PUNKTID!A$7),ETAPP!A$1:A$32,0))&amp;INDEX(ETAPP!B$1:B$32,MATCH(COUNTIF(V94:AF94,PUNKTID!A$8),ETAPP!A$1:A$32,0))&amp;INDEX(ETAPP!B$1:B$32,MATCH(COUNTIF(V94:AF94,PUNKTID!A$9),ETAPP!A$1:A$32,0))&amp;INDEX(ETAPP!B$1:B$32,MATCH(COUNTIF(V94:AF94,PUNKTID!A$10),ETAPP!A$1:A$32,0))&amp;INDEX(ETAPP!B$1:B$32,MATCH(COUNTIF(V94:AF94,PUNKTID!A$11),ETAPP!A$1:A$32,0))&amp;INDEX(ETAPP!B$1:B$32,MATCH(COUNTIF(V94:AF94,PUNKTID!A$12),ETAPP!A$1:A$32,0))&amp;INDEX(ETAPP!B$1:B$32,MATCH(COUNTIF(V94:AF94,PUNKTID!A$13),ETAPP!A$1:A$32,0))&amp;INDEX(ETAPP!B$1:B$32,MATCH(COUNTIF(V94:AF94,PUNKTID!A$14),ETAPP!A$1:A$32,0))</f>
        <v>000000000A000E</v>
      </c>
      <c r="M94" s="397" t="str">
        <f t="shared" ca="1" si="39"/>
        <v>002,0-000000000A000E</v>
      </c>
      <c r="N94" s="320">
        <f t="shared" ca="1" si="40"/>
        <v>93</v>
      </c>
      <c r="O94" s="320">
        <f t="shared" si="41"/>
        <v>62</v>
      </c>
      <c r="P94" s="397" t="str">
        <f t="shared" ca="1" si="42"/>
        <v>002,0-000000000A000E-062</v>
      </c>
      <c r="Q94" s="320">
        <f t="shared" ca="1" si="43"/>
        <v>14</v>
      </c>
      <c r="R94" s="328"/>
      <c r="S94" s="380"/>
      <c r="T94" s="400"/>
      <c r="U94" s="559"/>
      <c r="V94" s="97" t="str">
        <f>IFERROR(INDEX('1'!C$300:C$400,MATCH("*"&amp;I94&amp;"*",'1'!B$300:B$400,0)),"  ")</f>
        <v xml:space="preserve">  </v>
      </c>
      <c r="W94" s="97">
        <f>IFERROR(INDEX('2'!C$300:C$400,MATCH("*"&amp;I94&amp;"*",'2'!B$300:B$400,0)),"  ")</f>
        <v>2</v>
      </c>
      <c r="X94" s="97" t="str">
        <f>IFERROR(INDEX('3'!C$300:C$400,MATCH("*"&amp;I94&amp;"*",'3'!B$300:B$400,0)),"  ")</f>
        <v xml:space="preserve">  </v>
      </c>
      <c r="Y94" s="97" t="str">
        <f>IFERROR(INDEX('4'!C$300:C$400,MATCH("*"&amp;I94&amp;"*",'4'!B$300:B$400,0)),"  ")</f>
        <v xml:space="preserve">  </v>
      </c>
      <c r="Z94" s="97" t="str">
        <f>IFERROR(INDEX('5'!C$300:C$400,MATCH("*"&amp;I94&amp;"*",'5'!B$300:B$400,0)),"  ")</f>
        <v xml:space="preserve">  </v>
      </c>
      <c r="AA94" s="97" t="str">
        <f>IFERROR(INDEX('6'!C$300:C$400,MATCH("*"&amp;I94&amp;"*",'6'!B$300:B$400,0)),"  ")</f>
        <v xml:space="preserve">  </v>
      </c>
      <c r="AB94" s="97" t="str">
        <f>IFERROR(INDEX('7'!C$300:C$400,MATCH("*"&amp;I94&amp;"*",'7'!B$300:B$400,0)),"  ")</f>
        <v xml:space="preserve">  </v>
      </c>
      <c r="AC94" s="97" t="str">
        <f>IFERROR(INDEX('8'!C$300:C$400,MATCH("*"&amp;I94&amp;"*",'8'!B$300:B$400,0)),"  ")</f>
        <v xml:space="preserve">  </v>
      </c>
      <c r="AD94" s="97" t="str">
        <f ca="1">IFERROR(INDEX('9'!C$300:C$400,MATCH("*"&amp;I94&amp;"*",'9'!B$300:B$400,0)),"  ")</f>
        <v xml:space="preserve">  </v>
      </c>
      <c r="AE94" s="97" t="str">
        <f>IFERROR(INDEX('10'!C$300:C$400,MATCH("*"&amp;I94&amp;"*",'10'!B$300:B$400,0)),"  ")</f>
        <v xml:space="preserve">  </v>
      </c>
      <c r="AF94" s="97" t="str">
        <f>IFERROR(INDEX('11'!C$300:C$400,MATCH("*"&amp;I94&amp;"*",'11'!B$300:B$400,0)),"  ")</f>
        <v xml:space="preserve">  </v>
      </c>
      <c r="AG94" s="294">
        <f t="shared" ca="1" si="44"/>
        <v>1</v>
      </c>
      <c r="AH94" s="794">
        <f t="shared" ca="1" si="45"/>
        <v>0</v>
      </c>
      <c r="AI94" s="796">
        <f t="shared" ca="1" si="46"/>
        <v>0</v>
      </c>
      <c r="AJ94" s="303">
        <f t="shared" ca="1" si="47"/>
        <v>0</v>
      </c>
      <c r="AK94" s="405">
        <f t="shared" si="48"/>
        <v>1E-4</v>
      </c>
      <c r="AL94" s="405">
        <f t="shared" ca="1" si="49"/>
        <v>4.0000000000000002E-4</v>
      </c>
      <c r="AM94" s="442">
        <f t="array" aca="1" ref="AM94" ca="1">MIN(IF(V$5:AF$5="ESMV",IF(V94:AF94="  ",FALSE,V94:AF94)+COLUMN(V:AF)/10000))</f>
        <v>2.5000000000000001E-3</v>
      </c>
      <c r="AN94" s="405">
        <f t="shared" si="50"/>
        <v>2.9999999999999997E-4</v>
      </c>
    </row>
    <row r="95" spans="1:40" s="2" customFormat="1" ht="12.75" customHeight="1" x14ac:dyDescent="0.2">
      <c r="A95" s="328" t="s">
        <v>257</v>
      </c>
      <c r="B95" s="331" t="str">
        <f t="shared" si="34"/>
        <v/>
      </c>
      <c r="C95" s="329" t="str">
        <f t="shared" si="35"/>
        <v/>
      </c>
      <c r="D95" s="907" t="s">
        <v>257</v>
      </c>
      <c r="E95" s="331" t="str">
        <f t="shared" si="36"/>
        <v/>
      </c>
      <c r="F95" s="330" t="str">
        <f t="shared" si="37"/>
        <v/>
      </c>
      <c r="G95" s="390">
        <f t="shared" ca="1" si="38"/>
        <v>83</v>
      </c>
      <c r="H95" s="76">
        <v>83</v>
      </c>
      <c r="I95" s="98" t="s">
        <v>207</v>
      </c>
      <c r="J95" s="800">
        <v>2</v>
      </c>
      <c r="K95" s="801">
        <f t="array" aca="1" ref="K95" ca="1">(IF(COUNT(V95,X95,AA95,AB95,AC95,AE95)&lt;4,SUM(V95,X95,AA95,AB95,AC95,AE95),SUM(LARGE((V95,X95,AA95,AB95,AC95,AE95),{1;2;3;4}))))+(IF(COUNT(W95,Y95,Z95,AD95,AF95)&lt;4,SUM(W95,Y95,Z95,AD95,AF95),SUM(LARGE((W95,Y95,Z95,AD95,AF95),{1;2;3;4}))))</f>
        <v>2</v>
      </c>
      <c r="L95" s="397" t="str">
        <f ca="1">INDEX(ETAPP!B$1:B$32,MATCH(COUNTIF(V95:AF95,PUNKTID!A$1),ETAPP!A$1:A$32,0))&amp;INDEX(ETAPP!B$1:B$32,MATCH(COUNTIF(V95:AF95,PUNKTID!A$2),ETAPP!A$1:A$32,0))&amp;INDEX(ETAPP!B$1:B$32,MATCH(COUNTIF(V95:AF95,PUNKTID!A$3),ETAPP!A$1:A$32,0))&amp;INDEX(ETAPP!B$1:B$32,MATCH(COUNTIF(V95:AF95,PUNKTID!A$4),ETAPP!A$1:A$32,0))&amp;INDEX(ETAPP!B$1:B$32,MATCH(COUNTIF(V95:AF95,PUNKTID!A$5),ETAPP!A$1:A$32,0))&amp;INDEX(ETAPP!B$1:B$32,MATCH(COUNTIF(V95:AF95,PUNKTID!A$6),ETAPP!A$1:A$32,0))&amp;INDEX(ETAPP!B$1:B$32,MATCH(COUNTIF(V95:AF95,PUNKTID!A$7),ETAPP!A$1:A$32,0))&amp;INDEX(ETAPP!B$1:B$32,MATCH(COUNTIF(V95:AF95,PUNKTID!A$8),ETAPP!A$1:A$32,0))&amp;INDEX(ETAPP!B$1:B$32,MATCH(COUNTIF(V95:AF95,PUNKTID!A$9),ETAPP!A$1:A$32,0))&amp;INDEX(ETAPP!B$1:B$32,MATCH(COUNTIF(V95:AF95,PUNKTID!A$10),ETAPP!A$1:A$32,0))&amp;INDEX(ETAPP!B$1:B$32,MATCH(COUNTIF(V95:AF95,PUNKTID!A$11),ETAPP!A$1:A$32,0))&amp;INDEX(ETAPP!B$1:B$32,MATCH(COUNTIF(V95:AF95,PUNKTID!A$12),ETAPP!A$1:A$32,0))&amp;INDEX(ETAPP!B$1:B$32,MATCH(COUNTIF(V95:AF95,PUNKTID!A$13),ETAPP!A$1:A$32,0))&amp;INDEX(ETAPP!B$1:B$32,MATCH(COUNTIF(V95:AF95,PUNKTID!A$14),ETAPP!A$1:A$32,0))</f>
        <v>000000000A000E</v>
      </c>
      <c r="M95" s="397" t="str">
        <f t="shared" ca="1" si="39"/>
        <v>002,0-000000000A000E</v>
      </c>
      <c r="N95" s="320">
        <f t="shared" ca="1" si="40"/>
        <v>93</v>
      </c>
      <c r="O95" s="320">
        <f t="shared" si="41"/>
        <v>55</v>
      </c>
      <c r="P95" s="397" t="str">
        <f t="shared" ca="1" si="42"/>
        <v>002,0-000000000A000E-055</v>
      </c>
      <c r="Q95" s="320">
        <f t="shared" ca="1" si="43"/>
        <v>13</v>
      </c>
      <c r="R95" s="328"/>
      <c r="S95" s="380"/>
      <c r="T95" s="400"/>
      <c r="U95" s="559"/>
      <c r="V95" s="97" t="str">
        <f>IFERROR(INDEX('1'!C$300:C$400,MATCH("*"&amp;I95&amp;"*",'1'!B$300:B$400,0)),"  ")</f>
        <v xml:space="preserve">  </v>
      </c>
      <c r="W95" s="97" t="str">
        <f>IFERROR(INDEX('2'!C$300:C$400,MATCH("*"&amp;I95&amp;"*",'2'!B$300:B$400,0)),"  ")</f>
        <v xml:space="preserve">  </v>
      </c>
      <c r="X95" s="97" t="str">
        <f>IFERROR(INDEX('3'!C$300:C$400,MATCH("*"&amp;I95&amp;"*",'3'!B$300:B$400,0)),"  ")</f>
        <v xml:space="preserve">  </v>
      </c>
      <c r="Y95" s="97">
        <f>IFERROR(INDEX('4'!C$300:C$400,MATCH("*"&amp;I95&amp;"*",'4'!B$300:B$400,0)),"  ")</f>
        <v>2</v>
      </c>
      <c r="Z95" s="97" t="str">
        <f>IFERROR(INDEX('5'!C$300:C$400,MATCH("*"&amp;I95&amp;"*",'5'!B$300:B$400,0)),"  ")</f>
        <v xml:space="preserve">  </v>
      </c>
      <c r="AA95" s="97" t="str">
        <f>IFERROR(INDEX('6'!C$300:C$400,MATCH("*"&amp;I95&amp;"*",'6'!B$300:B$400,0)),"  ")</f>
        <v xml:space="preserve">  </v>
      </c>
      <c r="AB95" s="97" t="str">
        <f>IFERROR(INDEX('7'!C$300:C$400,MATCH("*"&amp;I95&amp;"*",'7'!B$300:B$400,0)),"  ")</f>
        <v xml:space="preserve">  </v>
      </c>
      <c r="AC95" s="97" t="str">
        <f>IFERROR(INDEX('8'!C$300:C$400,MATCH("*"&amp;I95&amp;"*",'8'!B$300:B$400,0)),"  ")</f>
        <v xml:space="preserve">  </v>
      </c>
      <c r="AD95" s="97" t="str">
        <f ca="1">IFERROR(INDEX('9'!C$300:C$400,MATCH("*"&amp;I95&amp;"*",'9'!B$300:B$400,0)),"  ")</f>
        <v xml:space="preserve">  </v>
      </c>
      <c r="AE95" s="97" t="str">
        <f>IFERROR(INDEX('10'!C$300:C$400,MATCH("*"&amp;I95&amp;"*",'10'!B$300:B$400,0)),"  ")</f>
        <v xml:space="preserve">  </v>
      </c>
      <c r="AF95" s="97" t="str">
        <f>IFERROR(INDEX('11'!C$300:C$400,MATCH("*"&amp;I95&amp;"*",'11'!B$300:B$400,0)),"  ")</f>
        <v xml:space="preserve">  </v>
      </c>
      <c r="AG95" s="294">
        <f t="shared" ca="1" si="44"/>
        <v>1</v>
      </c>
      <c r="AH95" s="794">
        <f t="shared" ca="1" si="45"/>
        <v>0</v>
      </c>
      <c r="AI95" s="796">
        <f t="shared" ca="1" si="46"/>
        <v>0</v>
      </c>
      <c r="AJ95" s="303">
        <f t="shared" ca="1" si="47"/>
        <v>0</v>
      </c>
      <c r="AK95" s="405">
        <f t="shared" si="48"/>
        <v>1E-4</v>
      </c>
      <c r="AL95" s="405">
        <f t="shared" ca="1" si="49"/>
        <v>2.0000000000000001E-4</v>
      </c>
      <c r="AM95" s="442">
        <f t="array" aca="1" ref="AM95" ca="1">MIN(IF(V$5:AF$5="ESMV",IF(V95:AF95="  ",FALSE,V95:AF95)+COLUMN(V:AF)/10000))</f>
        <v>2.3E-3</v>
      </c>
      <c r="AN95" s="405">
        <f t="shared" si="50"/>
        <v>2.9999999999999997E-4</v>
      </c>
    </row>
    <row r="96" spans="1:40" s="2" customFormat="1" ht="12.75" customHeight="1" x14ac:dyDescent="0.2">
      <c r="A96" s="328" t="s">
        <v>257</v>
      </c>
      <c r="B96" s="331" t="str">
        <f t="shared" si="34"/>
        <v/>
      </c>
      <c r="C96" s="329" t="str">
        <f t="shared" si="35"/>
        <v/>
      </c>
      <c r="D96" s="907">
        <v>4</v>
      </c>
      <c r="E96" s="331">
        <f t="shared" ca="1" si="36"/>
        <v>4</v>
      </c>
      <c r="F96" s="330" t="str">
        <f t="shared" ca="1" si="37"/>
        <v>002,0-000000000A000E</v>
      </c>
      <c r="G96" s="390">
        <f t="shared" ca="1" si="38"/>
        <v>83</v>
      </c>
      <c r="H96" s="76">
        <v>83</v>
      </c>
      <c r="I96" s="98" t="s">
        <v>192</v>
      </c>
      <c r="J96" s="800">
        <v>2</v>
      </c>
      <c r="K96" s="801">
        <f t="array" aca="1" ref="K96" ca="1">(IF(COUNT(V96,X96,AA96,AB96,AC96,AE96)&lt;4,SUM(V96,X96,AA96,AB96,AC96,AE96),SUM(LARGE((V96,X96,AA96,AB96,AC96,AE96),{1;2;3;4}))))+(IF(COUNT(W96,Y96,Z96,AD96,AF96)&lt;4,SUM(W96,Y96,Z96,AD96,AF96),SUM(LARGE((W96,Y96,Z96,AD96,AF96),{1;2;3;4}))))</f>
        <v>2</v>
      </c>
      <c r="L96" s="397" t="str">
        <f ca="1">INDEX(ETAPP!B$1:B$32,MATCH(COUNTIF(V96:AF96,PUNKTID!A$1),ETAPP!A$1:A$32,0))&amp;INDEX(ETAPP!B$1:B$32,MATCH(COUNTIF(V96:AF96,PUNKTID!A$2),ETAPP!A$1:A$32,0))&amp;INDEX(ETAPP!B$1:B$32,MATCH(COUNTIF(V96:AF96,PUNKTID!A$3),ETAPP!A$1:A$32,0))&amp;INDEX(ETAPP!B$1:B$32,MATCH(COUNTIF(V96:AF96,PUNKTID!A$4),ETAPP!A$1:A$32,0))&amp;INDEX(ETAPP!B$1:B$32,MATCH(COUNTIF(V96:AF96,PUNKTID!A$5),ETAPP!A$1:A$32,0))&amp;INDEX(ETAPP!B$1:B$32,MATCH(COUNTIF(V96:AF96,PUNKTID!A$6),ETAPP!A$1:A$32,0))&amp;INDEX(ETAPP!B$1:B$32,MATCH(COUNTIF(V96:AF96,PUNKTID!A$7),ETAPP!A$1:A$32,0))&amp;INDEX(ETAPP!B$1:B$32,MATCH(COUNTIF(V96:AF96,PUNKTID!A$8),ETAPP!A$1:A$32,0))&amp;INDEX(ETAPP!B$1:B$32,MATCH(COUNTIF(V96:AF96,PUNKTID!A$9),ETAPP!A$1:A$32,0))&amp;INDEX(ETAPP!B$1:B$32,MATCH(COUNTIF(V96:AF96,PUNKTID!A$10),ETAPP!A$1:A$32,0))&amp;INDEX(ETAPP!B$1:B$32,MATCH(COUNTIF(V96:AF96,PUNKTID!A$11),ETAPP!A$1:A$32,0))&amp;INDEX(ETAPP!B$1:B$32,MATCH(COUNTIF(V96:AF96,PUNKTID!A$12),ETAPP!A$1:A$32,0))&amp;INDEX(ETAPP!B$1:B$32,MATCH(COUNTIF(V96:AF96,PUNKTID!A$13),ETAPP!A$1:A$32,0))&amp;INDEX(ETAPP!B$1:B$32,MATCH(COUNTIF(V96:AF96,PUNKTID!A$14),ETAPP!A$1:A$32,0))</f>
        <v>000000000A000E</v>
      </c>
      <c r="M96" s="397" t="str">
        <f t="shared" ca="1" si="39"/>
        <v>002,0-000000000A000E</v>
      </c>
      <c r="N96" s="320">
        <f t="shared" ca="1" si="40"/>
        <v>93</v>
      </c>
      <c r="O96" s="320">
        <f t="shared" si="41"/>
        <v>28</v>
      </c>
      <c r="P96" s="397" t="str">
        <f t="shared" ca="1" si="42"/>
        <v>002,0-000000000A000E-028</v>
      </c>
      <c r="Q96" s="320">
        <f t="shared" ca="1" si="43"/>
        <v>12</v>
      </c>
      <c r="R96" s="328"/>
      <c r="S96" s="380" t="s">
        <v>563</v>
      </c>
      <c r="T96" s="400"/>
      <c r="U96" s="559"/>
      <c r="V96" s="97" t="str">
        <f>IFERROR(INDEX('1'!C$300:C$400,MATCH("*"&amp;I96&amp;"*",'1'!B$300:B$400,0)),"  ")</f>
        <v xml:space="preserve">  </v>
      </c>
      <c r="W96" s="97" t="str">
        <f>IFERROR(INDEX('2'!C$300:C$400,MATCH("*"&amp;I96&amp;"*",'2'!B$300:B$400,0)),"  ")</f>
        <v xml:space="preserve">  </v>
      </c>
      <c r="X96" s="97" t="str">
        <f>IFERROR(INDEX('3'!C$300:C$400,MATCH("*"&amp;I96&amp;"*",'3'!B$300:B$400,0)),"  ")</f>
        <v xml:space="preserve">  </v>
      </c>
      <c r="Y96" s="97" t="str">
        <f>IFERROR(INDEX('4'!C$300:C$400,MATCH("*"&amp;I96&amp;"*",'4'!B$300:B$400,0)),"  ")</f>
        <v xml:space="preserve">  </v>
      </c>
      <c r="Z96" s="97" t="str">
        <f>IFERROR(INDEX('5'!C$300:C$400,MATCH("*"&amp;I96&amp;"*",'5'!B$300:B$400,0)),"  ")</f>
        <v xml:space="preserve">  </v>
      </c>
      <c r="AA96" s="97" t="str">
        <f>IFERROR(INDEX('6'!C$300:C$400,MATCH("*"&amp;I96&amp;"*",'6'!B$300:B$400,0)),"  ")</f>
        <v xml:space="preserve">  </v>
      </c>
      <c r="AB96" s="97" t="str">
        <f>IFERROR(INDEX('7'!C$300:C$400,MATCH("*"&amp;I96&amp;"*",'7'!B$300:B$400,0)),"  ")</f>
        <v xml:space="preserve">  </v>
      </c>
      <c r="AC96" s="97" t="str">
        <f>IFERROR(INDEX('8'!C$300:C$400,MATCH("*"&amp;I96&amp;"*",'8'!B$300:B$400,0)),"  ")</f>
        <v xml:space="preserve">  </v>
      </c>
      <c r="AD96" s="97">
        <f ca="1">IFERROR(INDEX('9'!C$300:C$400,MATCH("*"&amp;I96&amp;"*",'9'!B$300:B$400,0)),"  ")</f>
        <v>2</v>
      </c>
      <c r="AE96" s="97" t="str">
        <f>IFERROR(INDEX('10'!C$300:C$400,MATCH("*"&amp;I96&amp;"*",'10'!B$300:B$400,0)),"  ")</f>
        <v xml:space="preserve">  </v>
      </c>
      <c r="AF96" s="97" t="str">
        <f>IFERROR(INDEX('11'!C$300:C$400,MATCH("*"&amp;I96&amp;"*",'11'!B$300:B$400,0)),"  ")</f>
        <v xml:space="preserve">  </v>
      </c>
      <c r="AG96" s="294">
        <f t="shared" ca="1" si="44"/>
        <v>1</v>
      </c>
      <c r="AH96" s="794">
        <f t="shared" ca="1" si="45"/>
        <v>0</v>
      </c>
      <c r="AI96" s="796">
        <f t="shared" ca="1" si="46"/>
        <v>0</v>
      </c>
      <c r="AJ96" s="303">
        <f t="shared" ca="1" si="47"/>
        <v>0</v>
      </c>
      <c r="AK96" s="405">
        <f t="shared" si="48"/>
        <v>1E-4</v>
      </c>
      <c r="AL96" s="405">
        <f t="shared" ca="1" si="49"/>
        <v>2.0000000000000001E-4</v>
      </c>
      <c r="AM96" s="442">
        <f t="array" aca="1" ref="AM96" ca="1">MIN(IF(V$5:AF$5="ESMV",IF(V96:AF96="  ",FALSE,V96:AF96)+COLUMN(V:AF)/10000))</f>
        <v>2.3E-3</v>
      </c>
      <c r="AN96" s="405">
        <f t="shared" si="50"/>
        <v>2.9999999999999997E-4</v>
      </c>
    </row>
    <row r="97" spans="1:40" s="2" customFormat="1" ht="12.75" customHeight="1" x14ac:dyDescent="0.2">
      <c r="A97" s="328" t="s">
        <v>257</v>
      </c>
      <c r="B97" s="331" t="str">
        <f t="shared" si="34"/>
        <v/>
      </c>
      <c r="C97" s="329" t="str">
        <f t="shared" si="35"/>
        <v/>
      </c>
      <c r="D97" s="907" t="s">
        <v>257</v>
      </c>
      <c r="E97" s="331" t="str">
        <f t="shared" si="36"/>
        <v/>
      </c>
      <c r="F97" s="330" t="str">
        <f t="shared" si="37"/>
        <v/>
      </c>
      <c r="G97" s="390">
        <f t="shared" ca="1" si="38"/>
        <v>83</v>
      </c>
      <c r="H97" s="76">
        <v>83</v>
      </c>
      <c r="I97" s="98" t="s">
        <v>149</v>
      </c>
      <c r="J97" s="800">
        <v>2</v>
      </c>
      <c r="K97" s="801">
        <f t="array" aca="1" ref="K97" ca="1">(IF(COUNT(V97,X97,AA97,AB97,AC97,AE97)&lt;4,SUM(V97,X97,AA97,AB97,AC97,AE97),SUM(LARGE((V97,X97,AA97,AB97,AC97,AE97),{1;2;3;4}))))+(IF(COUNT(W97,Y97,Z97,AD97,AF97)&lt;4,SUM(W97,Y97,Z97,AD97,AF97),SUM(LARGE((W97,Y97,Z97,AD97,AF97),{1;2;3;4}))))</f>
        <v>2</v>
      </c>
      <c r="L97" s="397" t="str">
        <f ca="1">INDEX(ETAPP!B$1:B$32,MATCH(COUNTIF(V97:AF97,PUNKTID!A$1),ETAPP!A$1:A$32,0))&amp;INDEX(ETAPP!B$1:B$32,MATCH(COUNTIF(V97:AF97,PUNKTID!A$2),ETAPP!A$1:A$32,0))&amp;INDEX(ETAPP!B$1:B$32,MATCH(COUNTIF(V97:AF97,PUNKTID!A$3),ETAPP!A$1:A$32,0))&amp;INDEX(ETAPP!B$1:B$32,MATCH(COUNTIF(V97:AF97,PUNKTID!A$4),ETAPP!A$1:A$32,0))&amp;INDEX(ETAPP!B$1:B$32,MATCH(COUNTIF(V97:AF97,PUNKTID!A$5),ETAPP!A$1:A$32,0))&amp;INDEX(ETAPP!B$1:B$32,MATCH(COUNTIF(V97:AF97,PUNKTID!A$6),ETAPP!A$1:A$32,0))&amp;INDEX(ETAPP!B$1:B$32,MATCH(COUNTIF(V97:AF97,PUNKTID!A$7),ETAPP!A$1:A$32,0))&amp;INDEX(ETAPP!B$1:B$32,MATCH(COUNTIF(V97:AF97,PUNKTID!A$8),ETAPP!A$1:A$32,0))&amp;INDEX(ETAPP!B$1:B$32,MATCH(COUNTIF(V97:AF97,PUNKTID!A$9),ETAPP!A$1:A$32,0))&amp;INDEX(ETAPP!B$1:B$32,MATCH(COUNTIF(V97:AF97,PUNKTID!A$10),ETAPP!A$1:A$32,0))&amp;INDEX(ETAPP!B$1:B$32,MATCH(COUNTIF(V97:AF97,PUNKTID!A$11),ETAPP!A$1:A$32,0))&amp;INDEX(ETAPP!B$1:B$32,MATCH(COUNTIF(V97:AF97,PUNKTID!A$12),ETAPP!A$1:A$32,0))&amp;INDEX(ETAPP!B$1:B$32,MATCH(COUNTIF(V97:AF97,PUNKTID!A$13),ETAPP!A$1:A$32,0))&amp;INDEX(ETAPP!B$1:B$32,MATCH(COUNTIF(V97:AF97,PUNKTID!A$14),ETAPP!A$1:A$32,0))</f>
        <v>000000000A000E</v>
      </c>
      <c r="M97" s="397" t="str">
        <f t="shared" ca="1" si="39"/>
        <v>002,0-000000000A000E</v>
      </c>
      <c r="N97" s="320">
        <f t="shared" ca="1" si="40"/>
        <v>93</v>
      </c>
      <c r="O97" s="320">
        <f t="shared" si="41"/>
        <v>15</v>
      </c>
      <c r="P97" s="397" t="str">
        <f t="shared" ca="1" si="42"/>
        <v>002,0-000000000A000E-015</v>
      </c>
      <c r="Q97" s="320">
        <f t="shared" ca="1" si="43"/>
        <v>11</v>
      </c>
      <c r="R97" s="328"/>
      <c r="S97" s="380"/>
      <c r="T97" s="400"/>
      <c r="U97" s="559"/>
      <c r="V97" s="97" t="str">
        <f>IFERROR(INDEX('1'!C$300:C$400,MATCH("*"&amp;I97&amp;"*",'1'!B$300:B$400,0)),"  ")</f>
        <v xml:space="preserve">  </v>
      </c>
      <c r="W97" s="97">
        <f>IFERROR(INDEX('2'!C$300:C$400,MATCH("*"&amp;I97&amp;"*",'2'!B$300:B$400,0)),"  ")</f>
        <v>2</v>
      </c>
      <c r="X97" s="97" t="str">
        <f>IFERROR(INDEX('3'!C$300:C$400,MATCH("*"&amp;I97&amp;"*",'3'!B$300:B$400,0)),"  ")</f>
        <v xml:space="preserve">  </v>
      </c>
      <c r="Y97" s="97" t="str">
        <f>IFERROR(INDEX('4'!C$300:C$400,MATCH("*"&amp;I97&amp;"*",'4'!B$300:B$400,0)),"  ")</f>
        <v xml:space="preserve">  </v>
      </c>
      <c r="Z97" s="97" t="str">
        <f>IFERROR(INDEX('5'!C$300:C$400,MATCH("*"&amp;I97&amp;"*",'5'!B$300:B$400,0)),"  ")</f>
        <v xml:space="preserve">  </v>
      </c>
      <c r="AA97" s="97" t="str">
        <f>IFERROR(INDEX('6'!C$300:C$400,MATCH("*"&amp;I97&amp;"*",'6'!B$300:B$400,0)),"  ")</f>
        <v xml:space="preserve">  </v>
      </c>
      <c r="AB97" s="97" t="str">
        <f>IFERROR(INDEX('7'!C$300:C$400,MATCH("*"&amp;I97&amp;"*",'7'!B$300:B$400,0)),"  ")</f>
        <v xml:space="preserve">  </v>
      </c>
      <c r="AC97" s="97" t="str">
        <f>IFERROR(INDEX('8'!C$300:C$400,MATCH("*"&amp;I97&amp;"*",'8'!B$300:B$400,0)),"  ")</f>
        <v xml:space="preserve">  </v>
      </c>
      <c r="AD97" s="97" t="str">
        <f ca="1">IFERROR(INDEX('9'!C$300:C$400,MATCH("*"&amp;I97&amp;"*",'9'!B$300:B$400,0)),"  ")</f>
        <v xml:space="preserve">  </v>
      </c>
      <c r="AE97" s="97" t="str">
        <f>IFERROR(INDEX('10'!C$300:C$400,MATCH("*"&amp;I97&amp;"*",'10'!B$300:B$400,0)),"  ")</f>
        <v xml:space="preserve">  </v>
      </c>
      <c r="AF97" s="97" t="str">
        <f>IFERROR(INDEX('11'!C$300:C$400,MATCH("*"&amp;I97&amp;"*",'11'!B$300:B$400,0)),"  ")</f>
        <v xml:space="preserve">  </v>
      </c>
      <c r="AG97" s="294">
        <f t="shared" ca="1" si="44"/>
        <v>1</v>
      </c>
      <c r="AH97" s="794">
        <f t="shared" ca="1" si="45"/>
        <v>0</v>
      </c>
      <c r="AI97" s="796">
        <f t="shared" ca="1" si="46"/>
        <v>0</v>
      </c>
      <c r="AJ97" s="303">
        <f t="shared" ca="1" si="47"/>
        <v>0</v>
      </c>
      <c r="AK97" s="405">
        <f t="shared" si="48"/>
        <v>1E-4</v>
      </c>
      <c r="AL97" s="405">
        <f t="shared" ca="1" si="49"/>
        <v>4.0000000000000002E-4</v>
      </c>
      <c r="AM97" s="442">
        <f t="array" aca="1" ref="AM97" ca="1">MIN(IF(V$5:AF$5="ESMV",IF(V97:AF97="  ",FALSE,V97:AF97)+COLUMN(V:AF)/10000))</f>
        <v>2.5000000000000001E-3</v>
      </c>
      <c r="AN97" s="405">
        <f t="shared" si="50"/>
        <v>2.9999999999999997E-4</v>
      </c>
    </row>
    <row r="98" spans="1:40" s="2" customFormat="1" ht="12.75" customHeight="1" x14ac:dyDescent="0.2">
      <c r="A98" s="328" t="s">
        <v>257</v>
      </c>
      <c r="B98" s="331" t="str">
        <f t="shared" si="34"/>
        <v/>
      </c>
      <c r="C98" s="329" t="str">
        <f t="shared" si="35"/>
        <v/>
      </c>
      <c r="D98" s="907" t="s">
        <v>257</v>
      </c>
      <c r="E98" s="331" t="str">
        <f t="shared" si="36"/>
        <v/>
      </c>
      <c r="F98" s="330" t="str">
        <f t="shared" si="37"/>
        <v/>
      </c>
      <c r="G98" s="390">
        <f t="shared" ca="1" si="38"/>
        <v>83</v>
      </c>
      <c r="H98" s="76">
        <v>83</v>
      </c>
      <c r="I98" s="98" t="s">
        <v>206</v>
      </c>
      <c r="J98" s="800">
        <v>2</v>
      </c>
      <c r="K98" s="801">
        <f t="array" aca="1" ref="K98" ca="1">(IF(COUNT(V98,X98,AA98,AB98,AC98,AE98)&lt;4,SUM(V98,X98,AA98,AB98,AC98,AE98),SUM(LARGE((V98,X98,AA98,AB98,AC98,AE98),{1;2;3;4}))))+(IF(COUNT(W98,Y98,Z98,AD98,AF98)&lt;4,SUM(W98,Y98,Z98,AD98,AF98),SUM(LARGE((W98,Y98,Z98,AD98,AF98),{1;2;3;4}))))</f>
        <v>2</v>
      </c>
      <c r="L98" s="397" t="str">
        <f ca="1">INDEX(ETAPP!B$1:B$32,MATCH(COUNTIF(V98:AF98,PUNKTID!A$1),ETAPP!A$1:A$32,0))&amp;INDEX(ETAPP!B$1:B$32,MATCH(COUNTIF(V98:AF98,PUNKTID!A$2),ETAPP!A$1:A$32,0))&amp;INDEX(ETAPP!B$1:B$32,MATCH(COUNTIF(V98:AF98,PUNKTID!A$3),ETAPP!A$1:A$32,0))&amp;INDEX(ETAPP!B$1:B$32,MATCH(COUNTIF(V98:AF98,PUNKTID!A$4),ETAPP!A$1:A$32,0))&amp;INDEX(ETAPP!B$1:B$32,MATCH(COUNTIF(V98:AF98,PUNKTID!A$5),ETAPP!A$1:A$32,0))&amp;INDEX(ETAPP!B$1:B$32,MATCH(COUNTIF(V98:AF98,PUNKTID!A$6),ETAPP!A$1:A$32,0))&amp;INDEX(ETAPP!B$1:B$32,MATCH(COUNTIF(V98:AF98,PUNKTID!A$7),ETAPP!A$1:A$32,0))&amp;INDEX(ETAPP!B$1:B$32,MATCH(COUNTIF(V98:AF98,PUNKTID!A$8),ETAPP!A$1:A$32,0))&amp;INDEX(ETAPP!B$1:B$32,MATCH(COUNTIF(V98:AF98,PUNKTID!A$9),ETAPP!A$1:A$32,0))&amp;INDEX(ETAPP!B$1:B$32,MATCH(COUNTIF(V98:AF98,PUNKTID!A$10),ETAPP!A$1:A$32,0))&amp;INDEX(ETAPP!B$1:B$32,MATCH(COUNTIF(V98:AF98,PUNKTID!A$11),ETAPP!A$1:A$32,0))&amp;INDEX(ETAPP!B$1:B$32,MATCH(COUNTIF(V98:AF98,PUNKTID!A$12),ETAPP!A$1:A$32,0))&amp;INDEX(ETAPP!B$1:B$32,MATCH(COUNTIF(V98:AF98,PUNKTID!A$13),ETAPP!A$1:A$32,0))&amp;INDEX(ETAPP!B$1:B$32,MATCH(COUNTIF(V98:AF98,PUNKTID!A$14),ETAPP!A$1:A$32,0))</f>
        <v>000000000A000E</v>
      </c>
      <c r="M98" s="397" t="str">
        <f t="shared" ca="1" si="39"/>
        <v>002,0-000000000A000E</v>
      </c>
      <c r="N98" s="320">
        <f t="shared" ca="1" si="40"/>
        <v>93</v>
      </c>
      <c r="O98" s="320">
        <f t="shared" si="41"/>
        <v>14</v>
      </c>
      <c r="P98" s="397" t="str">
        <f t="shared" ca="1" si="42"/>
        <v>002,0-000000000A000E-014</v>
      </c>
      <c r="Q98" s="320">
        <f t="shared" ca="1" si="43"/>
        <v>10</v>
      </c>
      <c r="R98" s="328"/>
      <c r="S98" s="380"/>
      <c r="T98" s="400"/>
      <c r="U98" s="559"/>
      <c r="V98" s="97" t="str">
        <f>IFERROR(INDEX('1'!C$300:C$400,MATCH("*"&amp;I98&amp;"*",'1'!B$300:B$400,0)),"  ")</f>
        <v xml:space="preserve">  </v>
      </c>
      <c r="W98" s="97" t="str">
        <f>IFERROR(INDEX('2'!C$300:C$400,MATCH("*"&amp;I98&amp;"*",'2'!B$300:B$400,0)),"  ")</f>
        <v xml:space="preserve">  </v>
      </c>
      <c r="X98" s="97" t="str">
        <f>IFERROR(INDEX('3'!C$300:C$400,MATCH("*"&amp;I98&amp;"*",'3'!B$300:B$400,0)),"  ")</f>
        <v xml:space="preserve">  </v>
      </c>
      <c r="Y98" s="97">
        <f>IFERROR(INDEX('4'!C$300:C$400,MATCH("*"&amp;I98&amp;"*",'4'!B$300:B$400,0)),"  ")</f>
        <v>2</v>
      </c>
      <c r="Z98" s="97" t="str">
        <f>IFERROR(INDEX('5'!C$300:C$400,MATCH("*"&amp;I98&amp;"*",'5'!B$300:B$400,0)),"  ")</f>
        <v xml:space="preserve">  </v>
      </c>
      <c r="AA98" s="97" t="str">
        <f>IFERROR(INDEX('6'!C$300:C$400,MATCH("*"&amp;I98&amp;"*",'6'!B$300:B$400,0)),"  ")</f>
        <v xml:space="preserve">  </v>
      </c>
      <c r="AB98" s="97" t="str">
        <f>IFERROR(INDEX('7'!C$300:C$400,MATCH("*"&amp;I98&amp;"*",'7'!B$300:B$400,0)),"  ")</f>
        <v xml:space="preserve">  </v>
      </c>
      <c r="AC98" s="97" t="str">
        <f>IFERROR(INDEX('8'!C$300:C$400,MATCH("*"&amp;I98&amp;"*",'8'!B$300:B$400,0)),"  ")</f>
        <v xml:space="preserve">  </v>
      </c>
      <c r="AD98" s="97" t="str">
        <f ca="1">IFERROR(INDEX('9'!C$300:C$400,MATCH("*"&amp;I98&amp;"*",'9'!B$300:B$400,0)),"  ")</f>
        <v xml:space="preserve">  </v>
      </c>
      <c r="AE98" s="97" t="str">
        <f>IFERROR(INDEX('10'!C$300:C$400,MATCH("*"&amp;I98&amp;"*",'10'!B$300:B$400,0)),"  ")</f>
        <v xml:space="preserve">  </v>
      </c>
      <c r="AF98" s="97" t="str">
        <f>IFERROR(INDEX('11'!C$300:C$400,MATCH("*"&amp;I98&amp;"*",'11'!B$300:B$400,0)),"  ")</f>
        <v xml:space="preserve">  </v>
      </c>
      <c r="AG98" s="294">
        <f t="shared" ca="1" si="44"/>
        <v>1</v>
      </c>
      <c r="AH98" s="794">
        <f t="shared" ca="1" si="45"/>
        <v>0</v>
      </c>
      <c r="AI98" s="796">
        <f t="shared" ca="1" si="46"/>
        <v>0</v>
      </c>
      <c r="AJ98" s="303">
        <f t="shared" ca="1" si="47"/>
        <v>0</v>
      </c>
      <c r="AK98" s="405">
        <f t="shared" si="48"/>
        <v>1E-4</v>
      </c>
      <c r="AL98" s="405">
        <f t="shared" ca="1" si="49"/>
        <v>2.0000000000000001E-4</v>
      </c>
      <c r="AM98" s="442">
        <f t="array" aca="1" ref="AM98" ca="1">MIN(IF(V$5:AF$5="ESMV",IF(V98:AF98="  ",FALSE,V98:AF98)+COLUMN(V:AF)/10000))</f>
        <v>2.3E-3</v>
      </c>
      <c r="AN98" s="405">
        <f t="shared" si="50"/>
        <v>2.9999999999999997E-4</v>
      </c>
    </row>
    <row r="99" spans="1:40" s="2" customFormat="1" ht="12.75" customHeight="1" x14ac:dyDescent="0.2">
      <c r="A99" s="328" t="s">
        <v>257</v>
      </c>
      <c r="B99" s="331" t="str">
        <f t="shared" si="34"/>
        <v/>
      </c>
      <c r="C99" s="329" t="str">
        <f t="shared" si="35"/>
        <v/>
      </c>
      <c r="D99" s="907" t="s">
        <v>257</v>
      </c>
      <c r="E99" s="331" t="str">
        <f t="shared" si="36"/>
        <v/>
      </c>
      <c r="F99" s="330" t="str">
        <f t="shared" si="37"/>
        <v/>
      </c>
      <c r="G99" s="390">
        <f t="shared" ca="1" si="38"/>
        <v>83</v>
      </c>
      <c r="H99" s="76">
        <v>83</v>
      </c>
      <c r="I99" s="98" t="s">
        <v>213</v>
      </c>
      <c r="J99" s="800">
        <v>2</v>
      </c>
      <c r="K99" s="801">
        <f t="array" aca="1" ref="K99" ca="1">(IF(COUNT(V99,X99,AA99,AB99,AC99,AE99)&lt;4,SUM(V99,X99,AA99,AB99,AC99,AE99),SUM(LARGE((V99,X99,AA99,AB99,AC99,AE99),{1;2;3;4}))))+(IF(COUNT(W99,Y99,Z99,AD99,AF99)&lt;4,SUM(W99,Y99,Z99,AD99,AF99),SUM(LARGE((W99,Y99,Z99,AD99,AF99),{1;2;3;4}))))</f>
        <v>2</v>
      </c>
      <c r="L99" s="397" t="str">
        <f ca="1">INDEX(ETAPP!B$1:B$32,MATCH(COUNTIF(V99:AF99,PUNKTID!A$1),ETAPP!A$1:A$32,0))&amp;INDEX(ETAPP!B$1:B$32,MATCH(COUNTIF(V99:AF99,PUNKTID!A$2),ETAPP!A$1:A$32,0))&amp;INDEX(ETAPP!B$1:B$32,MATCH(COUNTIF(V99:AF99,PUNKTID!A$3),ETAPP!A$1:A$32,0))&amp;INDEX(ETAPP!B$1:B$32,MATCH(COUNTIF(V99:AF99,PUNKTID!A$4),ETAPP!A$1:A$32,0))&amp;INDEX(ETAPP!B$1:B$32,MATCH(COUNTIF(V99:AF99,PUNKTID!A$5),ETAPP!A$1:A$32,0))&amp;INDEX(ETAPP!B$1:B$32,MATCH(COUNTIF(V99:AF99,PUNKTID!A$6),ETAPP!A$1:A$32,0))&amp;INDEX(ETAPP!B$1:B$32,MATCH(COUNTIF(V99:AF99,PUNKTID!A$7),ETAPP!A$1:A$32,0))&amp;INDEX(ETAPP!B$1:B$32,MATCH(COUNTIF(V99:AF99,PUNKTID!A$8),ETAPP!A$1:A$32,0))&amp;INDEX(ETAPP!B$1:B$32,MATCH(COUNTIF(V99:AF99,PUNKTID!A$9),ETAPP!A$1:A$32,0))&amp;INDEX(ETAPP!B$1:B$32,MATCH(COUNTIF(V99:AF99,PUNKTID!A$10),ETAPP!A$1:A$32,0))&amp;INDEX(ETAPP!B$1:B$32,MATCH(COUNTIF(V99:AF99,PUNKTID!A$11),ETAPP!A$1:A$32,0))&amp;INDEX(ETAPP!B$1:B$32,MATCH(COUNTIF(V99:AF99,PUNKTID!A$12),ETAPP!A$1:A$32,0))&amp;INDEX(ETAPP!B$1:B$32,MATCH(COUNTIF(V99:AF99,PUNKTID!A$13),ETAPP!A$1:A$32,0))&amp;INDEX(ETAPP!B$1:B$32,MATCH(COUNTIF(V99:AF99,PUNKTID!A$14),ETAPP!A$1:A$32,0))</f>
        <v>000000000A000E</v>
      </c>
      <c r="M99" s="397" t="str">
        <f t="shared" ca="1" si="39"/>
        <v>002,0-000000000A000E</v>
      </c>
      <c r="N99" s="320">
        <f t="shared" ca="1" si="40"/>
        <v>93</v>
      </c>
      <c r="O99" s="320">
        <f t="shared" si="41"/>
        <v>12</v>
      </c>
      <c r="P99" s="397" t="str">
        <f t="shared" ca="1" si="42"/>
        <v>002,0-000000000A000E-012</v>
      </c>
      <c r="Q99" s="320">
        <f t="shared" ca="1" si="43"/>
        <v>9</v>
      </c>
      <c r="R99" s="328"/>
      <c r="S99" s="380"/>
      <c r="T99" s="400" t="s">
        <v>605</v>
      </c>
      <c r="U99" s="559"/>
      <c r="V99" s="97" t="str">
        <f>IFERROR(INDEX('1'!C$300:C$400,MATCH("*"&amp;I99&amp;"*",'1'!B$300:B$400,0)),"  ")</f>
        <v xml:space="preserve">  </v>
      </c>
      <c r="W99" s="97" t="str">
        <f>IFERROR(INDEX('2'!C$300:C$400,MATCH("*"&amp;I99&amp;"*",'2'!B$300:B$400,0)),"  ")</f>
        <v xml:space="preserve">  </v>
      </c>
      <c r="X99" s="97" t="str">
        <f>IFERROR(INDEX('3'!C$300:C$400,MATCH("*"&amp;I99&amp;"*",'3'!B$300:B$400,0)),"  ")</f>
        <v xml:space="preserve">  </v>
      </c>
      <c r="Y99" s="97" t="str">
        <f>IFERROR(INDEX('4'!C$300:C$400,MATCH("*"&amp;I99&amp;"*",'4'!B$300:B$400,0)),"  ")</f>
        <v xml:space="preserve">  </v>
      </c>
      <c r="Z99" s="97">
        <f>IFERROR(INDEX('5'!C$300:C$400,MATCH("*"&amp;I99&amp;"*",'5'!B$300:B$400,0)),"  ")</f>
        <v>2</v>
      </c>
      <c r="AA99" s="97" t="str">
        <f>IFERROR(INDEX('6'!C$300:C$400,MATCH("*"&amp;I99&amp;"*",'6'!B$300:B$400,0)),"  ")</f>
        <v xml:space="preserve">  </v>
      </c>
      <c r="AB99" s="97" t="str">
        <f>IFERROR(INDEX('7'!C$300:C$400,MATCH("*"&amp;I99&amp;"*",'7'!B$300:B$400,0)),"  ")</f>
        <v xml:space="preserve">  </v>
      </c>
      <c r="AC99" s="97" t="str">
        <f>IFERROR(INDEX('8'!C$300:C$400,MATCH("*"&amp;I99&amp;"*",'8'!B$300:B$400,0)),"  ")</f>
        <v xml:space="preserve">  </v>
      </c>
      <c r="AD99" s="97" t="str">
        <f ca="1">IFERROR(INDEX('9'!C$300:C$400,MATCH("*"&amp;I99&amp;"*",'9'!B$300:B$400,0)),"  ")</f>
        <v xml:space="preserve">  </v>
      </c>
      <c r="AE99" s="97" t="str">
        <f>IFERROR(INDEX('10'!C$300:C$400,MATCH("*"&amp;I99&amp;"*",'10'!B$300:B$400,0)),"  ")</f>
        <v xml:space="preserve">  </v>
      </c>
      <c r="AF99" s="97" t="str">
        <f>IFERROR(INDEX('11'!C$300:C$400,MATCH("*"&amp;I99&amp;"*",'11'!B$300:B$400,0)),"  ")</f>
        <v xml:space="preserve">  </v>
      </c>
      <c r="AG99" s="294">
        <f t="shared" ca="1" si="44"/>
        <v>1</v>
      </c>
      <c r="AH99" s="794">
        <f t="shared" ca="1" si="45"/>
        <v>0</v>
      </c>
      <c r="AI99" s="796">
        <f t="shared" ca="1" si="46"/>
        <v>0</v>
      </c>
      <c r="AJ99" s="303">
        <f t="shared" ca="1" si="47"/>
        <v>0</v>
      </c>
      <c r="AK99" s="405">
        <f t="shared" si="48"/>
        <v>1E-4</v>
      </c>
      <c r="AL99" s="405">
        <f t="shared" ca="1" si="49"/>
        <v>2.0000000000000001E-4</v>
      </c>
      <c r="AM99" s="442">
        <f t="array" aca="1" ref="AM99" ca="1">MIN(IF(V$5:AF$5="ESMV",IF(V99:AF99="  ",FALSE,V99:AF99)+COLUMN(V:AF)/10000))</f>
        <v>2.3E-3</v>
      </c>
      <c r="AN99" s="405">
        <f t="shared" si="50"/>
        <v>2.9999999999999997E-4</v>
      </c>
    </row>
    <row r="100" spans="1:40" s="2" customFormat="1" ht="12.75" customHeight="1" x14ac:dyDescent="0.2">
      <c r="A100" s="328" t="s">
        <v>257</v>
      </c>
      <c r="B100" s="331" t="str">
        <f t="shared" si="34"/>
        <v/>
      </c>
      <c r="C100" s="329" t="str">
        <f t="shared" si="35"/>
        <v/>
      </c>
      <c r="D100" s="907" t="s">
        <v>257</v>
      </c>
      <c r="E100" s="331" t="str">
        <f t="shared" si="36"/>
        <v/>
      </c>
      <c r="F100" s="330" t="str">
        <f t="shared" si="37"/>
        <v/>
      </c>
      <c r="G100" s="390">
        <f t="shared" ca="1" si="38"/>
        <v>83</v>
      </c>
      <c r="H100" s="76">
        <v>83</v>
      </c>
      <c r="I100" s="98" t="s">
        <v>210</v>
      </c>
      <c r="J100" s="800">
        <v>2</v>
      </c>
      <c r="K100" s="801">
        <f t="array" aca="1" ref="K100" ca="1">(IF(COUNT(V100,X100,AA100,AB100,AC100,AE100)&lt;4,SUM(V100,X100,AA100,AB100,AC100,AE100),SUM(LARGE((V100,X100,AA100,AB100,AC100,AE100),{1;2;3;4}))))+(IF(COUNT(W100,Y100,Z100,AD100,AF100)&lt;4,SUM(W100,Y100,Z100,AD100,AF100),SUM(LARGE((W100,Y100,Z100,AD100,AF100),{1;2;3;4}))))</f>
        <v>2</v>
      </c>
      <c r="L100" s="397" t="str">
        <f ca="1">INDEX(ETAPP!B$1:B$32,MATCH(COUNTIF(V100:AF100,PUNKTID!A$1),ETAPP!A$1:A$32,0))&amp;INDEX(ETAPP!B$1:B$32,MATCH(COUNTIF(V100:AF100,PUNKTID!A$2),ETAPP!A$1:A$32,0))&amp;INDEX(ETAPP!B$1:B$32,MATCH(COUNTIF(V100:AF100,PUNKTID!A$3),ETAPP!A$1:A$32,0))&amp;INDEX(ETAPP!B$1:B$32,MATCH(COUNTIF(V100:AF100,PUNKTID!A$4),ETAPP!A$1:A$32,0))&amp;INDEX(ETAPP!B$1:B$32,MATCH(COUNTIF(V100:AF100,PUNKTID!A$5),ETAPP!A$1:A$32,0))&amp;INDEX(ETAPP!B$1:B$32,MATCH(COUNTIF(V100:AF100,PUNKTID!A$6),ETAPP!A$1:A$32,0))&amp;INDEX(ETAPP!B$1:B$32,MATCH(COUNTIF(V100:AF100,PUNKTID!A$7),ETAPP!A$1:A$32,0))&amp;INDEX(ETAPP!B$1:B$32,MATCH(COUNTIF(V100:AF100,PUNKTID!A$8),ETAPP!A$1:A$32,0))&amp;INDEX(ETAPP!B$1:B$32,MATCH(COUNTIF(V100:AF100,PUNKTID!A$9),ETAPP!A$1:A$32,0))&amp;INDEX(ETAPP!B$1:B$32,MATCH(COUNTIF(V100:AF100,PUNKTID!A$10),ETAPP!A$1:A$32,0))&amp;INDEX(ETAPP!B$1:B$32,MATCH(COUNTIF(V100:AF100,PUNKTID!A$11),ETAPP!A$1:A$32,0))&amp;INDEX(ETAPP!B$1:B$32,MATCH(COUNTIF(V100:AF100,PUNKTID!A$12),ETAPP!A$1:A$32,0))&amp;INDEX(ETAPP!B$1:B$32,MATCH(COUNTIF(V100:AF100,PUNKTID!A$13),ETAPP!A$1:A$32,0))&amp;INDEX(ETAPP!B$1:B$32,MATCH(COUNTIF(V100:AF100,PUNKTID!A$14),ETAPP!A$1:A$32,0))</f>
        <v>000000000A000E</v>
      </c>
      <c r="M100" s="397" t="str">
        <f t="shared" ca="1" si="39"/>
        <v>002,0-000000000A000E</v>
      </c>
      <c r="N100" s="320">
        <f t="shared" ca="1" si="40"/>
        <v>93</v>
      </c>
      <c r="O100" s="320">
        <f t="shared" si="41"/>
        <v>8</v>
      </c>
      <c r="P100" s="397" t="str">
        <f t="shared" ca="1" si="42"/>
        <v>002,0-000000000A000E-008</v>
      </c>
      <c r="Q100" s="320">
        <f t="shared" ca="1" si="43"/>
        <v>8</v>
      </c>
      <c r="R100" s="328"/>
      <c r="S100" s="380"/>
      <c r="T100" s="400"/>
      <c r="U100" s="559"/>
      <c r="V100" s="97" t="str">
        <f>IFERROR(INDEX('1'!C$300:C$400,MATCH("*"&amp;I100&amp;"*",'1'!B$300:B$400,0)),"  ")</f>
        <v xml:space="preserve">  </v>
      </c>
      <c r="W100" s="97">
        <f>IFERROR(INDEX('2'!C$300:C$400,MATCH("*"&amp;I100&amp;"*",'2'!B$300:B$400,0)),"  ")</f>
        <v>2</v>
      </c>
      <c r="X100" s="97" t="str">
        <f>IFERROR(INDEX('3'!C$300:C$400,MATCH("*"&amp;I100&amp;"*",'3'!B$300:B$400,0)),"  ")</f>
        <v xml:space="preserve">  </v>
      </c>
      <c r="Y100" s="97" t="str">
        <f>IFERROR(INDEX('4'!C$300:C$400,MATCH("*"&amp;I100&amp;"*",'4'!B$300:B$400,0)),"  ")</f>
        <v xml:space="preserve">  </v>
      </c>
      <c r="Z100" s="97" t="str">
        <f>IFERROR(INDEX('5'!C$300:C$400,MATCH("*"&amp;I100&amp;"*",'5'!B$300:B$400,0)),"  ")</f>
        <v xml:space="preserve">  </v>
      </c>
      <c r="AA100" s="97" t="str">
        <f>IFERROR(INDEX('6'!C$300:C$400,MATCH("*"&amp;I100&amp;"*",'6'!B$300:B$400,0)),"  ")</f>
        <v xml:space="preserve">  </v>
      </c>
      <c r="AB100" s="97" t="str">
        <f>IFERROR(INDEX('7'!C$300:C$400,MATCH("*"&amp;I100&amp;"*",'7'!B$300:B$400,0)),"  ")</f>
        <v xml:space="preserve">  </v>
      </c>
      <c r="AC100" s="97" t="str">
        <f>IFERROR(INDEX('8'!C$300:C$400,MATCH("*"&amp;I100&amp;"*",'8'!B$300:B$400,0)),"  ")</f>
        <v xml:space="preserve">  </v>
      </c>
      <c r="AD100" s="97" t="str">
        <f ca="1">IFERROR(INDEX('9'!C$300:C$400,MATCH("*"&amp;I100&amp;"*",'9'!B$300:B$400,0)),"  ")</f>
        <v xml:space="preserve">  </v>
      </c>
      <c r="AE100" s="97" t="str">
        <f>IFERROR(INDEX('10'!C$300:C$400,MATCH("*"&amp;I100&amp;"*",'10'!B$300:B$400,0)),"  ")</f>
        <v xml:space="preserve">  </v>
      </c>
      <c r="AF100" s="97" t="str">
        <f>IFERROR(INDEX('11'!C$300:C$400,MATCH("*"&amp;I100&amp;"*",'11'!B$300:B$400,0)),"  ")</f>
        <v xml:space="preserve">  </v>
      </c>
      <c r="AG100" s="294">
        <f t="shared" ca="1" si="44"/>
        <v>1</v>
      </c>
      <c r="AH100" s="794">
        <f t="shared" ca="1" si="45"/>
        <v>0</v>
      </c>
      <c r="AI100" s="796">
        <f t="shared" ca="1" si="46"/>
        <v>0</v>
      </c>
      <c r="AJ100" s="303">
        <f t="shared" ca="1" si="47"/>
        <v>0</v>
      </c>
      <c r="AK100" s="405">
        <f t="shared" si="48"/>
        <v>1E-4</v>
      </c>
      <c r="AL100" s="405">
        <f t="shared" ca="1" si="49"/>
        <v>4.0000000000000002E-4</v>
      </c>
      <c r="AM100" s="442">
        <f t="array" aca="1" ref="AM100" ca="1">MIN(IF(V$5:AF$5="ESMV",IF(V100:AF100="  ",FALSE,V100:AF100)+COLUMN(V:AF)/10000))</f>
        <v>2.5000000000000001E-3</v>
      </c>
      <c r="AN100" s="405">
        <f t="shared" si="50"/>
        <v>2.9999999999999997E-4</v>
      </c>
    </row>
    <row r="101" spans="1:40" s="2" customFormat="1" ht="12.75" customHeight="1" x14ac:dyDescent="0.2">
      <c r="A101" s="328" t="s">
        <v>257</v>
      </c>
      <c r="B101" s="331" t="str">
        <f t="shared" si="34"/>
        <v/>
      </c>
      <c r="C101" s="329" t="str">
        <f t="shared" si="35"/>
        <v/>
      </c>
      <c r="D101" s="907" t="s">
        <v>257</v>
      </c>
      <c r="E101" s="331" t="str">
        <f t="shared" si="36"/>
        <v/>
      </c>
      <c r="F101" s="330" t="str">
        <f t="shared" si="37"/>
        <v/>
      </c>
      <c r="G101" s="390">
        <f t="shared" ca="1" si="38"/>
        <v>83</v>
      </c>
      <c r="H101" s="76">
        <v>83</v>
      </c>
      <c r="I101" s="98" t="s">
        <v>215</v>
      </c>
      <c r="J101" s="800">
        <v>2</v>
      </c>
      <c r="K101" s="801">
        <f t="array" aca="1" ref="K101" ca="1">(IF(COUNT(V101,X101,AA101,AB101,AC101,AE101)&lt;4,SUM(V101,X101,AA101,AB101,AC101,AE101),SUM(LARGE((V101,X101,AA101,AB101,AC101,AE101),{1;2;3;4}))))+(IF(COUNT(W101,Y101,Z101,AD101,AF101)&lt;4,SUM(W101,Y101,Z101,AD101,AF101),SUM(LARGE((W101,Y101,Z101,AD101,AF101),{1;2;3;4}))))</f>
        <v>2</v>
      </c>
      <c r="L101" s="397" t="str">
        <f ca="1">INDEX(ETAPP!B$1:B$32,MATCH(COUNTIF(V101:AF101,PUNKTID!A$1),ETAPP!A$1:A$32,0))&amp;INDEX(ETAPP!B$1:B$32,MATCH(COUNTIF(V101:AF101,PUNKTID!A$2),ETAPP!A$1:A$32,0))&amp;INDEX(ETAPP!B$1:B$32,MATCH(COUNTIF(V101:AF101,PUNKTID!A$3),ETAPP!A$1:A$32,0))&amp;INDEX(ETAPP!B$1:B$32,MATCH(COUNTIF(V101:AF101,PUNKTID!A$4),ETAPP!A$1:A$32,0))&amp;INDEX(ETAPP!B$1:B$32,MATCH(COUNTIF(V101:AF101,PUNKTID!A$5),ETAPP!A$1:A$32,0))&amp;INDEX(ETAPP!B$1:B$32,MATCH(COUNTIF(V101:AF101,PUNKTID!A$6),ETAPP!A$1:A$32,0))&amp;INDEX(ETAPP!B$1:B$32,MATCH(COUNTIF(V101:AF101,PUNKTID!A$7),ETAPP!A$1:A$32,0))&amp;INDEX(ETAPP!B$1:B$32,MATCH(COUNTIF(V101:AF101,PUNKTID!A$8),ETAPP!A$1:A$32,0))&amp;INDEX(ETAPP!B$1:B$32,MATCH(COUNTIF(V101:AF101,PUNKTID!A$9),ETAPP!A$1:A$32,0))&amp;INDEX(ETAPP!B$1:B$32,MATCH(COUNTIF(V101:AF101,PUNKTID!A$10),ETAPP!A$1:A$32,0))&amp;INDEX(ETAPP!B$1:B$32,MATCH(COUNTIF(V101:AF101,PUNKTID!A$11),ETAPP!A$1:A$32,0))&amp;INDEX(ETAPP!B$1:B$32,MATCH(COUNTIF(V101:AF101,PUNKTID!A$12),ETAPP!A$1:A$32,0))&amp;INDEX(ETAPP!B$1:B$32,MATCH(COUNTIF(V101:AF101,PUNKTID!A$13),ETAPP!A$1:A$32,0))&amp;INDEX(ETAPP!B$1:B$32,MATCH(COUNTIF(V101:AF101,PUNKTID!A$14),ETAPP!A$1:A$32,0))</f>
        <v>000000000A000E</v>
      </c>
      <c r="M101" s="397" t="str">
        <f t="shared" ca="1" si="39"/>
        <v>002,0-000000000A000E</v>
      </c>
      <c r="N101" s="320">
        <f t="shared" ca="1" si="40"/>
        <v>93</v>
      </c>
      <c r="O101" s="320">
        <f t="shared" si="41"/>
        <v>2</v>
      </c>
      <c r="P101" s="397" t="str">
        <f t="shared" ca="1" si="42"/>
        <v>002,0-000000000A000E-002</v>
      </c>
      <c r="Q101" s="320">
        <f t="shared" ca="1" si="43"/>
        <v>7</v>
      </c>
      <c r="R101" s="328"/>
      <c r="S101" s="380"/>
      <c r="T101" s="400" t="s">
        <v>605</v>
      </c>
      <c r="U101" s="559"/>
      <c r="V101" s="97" t="str">
        <f>IFERROR(INDEX('1'!C$300:C$400,MATCH("*"&amp;I101&amp;"*",'1'!B$300:B$400,0)),"  ")</f>
        <v xml:space="preserve">  </v>
      </c>
      <c r="W101" s="97" t="str">
        <f>IFERROR(INDEX('2'!C$300:C$400,MATCH("*"&amp;I101&amp;"*",'2'!B$300:B$400,0)),"  ")</f>
        <v xml:space="preserve">  </v>
      </c>
      <c r="X101" s="97" t="str">
        <f>IFERROR(INDEX('3'!C$300:C$400,MATCH("*"&amp;I101&amp;"*",'3'!B$300:B$400,0)),"  ")</f>
        <v xml:space="preserve">  </v>
      </c>
      <c r="Y101" s="97" t="str">
        <f>IFERROR(INDEX('4'!C$300:C$400,MATCH("*"&amp;I101&amp;"*",'4'!B$300:B$400,0)),"  ")</f>
        <v xml:space="preserve">  </v>
      </c>
      <c r="Z101" s="97">
        <f>IFERROR(INDEX('5'!C$300:C$400,MATCH("*"&amp;I101&amp;"*",'5'!B$300:B$400,0)),"  ")</f>
        <v>2</v>
      </c>
      <c r="AA101" s="97" t="str">
        <f>IFERROR(INDEX('6'!C$300:C$400,MATCH("*"&amp;I101&amp;"*",'6'!B$300:B$400,0)),"  ")</f>
        <v xml:space="preserve">  </v>
      </c>
      <c r="AB101" s="97" t="str">
        <f>IFERROR(INDEX('7'!C$300:C$400,MATCH("*"&amp;I101&amp;"*",'7'!B$300:B$400,0)),"  ")</f>
        <v xml:space="preserve">  </v>
      </c>
      <c r="AC101" s="97" t="str">
        <f>IFERROR(INDEX('8'!C$300:C$400,MATCH("*"&amp;I101&amp;"*",'8'!B$300:B$400,0)),"  ")</f>
        <v xml:space="preserve">  </v>
      </c>
      <c r="AD101" s="97" t="str">
        <f ca="1">IFERROR(INDEX('9'!C$300:C$400,MATCH("*"&amp;I101&amp;"*",'9'!B$300:B$400,0)),"  ")</f>
        <v xml:space="preserve">  </v>
      </c>
      <c r="AE101" s="97" t="str">
        <f>IFERROR(INDEX('10'!C$300:C$400,MATCH("*"&amp;I101&amp;"*",'10'!B$300:B$400,0)),"  ")</f>
        <v xml:space="preserve">  </v>
      </c>
      <c r="AF101" s="97" t="str">
        <f>IFERROR(INDEX('11'!C$300:C$400,MATCH("*"&amp;I101&amp;"*",'11'!B$300:B$400,0)),"  ")</f>
        <v xml:space="preserve">  </v>
      </c>
      <c r="AG101" s="294">
        <f t="shared" ca="1" si="44"/>
        <v>1</v>
      </c>
      <c r="AH101" s="794">
        <f t="shared" ca="1" si="45"/>
        <v>0</v>
      </c>
      <c r="AI101" s="796">
        <f t="shared" ca="1" si="46"/>
        <v>0</v>
      </c>
      <c r="AJ101" s="303">
        <f t="shared" ca="1" si="47"/>
        <v>0</v>
      </c>
      <c r="AK101" s="405">
        <f t="shared" si="48"/>
        <v>1E-4</v>
      </c>
      <c r="AL101" s="405">
        <f t="shared" ca="1" si="49"/>
        <v>2.0000000000000001E-4</v>
      </c>
      <c r="AM101" s="442">
        <f t="array" aca="1" ref="AM101" ca="1">MIN(IF(V$5:AF$5="ESMV",IF(V101:AF101="  ",FALSE,V101:AF101)+COLUMN(V:AF)/10000))</f>
        <v>2.3E-3</v>
      </c>
      <c r="AN101" s="405">
        <f t="shared" si="50"/>
        <v>2.9999999999999997E-4</v>
      </c>
    </row>
    <row r="102" spans="1:40" s="2" customFormat="1" ht="12.75" customHeight="1" x14ac:dyDescent="0.2">
      <c r="A102" s="328">
        <v>30</v>
      </c>
      <c r="B102" s="331">
        <f t="shared" ca="1" si="34"/>
        <v>30</v>
      </c>
      <c r="C102" s="329" t="str">
        <f t="shared" ca="1" si="35"/>
        <v>001,0-00000000000A0E</v>
      </c>
      <c r="D102" s="907" t="s">
        <v>257</v>
      </c>
      <c r="E102" s="331" t="str">
        <f t="shared" si="36"/>
        <v/>
      </c>
      <c r="F102" s="330" t="str">
        <f t="shared" si="37"/>
        <v/>
      </c>
      <c r="G102" s="390">
        <f t="shared" ca="1" si="38"/>
        <v>94</v>
      </c>
      <c r="H102" s="76">
        <v>94</v>
      </c>
      <c r="I102" s="98" t="s">
        <v>784</v>
      </c>
      <c r="J102" s="802">
        <v>1</v>
      </c>
      <c r="K102" s="801">
        <f t="array" aca="1" ref="K102" ca="1">(IF(COUNT(V102,X102,AA102,AB102,AC102,AE102)&lt;4,SUM(V102,X102,AA102,AB102,AC102,AE102),SUM(LARGE((V102,X102,AA102,AB102,AC102,AE102),{1;2;3;4}))))+(IF(COUNT(W102,Y102,Z102,AD102,AF102)&lt;4,SUM(W102,Y102,Z102,AD102,AF102),SUM(LARGE((W102,Y102,Z102,AD102,AF102),{1;2;3;4}))))</f>
        <v>1</v>
      </c>
      <c r="L102" s="397" t="str">
        <f ca="1">INDEX(ETAPP!B$1:B$32,MATCH(COUNTIF(V102:AF102,PUNKTID!A$1),ETAPP!A$1:A$32,0))&amp;INDEX(ETAPP!B$1:B$32,MATCH(COUNTIF(V102:AF102,PUNKTID!A$2),ETAPP!A$1:A$32,0))&amp;INDEX(ETAPP!B$1:B$32,MATCH(COUNTIF(V102:AF102,PUNKTID!A$3),ETAPP!A$1:A$32,0))&amp;INDEX(ETAPP!B$1:B$32,MATCH(COUNTIF(V102:AF102,PUNKTID!A$4),ETAPP!A$1:A$32,0))&amp;INDEX(ETAPP!B$1:B$32,MATCH(COUNTIF(V102:AF102,PUNKTID!A$5),ETAPP!A$1:A$32,0))&amp;INDEX(ETAPP!B$1:B$32,MATCH(COUNTIF(V102:AF102,PUNKTID!A$6),ETAPP!A$1:A$32,0))&amp;INDEX(ETAPP!B$1:B$32,MATCH(COUNTIF(V102:AF102,PUNKTID!A$7),ETAPP!A$1:A$32,0))&amp;INDEX(ETAPP!B$1:B$32,MATCH(COUNTIF(V102:AF102,PUNKTID!A$8),ETAPP!A$1:A$32,0))&amp;INDEX(ETAPP!B$1:B$32,MATCH(COUNTIF(V102:AF102,PUNKTID!A$9),ETAPP!A$1:A$32,0))&amp;INDEX(ETAPP!B$1:B$32,MATCH(COUNTIF(V102:AF102,PUNKTID!A$10),ETAPP!A$1:A$32,0))&amp;INDEX(ETAPP!B$1:B$32,MATCH(COUNTIF(V102:AF102,PUNKTID!A$11),ETAPP!A$1:A$32,0))&amp;INDEX(ETAPP!B$1:B$32,MATCH(COUNTIF(V102:AF102,PUNKTID!A$12),ETAPP!A$1:A$32,0))&amp;INDEX(ETAPP!B$1:B$32,MATCH(COUNTIF(V102:AF102,PUNKTID!A$13),ETAPP!A$1:A$32,0))&amp;INDEX(ETAPP!B$1:B$32,MATCH(COUNTIF(V102:AF102,PUNKTID!A$14),ETAPP!A$1:A$32,0))</f>
        <v>00000000000A0E</v>
      </c>
      <c r="M102" s="397" t="str">
        <f t="shared" ca="1" si="39"/>
        <v>001,0-00000000000A0E</v>
      </c>
      <c r="N102" s="320">
        <f t="shared" ca="1" si="40"/>
        <v>99</v>
      </c>
      <c r="O102" s="320">
        <f t="shared" si="41"/>
        <v>86</v>
      </c>
      <c r="P102" s="397" t="str">
        <f t="shared" ca="1" si="42"/>
        <v>001,0-00000000000A0E-086</v>
      </c>
      <c r="Q102" s="320">
        <f t="shared" ca="1" si="43"/>
        <v>6</v>
      </c>
      <c r="R102" s="328" t="s">
        <v>562</v>
      </c>
      <c r="S102" s="380"/>
      <c r="T102" s="400"/>
      <c r="U102" s="560" t="s">
        <v>758</v>
      </c>
      <c r="V102" s="97" t="str">
        <f>IFERROR(INDEX('1'!C$300:C$400,MATCH("*"&amp;I102&amp;"*",'1'!B$300:B$400,0)),"  ")</f>
        <v xml:space="preserve">  </v>
      </c>
      <c r="W102" s="97" t="str">
        <f>IFERROR(INDEX('2'!C$300:C$400,MATCH("*"&amp;I102&amp;"*",'2'!B$300:B$400,0)),"  ")</f>
        <v xml:space="preserve">  </v>
      </c>
      <c r="X102" s="97" t="str">
        <f>IFERROR(INDEX('3'!C$300:C$400,MATCH("*"&amp;I102&amp;"*",'3'!B$300:B$400,0)),"  ")</f>
        <v xml:space="preserve">  </v>
      </c>
      <c r="Y102" s="97" t="str">
        <f>IFERROR(INDEX('4'!C$300:C$400,MATCH("*"&amp;I102&amp;"*",'4'!B$300:B$400,0)),"  ")</f>
        <v xml:space="preserve">  </v>
      </c>
      <c r="Z102" s="97" t="str">
        <f>IFERROR(INDEX('5'!C$300:C$400,MATCH("*"&amp;I102&amp;"*",'5'!B$300:B$400,0)),"  ")</f>
        <v xml:space="preserve">  </v>
      </c>
      <c r="AA102" s="97" t="str">
        <f>IFERROR(INDEX('6'!C$300:C$400,MATCH("*"&amp;I102&amp;"*",'6'!B$300:B$400,0)),"  ")</f>
        <v xml:space="preserve">  </v>
      </c>
      <c r="AB102" s="97">
        <f>IFERROR(INDEX('7'!C$300:C$400,MATCH("*"&amp;I102&amp;"*",'7'!B$300:B$400,0)),"  ")</f>
        <v>1</v>
      </c>
      <c r="AC102" s="97" t="str">
        <f>IFERROR(INDEX('8'!C$300:C$400,MATCH("*"&amp;I102&amp;"*",'8'!B$300:B$400,0)),"  ")</f>
        <v xml:space="preserve">  </v>
      </c>
      <c r="AD102" s="97" t="str">
        <f ca="1">IFERROR(INDEX('9'!C$300:C$400,MATCH("*"&amp;I102&amp;"*",'9'!B$300:B$400,0)),"  ")</f>
        <v xml:space="preserve">  </v>
      </c>
      <c r="AE102" s="97" t="str">
        <f>IFERROR(INDEX('10'!C$300:C$400,MATCH("*"&amp;I102&amp;"*",'10'!B$300:B$400,0)),"  ")</f>
        <v xml:space="preserve">  </v>
      </c>
      <c r="AF102" s="97" t="str">
        <f>IFERROR(INDEX('11'!C$300:C$400,MATCH("*"&amp;I102&amp;"*",'11'!B$300:B$400,0)),"  ")</f>
        <v xml:space="preserve">  </v>
      </c>
      <c r="AG102" s="294">
        <f t="shared" ca="1" si="44"/>
        <v>1</v>
      </c>
      <c r="AH102" s="794">
        <f t="shared" ca="1" si="45"/>
        <v>0</v>
      </c>
      <c r="AI102" s="796">
        <f t="shared" ca="1" si="46"/>
        <v>0</v>
      </c>
      <c r="AJ102" s="303">
        <f t="shared" ca="1" si="47"/>
        <v>0</v>
      </c>
      <c r="AK102" s="405">
        <f t="shared" si="48"/>
        <v>1E-4</v>
      </c>
      <c r="AL102" s="405">
        <f t="shared" ca="1" si="49"/>
        <v>2.0000000000000001E-4</v>
      </c>
      <c r="AM102" s="442">
        <f t="array" aca="1" ref="AM102" ca="1">MIN(IF(V$5:AF$5="ESMV",IF(V102:AF102="  ",FALSE,V102:AF102)+COLUMN(V:AF)/10000))</f>
        <v>2.3E-3</v>
      </c>
      <c r="AN102" s="405">
        <f t="shared" si="50"/>
        <v>2.9999999999999997E-4</v>
      </c>
    </row>
    <row r="103" spans="1:40" s="2" customFormat="1" ht="12.75" customHeight="1" x14ac:dyDescent="0.2">
      <c r="A103" s="328" t="s">
        <v>257</v>
      </c>
      <c r="B103" s="331" t="str">
        <f t="shared" si="34"/>
        <v/>
      </c>
      <c r="C103" s="329" t="str">
        <f t="shared" si="35"/>
        <v/>
      </c>
      <c r="D103" s="907" t="s">
        <v>257</v>
      </c>
      <c r="E103" s="331" t="str">
        <f t="shared" si="36"/>
        <v/>
      </c>
      <c r="F103" s="330" t="str">
        <f t="shared" si="37"/>
        <v/>
      </c>
      <c r="G103" s="390">
        <f t="shared" ca="1" si="38"/>
        <v>94</v>
      </c>
      <c r="H103" s="76">
        <v>94</v>
      </c>
      <c r="I103" s="98" t="s">
        <v>212</v>
      </c>
      <c r="J103" s="800">
        <v>1</v>
      </c>
      <c r="K103" s="801">
        <f t="array" aca="1" ref="K103" ca="1">(IF(COUNT(V103,X103,AA103,AB103,AC103,AE103)&lt;4,SUM(V103,X103,AA103,AB103,AC103,AE103),SUM(LARGE((V103,X103,AA103,AB103,AC103,AE103),{1;2;3;4}))))+(IF(COUNT(W103,Y103,Z103,AD103,AF103)&lt;4,SUM(W103,Y103,Z103,AD103,AF103),SUM(LARGE((W103,Y103,Z103,AD103,AF103),{1;2;3;4}))))</f>
        <v>1</v>
      </c>
      <c r="L103" s="397" t="str">
        <f ca="1">INDEX(ETAPP!B$1:B$32,MATCH(COUNTIF(V103:AF103,PUNKTID!A$1),ETAPP!A$1:A$32,0))&amp;INDEX(ETAPP!B$1:B$32,MATCH(COUNTIF(V103:AF103,PUNKTID!A$2),ETAPP!A$1:A$32,0))&amp;INDEX(ETAPP!B$1:B$32,MATCH(COUNTIF(V103:AF103,PUNKTID!A$3),ETAPP!A$1:A$32,0))&amp;INDEX(ETAPP!B$1:B$32,MATCH(COUNTIF(V103:AF103,PUNKTID!A$4),ETAPP!A$1:A$32,0))&amp;INDEX(ETAPP!B$1:B$32,MATCH(COUNTIF(V103:AF103,PUNKTID!A$5),ETAPP!A$1:A$32,0))&amp;INDEX(ETAPP!B$1:B$32,MATCH(COUNTIF(V103:AF103,PUNKTID!A$6),ETAPP!A$1:A$32,0))&amp;INDEX(ETAPP!B$1:B$32,MATCH(COUNTIF(V103:AF103,PUNKTID!A$7),ETAPP!A$1:A$32,0))&amp;INDEX(ETAPP!B$1:B$32,MATCH(COUNTIF(V103:AF103,PUNKTID!A$8),ETAPP!A$1:A$32,0))&amp;INDEX(ETAPP!B$1:B$32,MATCH(COUNTIF(V103:AF103,PUNKTID!A$9),ETAPP!A$1:A$32,0))&amp;INDEX(ETAPP!B$1:B$32,MATCH(COUNTIF(V103:AF103,PUNKTID!A$10),ETAPP!A$1:A$32,0))&amp;INDEX(ETAPP!B$1:B$32,MATCH(COUNTIF(V103:AF103,PUNKTID!A$11),ETAPP!A$1:A$32,0))&amp;INDEX(ETAPP!B$1:B$32,MATCH(COUNTIF(V103:AF103,PUNKTID!A$12),ETAPP!A$1:A$32,0))&amp;INDEX(ETAPP!B$1:B$32,MATCH(COUNTIF(V103:AF103,PUNKTID!A$13),ETAPP!A$1:A$32,0))&amp;INDEX(ETAPP!B$1:B$32,MATCH(COUNTIF(V103:AF103,PUNKTID!A$14),ETAPP!A$1:A$32,0))</f>
        <v>00000000000A0E</v>
      </c>
      <c r="M103" s="397" t="str">
        <f t="shared" ca="1" si="39"/>
        <v>001,0-00000000000A0E</v>
      </c>
      <c r="N103" s="320">
        <f t="shared" ca="1" si="40"/>
        <v>99</v>
      </c>
      <c r="O103" s="320">
        <f t="shared" si="41"/>
        <v>85</v>
      </c>
      <c r="P103" s="397" t="str">
        <f t="shared" ca="1" si="42"/>
        <v>001,0-00000000000A0E-085</v>
      </c>
      <c r="Q103" s="320">
        <f t="shared" ca="1" si="43"/>
        <v>5</v>
      </c>
      <c r="R103" s="328"/>
      <c r="S103" s="380"/>
      <c r="T103" s="400" t="s">
        <v>605</v>
      </c>
      <c r="U103" s="559"/>
      <c r="V103" s="97" t="str">
        <f>IFERROR(INDEX('1'!C$300:C$400,MATCH("*"&amp;I103&amp;"*",'1'!B$300:B$400,0)),"  ")</f>
        <v xml:space="preserve">  </v>
      </c>
      <c r="W103" s="97" t="str">
        <f>IFERROR(INDEX('2'!C$300:C$400,MATCH("*"&amp;I103&amp;"*",'2'!B$300:B$400,0)),"  ")</f>
        <v xml:space="preserve">  </v>
      </c>
      <c r="X103" s="97" t="str">
        <f>IFERROR(INDEX('3'!C$300:C$400,MATCH("*"&amp;I103&amp;"*",'3'!B$300:B$400,0)),"  ")</f>
        <v xml:space="preserve">  </v>
      </c>
      <c r="Y103" s="97" t="str">
        <f>IFERROR(INDEX('4'!C$300:C$400,MATCH("*"&amp;I103&amp;"*",'4'!B$300:B$400,0)),"  ")</f>
        <v xml:space="preserve">  </v>
      </c>
      <c r="Z103" s="97" t="str">
        <f>IFERROR(INDEX('5'!C$300:C$400,MATCH("*"&amp;I103&amp;"*",'5'!B$300:B$400,0)),"  ")</f>
        <v xml:space="preserve">  </v>
      </c>
      <c r="AA103" s="97">
        <f>IFERROR(INDEX('6'!C$300:C$400,MATCH("*"&amp;I103&amp;"*",'6'!B$300:B$400,0)),"  ")</f>
        <v>1</v>
      </c>
      <c r="AB103" s="97" t="str">
        <f>IFERROR(INDEX('7'!C$300:C$400,MATCH("*"&amp;I103&amp;"*",'7'!B$300:B$400,0)),"  ")</f>
        <v xml:space="preserve">  </v>
      </c>
      <c r="AC103" s="97" t="str">
        <f>IFERROR(INDEX('8'!C$300:C$400,MATCH("*"&amp;I103&amp;"*",'8'!B$300:B$400,0)),"  ")</f>
        <v xml:space="preserve">  </v>
      </c>
      <c r="AD103" s="97" t="str">
        <f ca="1">IFERROR(INDEX('9'!C$300:C$400,MATCH("*"&amp;I103&amp;"*",'9'!B$300:B$400,0)),"  ")</f>
        <v xml:space="preserve">  </v>
      </c>
      <c r="AE103" s="97" t="str">
        <f>IFERROR(INDEX('10'!C$300:C$400,MATCH("*"&amp;I103&amp;"*",'10'!B$300:B$400,0)),"  ")</f>
        <v xml:space="preserve">  </v>
      </c>
      <c r="AF103" s="97" t="str">
        <f>IFERROR(INDEX('11'!C$300:C$400,MATCH("*"&amp;I103&amp;"*",'11'!B$300:B$400,0)),"  ")</f>
        <v xml:space="preserve">  </v>
      </c>
      <c r="AG103" s="294">
        <f t="shared" ca="1" si="44"/>
        <v>1</v>
      </c>
      <c r="AH103" s="794">
        <f t="shared" ca="1" si="45"/>
        <v>0</v>
      </c>
      <c r="AI103" s="796">
        <f t="shared" ca="1" si="46"/>
        <v>0</v>
      </c>
      <c r="AJ103" s="303">
        <f t="shared" ca="1" si="47"/>
        <v>0</v>
      </c>
      <c r="AK103" s="405">
        <f t="shared" si="48"/>
        <v>1E-4</v>
      </c>
      <c r="AL103" s="405">
        <f t="shared" ca="1" si="49"/>
        <v>2.0000000000000001E-4</v>
      </c>
      <c r="AM103" s="442">
        <f t="array" aca="1" ref="AM103" ca="1">MIN(IF(V$5:AF$5="ESMV",IF(V103:AF103="  ",FALSE,V103:AF103)+COLUMN(V:AF)/10000))</f>
        <v>2.3E-3</v>
      </c>
      <c r="AN103" s="405">
        <f t="shared" si="50"/>
        <v>2.9999999999999997E-4</v>
      </c>
    </row>
    <row r="104" spans="1:40" s="2" customFormat="1" ht="12.75" customHeight="1" x14ac:dyDescent="0.2">
      <c r="A104" s="328" t="s">
        <v>257</v>
      </c>
      <c r="B104" s="331" t="str">
        <f t="shared" si="34"/>
        <v/>
      </c>
      <c r="C104" s="329" t="str">
        <f t="shared" si="35"/>
        <v/>
      </c>
      <c r="D104" s="907" t="s">
        <v>257</v>
      </c>
      <c r="E104" s="331" t="str">
        <f t="shared" si="36"/>
        <v/>
      </c>
      <c r="F104" s="330" t="str">
        <f t="shared" si="37"/>
        <v/>
      </c>
      <c r="G104" s="390">
        <f t="shared" ca="1" si="38"/>
        <v>94</v>
      </c>
      <c r="H104" s="76">
        <v>94</v>
      </c>
      <c r="I104" s="378" t="s">
        <v>250</v>
      </c>
      <c r="J104" s="800">
        <v>1</v>
      </c>
      <c r="K104" s="801">
        <f t="array" aca="1" ref="K104" ca="1">(IF(COUNT(V104,X104,AA104,AB104,AC104,AE104)&lt;4,SUM(V104,X104,AA104,AB104,AC104,AE104),SUM(LARGE((V104,X104,AA104,AB104,AC104,AE104),{1;2;3;4}))))+(IF(COUNT(W104,Y104,Z104,AD104,AF104)&lt;4,SUM(W104,Y104,Z104,AD104,AF104),SUM(LARGE((W104,Y104,Z104,AD104,AF104),{1;2;3;4}))))</f>
        <v>1</v>
      </c>
      <c r="L104" s="397" t="str">
        <f ca="1">INDEX(ETAPP!B$1:B$32,MATCH(COUNTIF(V104:AF104,PUNKTID!A$1),ETAPP!A$1:A$32,0))&amp;INDEX(ETAPP!B$1:B$32,MATCH(COUNTIF(V104:AF104,PUNKTID!A$2),ETAPP!A$1:A$32,0))&amp;INDEX(ETAPP!B$1:B$32,MATCH(COUNTIF(V104:AF104,PUNKTID!A$3),ETAPP!A$1:A$32,0))&amp;INDEX(ETAPP!B$1:B$32,MATCH(COUNTIF(V104:AF104,PUNKTID!A$4),ETAPP!A$1:A$32,0))&amp;INDEX(ETAPP!B$1:B$32,MATCH(COUNTIF(V104:AF104,PUNKTID!A$5),ETAPP!A$1:A$32,0))&amp;INDEX(ETAPP!B$1:B$32,MATCH(COUNTIF(V104:AF104,PUNKTID!A$6),ETAPP!A$1:A$32,0))&amp;INDEX(ETAPP!B$1:B$32,MATCH(COUNTIF(V104:AF104,PUNKTID!A$7),ETAPP!A$1:A$32,0))&amp;INDEX(ETAPP!B$1:B$32,MATCH(COUNTIF(V104:AF104,PUNKTID!A$8),ETAPP!A$1:A$32,0))&amp;INDEX(ETAPP!B$1:B$32,MATCH(COUNTIF(V104:AF104,PUNKTID!A$9),ETAPP!A$1:A$32,0))&amp;INDEX(ETAPP!B$1:B$32,MATCH(COUNTIF(V104:AF104,PUNKTID!A$10),ETAPP!A$1:A$32,0))&amp;INDEX(ETAPP!B$1:B$32,MATCH(COUNTIF(V104:AF104,PUNKTID!A$11),ETAPP!A$1:A$32,0))&amp;INDEX(ETAPP!B$1:B$32,MATCH(COUNTIF(V104:AF104,PUNKTID!A$12),ETAPP!A$1:A$32,0))&amp;INDEX(ETAPP!B$1:B$32,MATCH(COUNTIF(V104:AF104,PUNKTID!A$13),ETAPP!A$1:A$32,0))&amp;INDEX(ETAPP!B$1:B$32,MATCH(COUNTIF(V104:AF104,PUNKTID!A$14),ETAPP!A$1:A$32,0))</f>
        <v>00000000000A0E</v>
      </c>
      <c r="M104" s="397" t="str">
        <f t="shared" ca="1" si="39"/>
        <v>001,0-00000000000A0E</v>
      </c>
      <c r="N104" s="320">
        <f t="shared" ca="1" si="40"/>
        <v>99</v>
      </c>
      <c r="O104" s="320">
        <f t="shared" si="41"/>
        <v>75</v>
      </c>
      <c r="P104" s="397" t="str">
        <f t="shared" ca="1" si="42"/>
        <v>001,0-00000000000A0E-075</v>
      </c>
      <c r="Q104" s="320">
        <f t="shared" ca="1" si="43"/>
        <v>4</v>
      </c>
      <c r="R104" s="328"/>
      <c r="S104" s="380"/>
      <c r="T104" s="400"/>
      <c r="U104" s="559"/>
      <c r="V104" s="97" t="str">
        <f>IFERROR(INDEX('1'!C$300:C$400,MATCH("*"&amp;I104&amp;"*",'1'!B$300:B$400,0)),"  ")</f>
        <v xml:space="preserve">  </v>
      </c>
      <c r="W104" s="97" t="str">
        <f>IFERROR(INDEX('2'!C$300:C$400,MATCH("*"&amp;I104&amp;"*",'2'!B$300:B$400,0)),"  ")</f>
        <v xml:space="preserve">  </v>
      </c>
      <c r="X104" s="97">
        <f>IFERROR(INDEX('3'!C$300:C$400,MATCH("*"&amp;I104&amp;"*",'3'!B$300:B$400,0)),"  ")</f>
        <v>1</v>
      </c>
      <c r="Y104" s="97" t="str">
        <f>IFERROR(INDEX('4'!C$300:C$400,MATCH("*"&amp;I104&amp;"*",'4'!B$300:B$400,0)),"  ")</f>
        <v xml:space="preserve">  </v>
      </c>
      <c r="Z104" s="97" t="str">
        <f>IFERROR(INDEX('5'!C$300:C$400,MATCH("*"&amp;I104&amp;"*",'5'!B$300:B$400,0)),"  ")</f>
        <v xml:space="preserve">  </v>
      </c>
      <c r="AA104" s="97" t="str">
        <f>IFERROR(INDEX('6'!C$300:C$400,MATCH("*"&amp;I104&amp;"*",'6'!B$300:B$400,0)),"  ")</f>
        <v xml:space="preserve">  </v>
      </c>
      <c r="AB104" s="97" t="str">
        <f>IFERROR(INDEX('7'!C$300:C$400,MATCH("*"&amp;I104&amp;"*",'7'!B$300:B$400,0)),"  ")</f>
        <v xml:space="preserve">  </v>
      </c>
      <c r="AC104" s="97" t="str">
        <f>IFERROR(INDEX('8'!C$300:C$400,MATCH("*"&amp;I104&amp;"*",'8'!B$300:B$400,0)),"  ")</f>
        <v xml:space="preserve">  </v>
      </c>
      <c r="AD104" s="97" t="str">
        <f ca="1">IFERROR(INDEX('9'!C$300:C$400,MATCH("*"&amp;I104&amp;"*",'9'!B$300:B$400,0)),"  ")</f>
        <v xml:space="preserve">  </v>
      </c>
      <c r="AE104" s="97" t="str">
        <f>IFERROR(INDEX('10'!C$300:C$400,MATCH("*"&amp;I104&amp;"*",'10'!B$300:B$400,0)),"  ")</f>
        <v xml:space="preserve">  </v>
      </c>
      <c r="AF104" s="97" t="str">
        <f>IFERROR(INDEX('11'!C$300:C$400,MATCH("*"&amp;I104&amp;"*",'11'!B$300:B$400,0)),"  ")</f>
        <v xml:space="preserve">  </v>
      </c>
      <c r="AG104" s="294">
        <f t="shared" ca="1" si="44"/>
        <v>1</v>
      </c>
      <c r="AH104" s="794">
        <f t="shared" ca="1" si="45"/>
        <v>0</v>
      </c>
      <c r="AI104" s="796">
        <f t="shared" ca="1" si="46"/>
        <v>0</v>
      </c>
      <c r="AJ104" s="303">
        <f t="shared" ca="1" si="47"/>
        <v>0</v>
      </c>
      <c r="AK104" s="405">
        <f t="shared" si="48"/>
        <v>1E-4</v>
      </c>
      <c r="AL104" s="405">
        <f t="shared" ca="1" si="49"/>
        <v>2.0000000000000001E-4</v>
      </c>
      <c r="AM104" s="442">
        <f t="array" aca="1" ref="AM104" ca="1">MIN(IF(V$5:AF$5="ESMV",IF(V104:AF104="  ",FALSE,V104:AF104)+COLUMN(V:AF)/10000))</f>
        <v>2.3E-3</v>
      </c>
      <c r="AN104" s="405">
        <f t="shared" si="50"/>
        <v>5.9999999999999995E-4</v>
      </c>
    </row>
    <row r="105" spans="1:40" s="2" customFormat="1" ht="12.75" customHeight="1" x14ac:dyDescent="0.2">
      <c r="A105" s="328" t="s">
        <v>257</v>
      </c>
      <c r="B105" s="331" t="str">
        <f t="shared" ref="B105:B107" si="51">IF(C105="","",COUNTIF(C$9:C$107,"&gt;="&amp;C105))</f>
        <v/>
      </c>
      <c r="C105" s="329" t="str">
        <f t="shared" ref="C105:C107" si="52">IF(R105="n",M105,"")</f>
        <v/>
      </c>
      <c r="D105" s="907" t="s">
        <v>257</v>
      </c>
      <c r="E105" s="331" t="str">
        <f t="shared" ref="E105:E107" si="53">IF(F105="","",COUNTIF(F$9:F$107,"&gt;="&amp;F105))</f>
        <v/>
      </c>
      <c r="F105" s="330" t="str">
        <f t="shared" ref="F105:F107" si="54">IF(S105="j",M105,"")</f>
        <v/>
      </c>
      <c r="G105" s="390">
        <f t="shared" ca="1" si="38"/>
        <v>94</v>
      </c>
      <c r="H105" s="76">
        <v>94</v>
      </c>
      <c r="I105" s="98" t="s">
        <v>218</v>
      </c>
      <c r="J105" s="800">
        <v>1</v>
      </c>
      <c r="K105" s="801">
        <f t="array" aca="1" ref="K105" ca="1">(IF(COUNT(V105,X105,AA105,AB105,AC105,AE105)&lt;4,SUM(V105,X105,AA105,AB105,AC105,AE105),SUM(LARGE((V105,X105,AA105,AB105,AC105,AE105),{1;2;3;4}))))+(IF(COUNT(W105,Y105,Z105,AD105,AF105)&lt;4,SUM(W105,Y105,Z105,AD105,AF105),SUM(LARGE((W105,Y105,Z105,AD105,AF105),{1;2;3;4}))))</f>
        <v>1</v>
      </c>
      <c r="L105" s="397" t="str">
        <f ca="1">INDEX(ETAPP!B$1:B$32,MATCH(COUNTIF(V105:AF105,PUNKTID!A$1),ETAPP!A$1:A$32,0))&amp;INDEX(ETAPP!B$1:B$32,MATCH(COUNTIF(V105:AF105,PUNKTID!A$2),ETAPP!A$1:A$32,0))&amp;INDEX(ETAPP!B$1:B$32,MATCH(COUNTIF(V105:AF105,PUNKTID!A$3),ETAPP!A$1:A$32,0))&amp;INDEX(ETAPP!B$1:B$32,MATCH(COUNTIF(V105:AF105,PUNKTID!A$4),ETAPP!A$1:A$32,0))&amp;INDEX(ETAPP!B$1:B$32,MATCH(COUNTIF(V105:AF105,PUNKTID!A$5),ETAPP!A$1:A$32,0))&amp;INDEX(ETAPP!B$1:B$32,MATCH(COUNTIF(V105:AF105,PUNKTID!A$6),ETAPP!A$1:A$32,0))&amp;INDEX(ETAPP!B$1:B$32,MATCH(COUNTIF(V105:AF105,PUNKTID!A$7),ETAPP!A$1:A$32,0))&amp;INDEX(ETAPP!B$1:B$32,MATCH(COUNTIF(V105:AF105,PUNKTID!A$8),ETAPP!A$1:A$32,0))&amp;INDEX(ETAPP!B$1:B$32,MATCH(COUNTIF(V105:AF105,PUNKTID!A$9),ETAPP!A$1:A$32,0))&amp;INDEX(ETAPP!B$1:B$32,MATCH(COUNTIF(V105:AF105,PUNKTID!A$10),ETAPP!A$1:A$32,0))&amp;INDEX(ETAPP!B$1:B$32,MATCH(COUNTIF(V105:AF105,PUNKTID!A$11),ETAPP!A$1:A$32,0))&amp;INDEX(ETAPP!B$1:B$32,MATCH(COUNTIF(V105:AF105,PUNKTID!A$12),ETAPP!A$1:A$32,0))&amp;INDEX(ETAPP!B$1:B$32,MATCH(COUNTIF(V105:AF105,PUNKTID!A$13),ETAPP!A$1:A$32,0))&amp;INDEX(ETAPP!B$1:B$32,MATCH(COUNTIF(V105:AF105,PUNKTID!A$14),ETAPP!A$1:A$32,0))</f>
        <v>00000000000A0E</v>
      </c>
      <c r="M105" s="397" t="str">
        <f t="shared" ref="M105:M107" ca="1" si="55">TEXT(K105,"000,0")&amp;"-"&amp;L105</f>
        <v>001,0-00000000000A0E</v>
      </c>
      <c r="N105" s="320">
        <f t="shared" ref="N105:N107" ca="1" si="56">COUNTIF(M$9:M$107,"&gt;="&amp;M105)</f>
        <v>99</v>
      </c>
      <c r="O105" s="320">
        <f t="shared" si="41"/>
        <v>69</v>
      </c>
      <c r="P105" s="397" t="str">
        <f t="shared" ref="P105:P107" ca="1" si="57">TEXT(K105,"000,0")&amp;"-"&amp;L105&amp;"-"&amp;TEXT(O105,"000")</f>
        <v>001,0-00000000000A0E-069</v>
      </c>
      <c r="Q105" s="320">
        <f t="shared" ref="Q105:Q107" ca="1" si="58">COUNTIF(P$9:P$107,"&lt;="&amp;P105)</f>
        <v>3</v>
      </c>
      <c r="R105" s="328"/>
      <c r="S105" s="380"/>
      <c r="T105" s="400"/>
      <c r="U105" s="559"/>
      <c r="V105" s="97" t="str">
        <f>IFERROR(INDEX('1'!C$300:C$400,MATCH("*"&amp;I105&amp;"*",'1'!B$300:B$400,0)),"  ")</f>
        <v xml:space="preserve">  </v>
      </c>
      <c r="W105" s="97" t="str">
        <f>IFERROR(INDEX('2'!C$300:C$400,MATCH("*"&amp;I105&amp;"*",'2'!B$300:B$400,0)),"  ")</f>
        <v xml:space="preserve">  </v>
      </c>
      <c r="X105" s="97">
        <f>IFERROR(INDEX('3'!C$300:C$400,MATCH("*"&amp;I105&amp;"*",'3'!B$300:B$400,0)),"  ")</f>
        <v>1</v>
      </c>
      <c r="Y105" s="97" t="str">
        <f>IFERROR(INDEX('4'!C$300:C$400,MATCH("*"&amp;I105&amp;"*",'4'!B$300:B$400,0)),"  ")</f>
        <v xml:space="preserve">  </v>
      </c>
      <c r="Z105" s="97" t="str">
        <f>IFERROR(INDEX('5'!C$300:C$400,MATCH("*"&amp;I105&amp;"*",'5'!B$300:B$400,0)),"  ")</f>
        <v xml:space="preserve">  </v>
      </c>
      <c r="AA105" s="97" t="str">
        <f>IFERROR(INDEX('6'!C$300:C$400,MATCH("*"&amp;I105&amp;"*",'6'!B$300:B$400,0)),"  ")</f>
        <v xml:space="preserve">  </v>
      </c>
      <c r="AB105" s="97" t="str">
        <f>IFERROR(INDEX('7'!C$300:C$400,MATCH("*"&amp;I105&amp;"*",'7'!B$300:B$400,0)),"  ")</f>
        <v xml:space="preserve">  </v>
      </c>
      <c r="AC105" s="97" t="str">
        <f>IFERROR(INDEX('8'!C$300:C$400,MATCH("*"&amp;I105&amp;"*",'8'!B$300:B$400,0)),"  ")</f>
        <v xml:space="preserve">  </v>
      </c>
      <c r="AD105" s="97" t="str">
        <f ca="1">IFERROR(INDEX('9'!C$300:C$400,MATCH("*"&amp;I105&amp;"*",'9'!B$300:B$400,0)),"  ")</f>
        <v xml:space="preserve">  </v>
      </c>
      <c r="AE105" s="97" t="str">
        <f>IFERROR(INDEX('10'!C$300:C$400,MATCH("*"&amp;I105&amp;"*",'10'!B$300:B$400,0)),"  ")</f>
        <v xml:space="preserve">  </v>
      </c>
      <c r="AF105" s="97" t="str">
        <f>IFERROR(INDEX('11'!C$300:C$400,MATCH("*"&amp;I105&amp;"*",'11'!B$300:B$400,0)),"  ")</f>
        <v xml:space="preserve">  </v>
      </c>
      <c r="AG105" s="294">
        <f t="shared" ref="AG105:AG107" ca="1" si="59">COUNTIF(V105:AF105,"&gt;=0")</f>
        <v>1</v>
      </c>
      <c r="AH105" s="794">
        <f t="shared" ref="AH105:AH107" ca="1" si="60">COUNTIF(V105,"&gt;=12")+COUNTIF(X105,"&gt;=12")+COUNTIF(AA105:AC105,"&gt;=12")+COUNTIF(AE105,"&gt;=12")+COUNTIF(W105,"&gt;=16")+COUNTIF(Y105:Z105,"&gt;=16")+COUNTIF(AD105,"&gt;=16")+COUNTIF(AF105,"&gt;=16")</f>
        <v>0</v>
      </c>
      <c r="AI105" s="796">
        <f t="shared" ref="AI105:AI107" ca="1" si="61">COUNTIF(V105,"=20")+COUNTIF(X105,"=20")+COUNTIF(AA105:AC105,"=20")+COUNTIF(AE105,"=20")+COUNTIF(V105:AF105,"=25")</f>
        <v>0</v>
      </c>
      <c r="AJ105" s="303">
        <f t="shared" ref="AJ105:AJ107" ca="1" si="62">COUNTIF(V105:AF105,"=25")</f>
        <v>0</v>
      </c>
      <c r="AK105" s="405">
        <f t="shared" ref="AK105:AK107" si="63">MIN(IF($V105="  ",FALSE,$V105)+$V$8/10000,IF($X105="  ",FALSE,$X105)+$X$8/10000,IF($AA105="  ",FALSE,$AA105)+$AA$8/10000,IF($AB105="  ",FALSE,$AB105)+$AB$8/10000,IF($AC105="  ",FALSE,$AC105)+$AC$8/10000,IF($AE105="  ",FALSE,$AE105)+$AE$8/10000)</f>
        <v>1E-4</v>
      </c>
      <c r="AL105" s="405">
        <f t="shared" ref="AL105:AL107" ca="1" si="64">MIN(IF($W105="  ",FALSE,$W105)+$W$8/10000,IF($Y105="  ",FALSE,$Y105)+$Y$8/10000,IF($Z105="  ",FALSE,$Z105)+$Z$8/10000,IF($AD105="  ",FALSE,$AD105)+$AD$8/10000,IF($AF105="  ",FALSE,$AF105)+$AF$8/10000)</f>
        <v>2.0000000000000001E-4</v>
      </c>
      <c r="AM105" s="442">
        <f t="array" aca="1" ref="AM105" ca="1">MIN(IF(V$5:AF$5="ESMV",IF(V105:AF105="  ",FALSE,V105:AF105)+COLUMN(V:AF)/10000))</f>
        <v>2.3E-3</v>
      </c>
      <c r="AN105" s="405">
        <f t="shared" si="50"/>
        <v>5.9999999999999995E-4</v>
      </c>
    </row>
    <row r="106" spans="1:40" s="2" customFormat="1" ht="12.75" customHeight="1" x14ac:dyDescent="0.2">
      <c r="A106" s="328">
        <v>30</v>
      </c>
      <c r="B106" s="331">
        <f t="shared" ca="1" si="51"/>
        <v>30</v>
      </c>
      <c r="C106" s="329" t="str">
        <f t="shared" ca="1" si="52"/>
        <v>001,0-00000000000A0E</v>
      </c>
      <c r="D106" s="907" t="s">
        <v>257</v>
      </c>
      <c r="E106" s="331" t="str">
        <f t="shared" si="53"/>
        <v/>
      </c>
      <c r="F106" s="330" t="str">
        <f t="shared" si="54"/>
        <v/>
      </c>
      <c r="G106" s="390">
        <f t="shared" ca="1" si="38"/>
        <v>94</v>
      </c>
      <c r="H106" s="76">
        <v>94</v>
      </c>
      <c r="I106" s="98" t="s">
        <v>783</v>
      </c>
      <c r="J106" s="802">
        <v>1</v>
      </c>
      <c r="K106" s="801">
        <f t="array" aca="1" ref="K106" ca="1">(IF(COUNT(V106,X106,AA106,AB106,AC106,AE106)&lt;4,SUM(V106,X106,AA106,AB106,AC106,AE106),SUM(LARGE((V106,X106,AA106,AB106,AC106,AE106),{1;2;3;4}))))+(IF(COUNT(W106,Y106,Z106,AD106,AF106)&lt;4,SUM(W106,Y106,Z106,AD106,AF106),SUM(LARGE((W106,Y106,Z106,AD106,AF106),{1;2;3;4}))))</f>
        <v>1</v>
      </c>
      <c r="L106" s="397" t="str">
        <f ca="1">INDEX(ETAPP!B$1:B$32,MATCH(COUNTIF(V106:AF106,PUNKTID!A$1),ETAPP!A$1:A$32,0))&amp;INDEX(ETAPP!B$1:B$32,MATCH(COUNTIF(V106:AF106,PUNKTID!A$2),ETAPP!A$1:A$32,0))&amp;INDEX(ETAPP!B$1:B$32,MATCH(COUNTIF(V106:AF106,PUNKTID!A$3),ETAPP!A$1:A$32,0))&amp;INDEX(ETAPP!B$1:B$32,MATCH(COUNTIF(V106:AF106,PUNKTID!A$4),ETAPP!A$1:A$32,0))&amp;INDEX(ETAPP!B$1:B$32,MATCH(COUNTIF(V106:AF106,PUNKTID!A$5),ETAPP!A$1:A$32,0))&amp;INDEX(ETAPP!B$1:B$32,MATCH(COUNTIF(V106:AF106,PUNKTID!A$6),ETAPP!A$1:A$32,0))&amp;INDEX(ETAPP!B$1:B$32,MATCH(COUNTIF(V106:AF106,PUNKTID!A$7),ETAPP!A$1:A$32,0))&amp;INDEX(ETAPP!B$1:B$32,MATCH(COUNTIF(V106:AF106,PUNKTID!A$8),ETAPP!A$1:A$32,0))&amp;INDEX(ETAPP!B$1:B$32,MATCH(COUNTIF(V106:AF106,PUNKTID!A$9),ETAPP!A$1:A$32,0))&amp;INDEX(ETAPP!B$1:B$32,MATCH(COUNTIF(V106:AF106,PUNKTID!A$10),ETAPP!A$1:A$32,0))&amp;INDEX(ETAPP!B$1:B$32,MATCH(COUNTIF(V106:AF106,PUNKTID!A$11),ETAPP!A$1:A$32,0))&amp;INDEX(ETAPP!B$1:B$32,MATCH(COUNTIF(V106:AF106,PUNKTID!A$12),ETAPP!A$1:A$32,0))&amp;INDEX(ETAPP!B$1:B$32,MATCH(COUNTIF(V106:AF106,PUNKTID!A$13),ETAPP!A$1:A$32,0))&amp;INDEX(ETAPP!B$1:B$32,MATCH(COUNTIF(V106:AF106,PUNKTID!A$14),ETAPP!A$1:A$32,0))</f>
        <v>00000000000A0E</v>
      </c>
      <c r="M106" s="397" t="str">
        <f t="shared" ca="1" si="55"/>
        <v>001,0-00000000000A0E</v>
      </c>
      <c r="N106" s="320">
        <f t="shared" ca="1" si="56"/>
        <v>99</v>
      </c>
      <c r="O106" s="320">
        <f t="shared" si="41"/>
        <v>58</v>
      </c>
      <c r="P106" s="397" t="str">
        <f t="shared" ca="1" si="57"/>
        <v>001,0-00000000000A0E-058</v>
      </c>
      <c r="Q106" s="320">
        <f t="shared" ca="1" si="58"/>
        <v>2</v>
      </c>
      <c r="R106" s="328" t="s">
        <v>562</v>
      </c>
      <c r="S106" s="380"/>
      <c r="T106" s="400"/>
      <c r="U106" s="560" t="s">
        <v>758</v>
      </c>
      <c r="V106" s="97" t="str">
        <f>IFERROR(INDEX('1'!C$300:C$400,MATCH("*"&amp;I106&amp;"*",'1'!B$300:B$400,0)),"  ")</f>
        <v xml:space="preserve">  </v>
      </c>
      <c r="W106" s="97" t="str">
        <f>IFERROR(INDEX('2'!C$300:C$400,MATCH("*"&amp;I106&amp;"*",'2'!B$300:B$400,0)),"  ")</f>
        <v xml:space="preserve">  </v>
      </c>
      <c r="X106" s="97" t="str">
        <f>IFERROR(INDEX('3'!C$300:C$400,MATCH("*"&amp;I106&amp;"*",'3'!B$300:B$400,0)),"  ")</f>
        <v xml:space="preserve">  </v>
      </c>
      <c r="Y106" s="97" t="str">
        <f>IFERROR(INDEX('4'!C$300:C$400,MATCH("*"&amp;I106&amp;"*",'4'!B$300:B$400,0)),"  ")</f>
        <v xml:space="preserve">  </v>
      </c>
      <c r="Z106" s="97" t="str">
        <f>IFERROR(INDEX('5'!C$300:C$400,MATCH("*"&amp;I106&amp;"*",'5'!B$300:B$400,0)),"  ")</f>
        <v xml:space="preserve">  </v>
      </c>
      <c r="AA106" s="97" t="str">
        <f>IFERROR(INDEX('6'!C$300:C$400,MATCH("*"&amp;I106&amp;"*",'6'!B$300:B$400,0)),"  ")</f>
        <v xml:space="preserve">  </v>
      </c>
      <c r="AB106" s="97">
        <f>IFERROR(INDEX('7'!C$300:C$400,MATCH("*"&amp;I106&amp;"*",'7'!B$300:B$400,0)),"  ")</f>
        <v>1</v>
      </c>
      <c r="AC106" s="97" t="str">
        <f>IFERROR(INDEX('8'!C$300:C$400,MATCH("*"&amp;I106&amp;"*",'8'!B$300:B$400,0)),"  ")</f>
        <v xml:space="preserve">  </v>
      </c>
      <c r="AD106" s="97" t="str">
        <f ca="1">IFERROR(INDEX('9'!C$300:C$400,MATCH("*"&amp;I106&amp;"*",'9'!B$300:B$400,0)),"  ")</f>
        <v xml:space="preserve">  </v>
      </c>
      <c r="AE106" s="97" t="str">
        <f>IFERROR(INDEX('10'!C$300:C$400,MATCH("*"&amp;I106&amp;"*",'10'!B$300:B$400,0)),"  ")</f>
        <v xml:space="preserve">  </v>
      </c>
      <c r="AF106" s="97" t="str">
        <f>IFERROR(INDEX('11'!C$300:C$400,MATCH("*"&amp;I106&amp;"*",'11'!B$300:B$400,0)),"  ")</f>
        <v xml:space="preserve">  </v>
      </c>
      <c r="AG106" s="294">
        <f t="shared" ca="1" si="59"/>
        <v>1</v>
      </c>
      <c r="AH106" s="794">
        <f t="shared" ca="1" si="60"/>
        <v>0</v>
      </c>
      <c r="AI106" s="796">
        <f t="shared" ca="1" si="61"/>
        <v>0</v>
      </c>
      <c r="AJ106" s="303">
        <f t="shared" ca="1" si="62"/>
        <v>0</v>
      </c>
      <c r="AK106" s="405">
        <f t="shared" si="63"/>
        <v>1E-4</v>
      </c>
      <c r="AL106" s="405">
        <f t="shared" ca="1" si="64"/>
        <v>2.0000000000000001E-4</v>
      </c>
      <c r="AM106" s="442">
        <f t="array" aca="1" ref="AM106" ca="1">MIN(IF(V$5:AF$5="ESMV",IF(V106:AF106="  ",FALSE,V106:AF106)+COLUMN(V:AF)/10000))</f>
        <v>2.3E-3</v>
      </c>
      <c r="AN106" s="405">
        <f t="shared" si="50"/>
        <v>2.9999999999999997E-4</v>
      </c>
    </row>
    <row r="107" spans="1:40" s="2" customFormat="1" ht="12.75" customHeight="1" x14ac:dyDescent="0.2">
      <c r="A107" s="328" t="s">
        <v>257</v>
      </c>
      <c r="B107" s="331" t="str">
        <f t="shared" si="51"/>
        <v/>
      </c>
      <c r="C107" s="329" t="str">
        <f t="shared" si="52"/>
        <v/>
      </c>
      <c r="D107" s="907" t="s">
        <v>257</v>
      </c>
      <c r="E107" s="331" t="str">
        <f t="shared" si="53"/>
        <v/>
      </c>
      <c r="F107" s="330" t="str">
        <f t="shared" si="54"/>
        <v/>
      </c>
      <c r="G107" s="390">
        <f t="shared" ca="1" si="38"/>
        <v>94</v>
      </c>
      <c r="H107" s="76">
        <v>94</v>
      </c>
      <c r="I107" s="457" t="s">
        <v>47</v>
      </c>
      <c r="J107" s="800">
        <v>1</v>
      </c>
      <c r="K107" s="801">
        <f t="array" aca="1" ref="K107" ca="1">(IF(COUNT(V107,X107,AA107,AB107,AC107,AE107)&lt;4,SUM(V107,X107,AA107,AB107,AC107,AE107),SUM(LARGE((V107,X107,AA107,AB107,AC107,AE107),{1;2;3;4}))))+(IF(COUNT(W107,Y107,Z107,AD107,AF107)&lt;4,SUM(W107,Y107,Z107,AD107,AF107),SUM(LARGE((W107,Y107,Z107,AD107,AF107),{1;2;3;4}))))</f>
        <v>1</v>
      </c>
      <c r="L107" s="397" t="str">
        <f ca="1">INDEX(ETAPP!B$1:B$32,MATCH(COUNTIF(V107:AF107,PUNKTID!A$1),ETAPP!A$1:A$32,0))&amp;INDEX(ETAPP!B$1:B$32,MATCH(COUNTIF(V107:AF107,PUNKTID!A$2),ETAPP!A$1:A$32,0))&amp;INDEX(ETAPP!B$1:B$32,MATCH(COUNTIF(V107:AF107,PUNKTID!A$3),ETAPP!A$1:A$32,0))&amp;INDEX(ETAPP!B$1:B$32,MATCH(COUNTIF(V107:AF107,PUNKTID!A$4),ETAPP!A$1:A$32,0))&amp;INDEX(ETAPP!B$1:B$32,MATCH(COUNTIF(V107:AF107,PUNKTID!A$5),ETAPP!A$1:A$32,0))&amp;INDEX(ETAPP!B$1:B$32,MATCH(COUNTIF(V107:AF107,PUNKTID!A$6),ETAPP!A$1:A$32,0))&amp;INDEX(ETAPP!B$1:B$32,MATCH(COUNTIF(V107:AF107,PUNKTID!A$7),ETAPP!A$1:A$32,0))&amp;INDEX(ETAPP!B$1:B$32,MATCH(COUNTIF(V107:AF107,PUNKTID!A$8),ETAPP!A$1:A$32,0))&amp;INDEX(ETAPP!B$1:B$32,MATCH(COUNTIF(V107:AF107,PUNKTID!A$9),ETAPP!A$1:A$32,0))&amp;INDEX(ETAPP!B$1:B$32,MATCH(COUNTIF(V107:AF107,PUNKTID!A$10),ETAPP!A$1:A$32,0))&amp;INDEX(ETAPP!B$1:B$32,MATCH(COUNTIF(V107:AF107,PUNKTID!A$11),ETAPP!A$1:A$32,0))&amp;INDEX(ETAPP!B$1:B$32,MATCH(COUNTIF(V107:AF107,PUNKTID!A$12),ETAPP!A$1:A$32,0))&amp;INDEX(ETAPP!B$1:B$32,MATCH(COUNTIF(V107:AF107,PUNKTID!A$13),ETAPP!A$1:A$32,0))&amp;INDEX(ETAPP!B$1:B$32,MATCH(COUNTIF(V107:AF107,PUNKTID!A$14),ETAPP!A$1:A$32,0))</f>
        <v>00000000000A0E</v>
      </c>
      <c r="M107" s="397" t="str">
        <f t="shared" ca="1" si="55"/>
        <v>001,0-00000000000A0E</v>
      </c>
      <c r="N107" s="320">
        <f t="shared" ca="1" si="56"/>
        <v>99</v>
      </c>
      <c r="O107" s="320">
        <f t="shared" si="41"/>
        <v>4</v>
      </c>
      <c r="P107" s="397" t="str">
        <f t="shared" ca="1" si="57"/>
        <v>001,0-00000000000A0E-004</v>
      </c>
      <c r="Q107" s="320">
        <f t="shared" ca="1" si="58"/>
        <v>1</v>
      </c>
      <c r="R107" s="328"/>
      <c r="S107" s="380"/>
      <c r="T107" s="400"/>
      <c r="U107" s="559"/>
      <c r="V107" s="97" t="str">
        <f>IFERROR(INDEX('1'!C$300:C$400,MATCH("*"&amp;I107&amp;"*",'1'!B$300:B$400,0)),"  ")</f>
        <v xml:space="preserve">  </v>
      </c>
      <c r="W107" s="97" t="str">
        <f>IFERROR(INDEX('2'!C$300:C$400,MATCH("*"&amp;I107&amp;"*",'2'!B$300:B$400,0)),"  ")</f>
        <v xml:space="preserve">  </v>
      </c>
      <c r="X107" s="97">
        <f>IFERROR(INDEX('3'!C$300:C$400,MATCH("*"&amp;I107&amp;"*",'3'!B$300:B$400,0)),"  ")</f>
        <v>1</v>
      </c>
      <c r="Y107" s="97" t="str">
        <f>IFERROR(INDEX('4'!C$300:C$400,MATCH("*"&amp;I107&amp;"*",'4'!B$300:B$400,0)),"  ")</f>
        <v xml:space="preserve">  </v>
      </c>
      <c r="Z107" s="97" t="str">
        <f>IFERROR(INDEX('5'!C$300:C$400,MATCH("*"&amp;I107&amp;"*",'5'!B$300:B$400,0)),"  ")</f>
        <v xml:space="preserve">  </v>
      </c>
      <c r="AA107" s="97" t="str">
        <f>IFERROR(INDEX('6'!C$300:C$400,MATCH("*"&amp;I107&amp;"*",'6'!B$300:B$400,0)),"  ")</f>
        <v xml:space="preserve">  </v>
      </c>
      <c r="AB107" s="97" t="str">
        <f>IFERROR(INDEX('7'!C$300:C$400,MATCH("*"&amp;I107&amp;"*",'7'!B$300:B$400,0)),"  ")</f>
        <v xml:space="preserve">  </v>
      </c>
      <c r="AC107" s="97" t="str">
        <f>IFERROR(INDEX('8'!C$300:C$400,MATCH("*"&amp;I107&amp;"*",'8'!B$300:B$400,0)),"  ")</f>
        <v xml:space="preserve">  </v>
      </c>
      <c r="AD107" s="97" t="str">
        <f ca="1">IFERROR(INDEX('9'!C$300:C$400,MATCH("*"&amp;I107&amp;"*",'9'!B$300:B$400,0)),"  ")</f>
        <v xml:space="preserve">  </v>
      </c>
      <c r="AE107" s="97" t="str">
        <f>IFERROR(INDEX('10'!C$300:C$400,MATCH("*"&amp;I107&amp;"*",'10'!B$300:B$400,0)),"  ")</f>
        <v xml:space="preserve">  </v>
      </c>
      <c r="AF107" s="97" t="str">
        <f>IFERROR(INDEX('11'!C$300:C$400,MATCH("*"&amp;I107&amp;"*",'11'!B$300:B$400,0)),"  ")</f>
        <v xml:space="preserve">  </v>
      </c>
      <c r="AG107" s="294">
        <f t="shared" ca="1" si="59"/>
        <v>1</v>
      </c>
      <c r="AH107" s="794">
        <f t="shared" ca="1" si="60"/>
        <v>0</v>
      </c>
      <c r="AI107" s="796">
        <f t="shared" ca="1" si="61"/>
        <v>0</v>
      </c>
      <c r="AJ107" s="303">
        <f t="shared" ca="1" si="62"/>
        <v>0</v>
      </c>
      <c r="AK107" s="405">
        <f t="shared" si="63"/>
        <v>1E-4</v>
      </c>
      <c r="AL107" s="405">
        <f t="shared" ca="1" si="64"/>
        <v>2.0000000000000001E-4</v>
      </c>
      <c r="AM107" s="442">
        <f t="array" aca="1" ref="AM107" ca="1">MIN(IF(V$5:AF$5="ESMV",IF(V107:AF107="  ",FALSE,V107:AF107)+COLUMN(V:AF)/10000))</f>
        <v>2.3E-3</v>
      </c>
      <c r="AN107" s="405">
        <f t="shared" si="50"/>
        <v>5.9999999999999995E-4</v>
      </c>
    </row>
    <row r="108" spans="1:40" s="2" customFormat="1" x14ac:dyDescent="0.2">
      <c r="A108" s="324">
        <f>COUNT(A9:A107)</f>
        <v>30</v>
      </c>
      <c r="B108" s="324"/>
      <c r="C108" s="324"/>
      <c r="D108" s="188">
        <f>COUNT(D9:D107)</f>
        <v>4</v>
      </c>
      <c r="E108" s="188"/>
      <c r="F108" s="188"/>
      <c r="G108" s="21"/>
      <c r="H108" s="21">
        <f>COUNT(H9:H107)</f>
        <v>99</v>
      </c>
      <c r="I108" s="22" t="s">
        <v>59</v>
      </c>
      <c r="J108" s="23"/>
      <c r="K108" s="23"/>
      <c r="L108" s="23"/>
      <c r="M108" s="23"/>
      <c r="N108" s="23"/>
      <c r="O108" s="23"/>
      <c r="P108" s="23"/>
      <c r="Q108" s="23"/>
      <c r="R108" s="23"/>
      <c r="S108" s="23"/>
      <c r="T108" s="23"/>
      <c r="U108" s="23"/>
      <c r="V108" s="24">
        <f t="shared" ref="V108:AF108" si="65">COUNTIF(V9:V107,"&gt;=0")+COUNTIF(V9:V107,"=v")+COUNTIF(V9:V107,"=w")</f>
        <v>33</v>
      </c>
      <c r="W108" s="24">
        <f t="shared" si="65"/>
        <v>53</v>
      </c>
      <c r="X108" s="24">
        <f t="shared" si="65"/>
        <v>40</v>
      </c>
      <c r="Y108" s="24">
        <f t="shared" si="65"/>
        <v>37</v>
      </c>
      <c r="Z108" s="24">
        <f t="shared" si="65"/>
        <v>38</v>
      </c>
      <c r="AA108" s="24">
        <f t="shared" si="65"/>
        <v>39</v>
      </c>
      <c r="AB108" s="24">
        <f t="shared" si="65"/>
        <v>30</v>
      </c>
      <c r="AC108" s="24">
        <f t="shared" si="65"/>
        <v>22</v>
      </c>
      <c r="AD108" s="24">
        <f t="shared" ca="1" si="65"/>
        <v>16</v>
      </c>
      <c r="AE108" s="24">
        <f t="shared" si="65"/>
        <v>22</v>
      </c>
      <c r="AF108" s="24">
        <f t="shared" si="65"/>
        <v>39</v>
      </c>
      <c r="AG108" s="94"/>
      <c r="AH108" s="95">
        <f ca="1">SUM(AH9:AH107)</f>
        <v>78</v>
      </c>
      <c r="AI108" s="95">
        <f ca="1">SUM(AI9:AI107)</f>
        <v>26</v>
      </c>
      <c r="AJ108" s="96">
        <f ca="1">SUM(AJ9:AJ107)</f>
        <v>11</v>
      </c>
    </row>
    <row r="109" spans="1:40" s="2" customFormat="1" x14ac:dyDescent="0.2">
      <c r="A109" s="23"/>
      <c r="B109" s="23"/>
      <c r="C109" s="23"/>
      <c r="D109" s="23"/>
      <c r="E109" s="23"/>
      <c r="F109" s="23"/>
      <c r="G109" s="23"/>
      <c r="H109" s="23"/>
      <c r="I109" s="22" t="s">
        <v>60</v>
      </c>
      <c r="J109" s="25"/>
      <c r="K109" s="6"/>
      <c r="L109" s="6"/>
      <c r="M109" s="6"/>
      <c r="N109" s="6"/>
      <c r="O109" s="6"/>
      <c r="P109" s="6"/>
      <c r="Q109" s="6"/>
      <c r="R109" s="6"/>
      <c r="S109" s="6"/>
      <c r="T109" s="6"/>
      <c r="U109" s="6"/>
      <c r="V109" s="26">
        <f t="shared" ref="V109:AC109" si="66">IF((V108/(LEN(V7)-LEN(SUBSTITUTE(V7,"*","")))-0.5)&lt;0,"",V108/(LEN(V7)-LEN(SUBSTITUTE(V7,"*","")))-0.5)</f>
        <v>10.5</v>
      </c>
      <c r="W109" s="26">
        <f t="shared" si="66"/>
        <v>17.166666666666668</v>
      </c>
      <c r="X109" s="26">
        <f t="shared" si="66"/>
        <v>19.5</v>
      </c>
      <c r="Y109" s="26">
        <f t="shared" si="66"/>
        <v>18</v>
      </c>
      <c r="Z109" s="26">
        <f t="shared" si="66"/>
        <v>18.5</v>
      </c>
      <c r="AA109" s="26">
        <f t="shared" si="66"/>
        <v>12.5</v>
      </c>
      <c r="AB109" s="26">
        <f t="shared" si="66"/>
        <v>9.5</v>
      </c>
      <c r="AC109" s="26">
        <f t="shared" si="66"/>
        <v>10.5</v>
      </c>
      <c r="AD109" s="26"/>
      <c r="AE109" s="26">
        <f>IF((AE108/(LEN(AE7)-LEN(SUBSTITUTE(AE7,"*","")))-0.5)&lt;0,"",AE108/(LEN(AE7)-LEN(SUBSTITUTE(AE7,"*","")))-0.5)</f>
        <v>10.5</v>
      </c>
      <c r="AF109" s="26">
        <f>IF((AF108/(LEN(AF7)-LEN(SUBSTITUTE(AF7,"*","")))-0.5)&lt;0,"",AF108/(LEN(AF7)-LEN(SUBSTITUTE(AF7,"*","")))-0.5)</f>
        <v>12.5</v>
      </c>
      <c r="AG109" s="23"/>
      <c r="AH109" s="23"/>
      <c r="AI109" s="23"/>
      <c r="AJ109" s="23"/>
    </row>
  </sheetData>
  <autoFilter ref="A8:AJ109"/>
  <sortState ref="A8:AM173">
    <sortCondition descending="1" ref="Q9"/>
  </sortState>
  <conditionalFormatting sqref="V9:V107 AA9:AC107 X9:X107 AE9:AE107">
    <cfRule type="cellIs" dxfId="1898" priority="6967" stopIfTrue="1" operator="equal">
      <formula>12</formula>
    </cfRule>
    <cfRule type="cellIs" dxfId="1897" priority="6968" stopIfTrue="1" operator="equal">
      <formula>16</formula>
    </cfRule>
    <cfRule type="cellIs" dxfId="1896" priority="6969" stopIfTrue="1" operator="equal">
      <formula>20</formula>
    </cfRule>
  </conditionalFormatting>
  <conditionalFormatting sqref="Y9:Z107 W9:W107 AD9:AD107 AF9:AF107">
    <cfRule type="cellIs" dxfId="1895" priority="70" stopIfTrue="1" operator="equal">
      <formula>16</formula>
    </cfRule>
    <cfRule type="cellIs" dxfId="1894" priority="6960" stopIfTrue="1" operator="equal">
      <formula>20</formula>
    </cfRule>
    <cfRule type="cellIs" dxfId="1893" priority="6966" stopIfTrue="1" operator="equal">
      <formula>25</formula>
    </cfRule>
  </conditionalFormatting>
  <conditionalFormatting sqref="J9:J107">
    <cfRule type="expression" dxfId="1892" priority="4">
      <formula>U9="v"</formula>
    </cfRule>
    <cfRule type="expression" dxfId="1891" priority="13">
      <formula>T9="k"</formula>
    </cfRule>
    <cfRule type="duplicateValues" dxfId="1890" priority="2"/>
  </conditionalFormatting>
  <conditionalFormatting sqref="V108:AF108">
    <cfRule type="top10" dxfId="1889" priority="6958" stopIfTrue="1" rank="1"/>
  </conditionalFormatting>
  <conditionalFormatting sqref="AD9:AD107 W9:W107 Y9:Z107 AF9:AF107">
    <cfRule type="expression" dxfId="1888" priority="66">
      <formula>IF(W9="  ",FALSE,W9)+W$8/10000=$AL9</formula>
    </cfRule>
  </conditionalFormatting>
  <conditionalFormatting sqref="X9:X107 AA9:AC107 V9:V107 AE9:AE107">
    <cfRule type="expression" dxfId="1887" priority="3">
      <formula>IF(V9="  ",FALSE,V9)+V$8/10000=$AK9</formula>
    </cfRule>
    <cfRule type="expression" dxfId="1886" priority="69">
      <formula>IF(V9="  ",FALSE,V9)+V$8/10000=$AN9</formula>
    </cfRule>
  </conditionalFormatting>
  <conditionalFormatting sqref="AG9:AG107">
    <cfRule type="top10" dxfId="1885" priority="7374" stopIfTrue="1" rank="1"/>
  </conditionalFormatting>
  <conditionalFormatting sqref="AI9:AI107">
    <cfRule type="top10" dxfId="1884" priority="7375" stopIfTrue="1" rank="1"/>
  </conditionalFormatting>
  <conditionalFormatting sqref="AJ9:AJ107">
    <cfRule type="top10" dxfId="1883" priority="7376" stopIfTrue="1" rank="1"/>
  </conditionalFormatting>
  <conditionalFormatting sqref="G9:G107">
    <cfRule type="duplicateValues" dxfId="1882" priority="7377" stopIfTrue="1"/>
  </conditionalFormatting>
  <conditionalFormatting sqref="V9:AF107">
    <cfRule type="expression" dxfId="1881" priority="7378">
      <formula>IF(COUNT(V$9:V$107)=0,TRUE)</formula>
    </cfRule>
  </conditionalFormatting>
  <conditionalFormatting sqref="K9:K107">
    <cfRule type="duplicateValues" dxfId="1880" priority="7380"/>
  </conditionalFormatting>
  <conditionalFormatting sqref="Q9:Q107">
    <cfRule type="duplicateValues" dxfId="1879" priority="7381"/>
  </conditionalFormatting>
  <conditionalFormatting sqref="AH9:AH107">
    <cfRule type="top10" dxfId="1878" priority="7382" rank="1"/>
  </conditionalFormatting>
  <conditionalFormatting sqref="I9:I107">
    <cfRule type="expression" dxfId="1877" priority="7383">
      <formula>U9="v"</formula>
    </cfRule>
    <cfRule type="expression" dxfId="1876" priority="7384">
      <formula>T9="k"</formula>
    </cfRule>
    <cfRule type="expression" dxfId="1875" priority="7385">
      <formula>S9="j"</formula>
    </cfRule>
    <cfRule type="expression" dxfId="1874" priority="7386">
      <formula>R9="n"</formula>
    </cfRule>
    <cfRule type="duplicateValues" dxfId="1873" priority="7387"/>
  </conditionalFormatting>
  <conditionalFormatting sqref="H9:H107">
    <cfRule type="duplicateValues" dxfId="1872" priority="1"/>
  </conditionalFormatting>
  <printOptions horizontalCentered="1"/>
  <pageMargins left="0.39370078740157483" right="0.39370078740157483" top="0.59055118110236227" bottom="0.39370078740157483" header="0.39370078740157483" footer="0"/>
  <pageSetup paperSize="9" fitToHeight="0" orientation="landscape" r:id="rId1"/>
  <headerFooter>
    <oddHeader>&amp;R&amp;P. leht &amp;N--st</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0"/>
  <sheetViews>
    <sheetView showGridLines="0" showRowColHeaders="0" zoomScaleNormal="100" workbookViewId="0">
      <pane ySplit="2" topLeftCell="A3" activePane="bottomLeft" state="frozen"/>
      <selection activeCell="E10" sqref="E10"/>
      <selection pane="bottomLeft" activeCell="G1" sqref="G1"/>
    </sheetView>
  </sheetViews>
  <sheetFormatPr defaultRowHeight="12.75" x14ac:dyDescent="0.2"/>
  <cols>
    <col min="1" max="1" width="5.5703125" style="79" customWidth="1"/>
    <col min="2" max="2" width="47.14062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3" width="9.140625" style="79" customWidth="1"/>
    <col min="14" max="16384" width="9.140625" style="79"/>
  </cols>
  <sheetData>
    <row r="1" spans="1:13" x14ac:dyDescent="0.2">
      <c r="A1" s="72" t="str">
        <f>UPPER((Kalend!E6)&amp;" - "&amp;(Kalend!C6)&amp;" - "&amp;(Kalend!D6))</f>
        <v>1 - EESTI REITINGUVÕISTLUS - TRIO</v>
      </c>
      <c r="C1" s="41" t="str">
        <f>HYPERLINK("#'Kalend'!I1","Kalender")</f>
        <v>Kalender</v>
      </c>
      <c r="E1" s="41" t="str">
        <f>HYPERLINK("#Üldreiting!W1","Reiting")</f>
        <v>Reiting</v>
      </c>
    </row>
    <row r="2" spans="1:13" x14ac:dyDescent="0.2">
      <c r="A2" s="79" t="str">
        <f>"Toimumisaeg: "&amp;(Kalend!A6)&amp;" kell "&amp;(Kalend!B6)</f>
        <v>Toimumisaeg: P, 29.10.2017 kell 10:00</v>
      </c>
    </row>
    <row r="3" spans="1:13" x14ac:dyDescent="0.2">
      <c r="A3" s="79" t="str">
        <f>"Toimumiskoht: "&amp;(Kalend!F6)</f>
        <v>Toimumiskoht: Tallinn, Algi 38</v>
      </c>
    </row>
    <row r="4" spans="1:13" x14ac:dyDescent="0.2">
      <c r="A4" s="79" t="str">
        <f>"Korraldaja: "&amp;(Kalend!G6)</f>
        <v>Korraldaja: EPKL</v>
      </c>
    </row>
    <row r="6" spans="1:13" s="30" customFormat="1" x14ac:dyDescent="0.2">
      <c r="A6" s="296" t="s">
        <v>291</v>
      </c>
      <c r="B6" s="351"/>
      <c r="C6" s="31" t="s">
        <v>232</v>
      </c>
      <c r="D6" s="296" t="s">
        <v>61</v>
      </c>
      <c r="E6" s="296" t="s">
        <v>62</v>
      </c>
      <c r="F6" s="31" t="s">
        <v>63</v>
      </c>
      <c r="G6" s="31" t="s">
        <v>19</v>
      </c>
      <c r="H6" s="79"/>
      <c r="I6" s="79"/>
      <c r="J6" s="79"/>
      <c r="K6" s="79"/>
      <c r="L6" s="79"/>
      <c r="M6" s="79"/>
    </row>
    <row r="7" spans="1:13" s="30" customFormat="1" x14ac:dyDescent="0.2">
      <c r="A7" s="296">
        <v>1</v>
      </c>
      <c r="B7" s="186" t="s">
        <v>532</v>
      </c>
      <c r="C7" s="124">
        <f>IF(B10="-",13,"")</f>
        <v>13</v>
      </c>
      <c r="D7" s="124">
        <v>10</v>
      </c>
      <c r="E7" s="32"/>
      <c r="F7" s="314">
        <v>8</v>
      </c>
      <c r="G7" s="32" t="str">
        <f>IF(AND(COUNT(F7:F10)=2,F7=MAX(F7:F10),COUNT(C7:F7)=3),A6&amp;"2",IF(AND(COUNT(E7:E10)=2,ISNUMBER(E7),E7=MIN(E7:E10),D7="",F7=""),A6&amp;"4",IF(AND(COUNT(D7:D10)=2,D7=MAX(D7:D10),E7="",F7=""),A6&amp;"1",IF(COUNT(F7:F10)=2,A6&amp;"3",""))))</f>
        <v>A3</v>
      </c>
      <c r="H7" s="79"/>
      <c r="I7" s="79"/>
      <c r="J7" s="79"/>
      <c r="K7" s="79"/>
      <c r="L7" s="79"/>
      <c r="M7" s="79"/>
    </row>
    <row r="8" spans="1:13" s="30" customFormat="1" x14ac:dyDescent="0.2">
      <c r="A8" s="296">
        <v>2</v>
      </c>
      <c r="B8" s="122" t="s">
        <v>533</v>
      </c>
      <c r="C8" s="336">
        <v>6</v>
      </c>
      <c r="D8" s="124"/>
      <c r="E8" s="32">
        <f>IF(AND(B10="-",ISNUMBER(C8),C8&lt;C9),13,"")</f>
        <v>13</v>
      </c>
      <c r="F8" s="314">
        <v>13</v>
      </c>
      <c r="G8" s="32" t="str">
        <f>IF(AND(COUNT(F7:F10)=2,F8=MAX(F7:F10),COUNT(C8:F8)=3),A6&amp;"2",IF(AND(COUNT(E7:E10)=2,ISNUMBER(E8),E8=MIN(E7:E10),D8="",F8=""),A6&amp;"4",IF(AND(COUNT(D7:D10)=2,D8=MAX(D7:D10),E8="",F8=""),A6&amp;"1",IF(COUNT(F7:F10)=2,A6&amp;"3",""))))</f>
        <v>A2</v>
      </c>
      <c r="H8" s="79"/>
      <c r="I8" s="79"/>
      <c r="J8" s="79"/>
      <c r="K8" s="79"/>
      <c r="L8" s="79"/>
      <c r="M8" s="79"/>
    </row>
    <row r="9" spans="1:13" s="30" customFormat="1" x14ac:dyDescent="0.2">
      <c r="A9" s="296">
        <v>3</v>
      </c>
      <c r="B9" s="122" t="s">
        <v>534</v>
      </c>
      <c r="C9" s="336">
        <v>13</v>
      </c>
      <c r="D9" s="32">
        <v>13</v>
      </c>
      <c r="E9" s="32" t="str">
        <f>IF(AND(B10="-",ISNUMBER(C9),C9&lt;C8),13,"")</f>
        <v/>
      </c>
      <c r="F9" s="314"/>
      <c r="G9" s="32" t="str">
        <f>IF(AND(COUNT(F7:F10)=2,F9=MAX(F7:F10),COUNT(C9:F9)=3),A6&amp;"2",IF(AND(COUNT(E7:E10)=2,ISNUMBER(E9),E9=MIN(E7:E10),D9="",F9=""),A6&amp;"4",IF(AND(COUNT(D7:D10)=2,D9=MAX(D7:D10),E9="",F9=""),A6&amp;"1",IF(COUNT(F7:F10)=2,A6&amp;"3",""))))</f>
        <v>A1</v>
      </c>
      <c r="H9" s="79"/>
      <c r="I9" s="79"/>
      <c r="J9" s="79"/>
      <c r="K9" s="79"/>
      <c r="L9" s="79"/>
      <c r="M9" s="79"/>
    </row>
    <row r="10" spans="1:13" s="30" customFormat="1" x14ac:dyDescent="0.2">
      <c r="A10" s="296">
        <v>4</v>
      </c>
      <c r="B10" s="123" t="s">
        <v>81</v>
      </c>
      <c r="C10" s="124">
        <f>IF(B10="-",0,"")</f>
        <v>0</v>
      </c>
      <c r="D10" s="124"/>
      <c r="E10" s="32">
        <f>IF(B10="-",0,"")</f>
        <v>0</v>
      </c>
      <c r="F10" s="314"/>
      <c r="G10" s="32" t="str">
        <f>IF(AND(COUNT(F7:F10)=2,F10=MAX(F7:F10),COUNT(C10:F10)=3),A6&amp;"2",IF(AND(COUNT(E7:E10)=2,ISNUMBER(E10),E10=MIN(E7:E10),D10="",F10=""),A6&amp;"4",IF(AND(COUNT(D7:D10)=2,D10=MAX(D7:D10),E10="",F10=""),A6&amp;"1",IF(COUNT(F7:F10)=2,A6&amp;"3",""))))</f>
        <v>A4</v>
      </c>
      <c r="H10" s="79"/>
      <c r="I10" s="79"/>
      <c r="J10" s="79"/>
      <c r="K10" s="79"/>
      <c r="L10" s="79"/>
      <c r="M10" s="79"/>
    </row>
    <row r="11" spans="1:13" x14ac:dyDescent="0.2">
      <c r="B11" s="353" t="s">
        <v>81</v>
      </c>
      <c r="G11" s="353" t="s">
        <v>81</v>
      </c>
    </row>
    <row r="12" spans="1:13" s="30" customFormat="1" x14ac:dyDescent="0.2">
      <c r="A12" s="296" t="s">
        <v>275</v>
      </c>
      <c r="B12" s="351"/>
      <c r="C12" s="31" t="s">
        <v>232</v>
      </c>
      <c r="D12" s="296" t="s">
        <v>61</v>
      </c>
      <c r="E12" s="296" t="s">
        <v>62</v>
      </c>
      <c r="F12" s="31" t="s">
        <v>63</v>
      </c>
      <c r="G12" s="31" t="s">
        <v>19</v>
      </c>
      <c r="H12" s="79"/>
      <c r="I12" s="79"/>
      <c r="J12" s="79"/>
      <c r="K12" s="79"/>
      <c r="L12" s="79"/>
      <c r="M12" s="79"/>
    </row>
    <row r="13" spans="1:13" s="30" customFormat="1" x14ac:dyDescent="0.2">
      <c r="A13" s="296">
        <v>1</v>
      </c>
      <c r="B13" s="186" t="s">
        <v>535</v>
      </c>
      <c r="C13" s="124">
        <v>6</v>
      </c>
      <c r="D13" s="124"/>
      <c r="E13" s="32">
        <v>13</v>
      </c>
      <c r="F13" s="314">
        <v>3</v>
      </c>
      <c r="G13" s="32" t="str">
        <f>IF(AND(COUNT(F13:F16)=2,F13=MAX(F13:F16),COUNT(C13:F13)=3),A12&amp;"2",IF(AND(COUNT(E13:E16)=2,ISNUMBER(E13),E13=MIN(E13:E16),D13="",F13=""),A12&amp;"4",IF(AND(COUNT(D13:D16)=2,D13=MAX(D13:D16),E13="",F13=""),A12&amp;"1",IF(COUNT(F13:F16)=2,A12&amp;"3",""))))</f>
        <v>B3</v>
      </c>
      <c r="H13" s="79"/>
      <c r="I13" s="79"/>
      <c r="J13" s="79"/>
      <c r="K13" s="79"/>
      <c r="L13" s="79"/>
      <c r="M13" s="79"/>
    </row>
    <row r="14" spans="1:13" s="30" customFormat="1" x14ac:dyDescent="0.2">
      <c r="A14" s="296">
        <v>2</v>
      </c>
      <c r="B14" s="122" t="s">
        <v>178</v>
      </c>
      <c r="C14" s="336">
        <v>13</v>
      </c>
      <c r="D14" s="124">
        <v>13</v>
      </c>
      <c r="E14" s="32" t="str">
        <f>IF(AND(B16="-",ISNUMBER(C14),C14&lt;C15),13,"")</f>
        <v/>
      </c>
      <c r="F14" s="314"/>
      <c r="G14" s="32" t="str">
        <f>IF(AND(COUNT(F13:F16)=2,F14=MAX(F13:F16),COUNT(C14:F14)=3),A12&amp;"2",IF(AND(COUNT(E13:E16)=2,ISNUMBER(E14),E14=MIN(E13:E16),D14="",F14=""),A12&amp;"4",IF(AND(COUNT(D13:D16)=2,D14=MAX(D13:D16),E14="",F14=""),A12&amp;"1",IF(COUNT(F13:F16)=2,A12&amp;"3",""))))</f>
        <v>B1</v>
      </c>
      <c r="H14" s="79"/>
      <c r="I14" s="79"/>
      <c r="J14" s="79"/>
      <c r="K14" s="79"/>
      <c r="L14" s="79"/>
      <c r="M14" s="79"/>
    </row>
    <row r="15" spans="1:13" s="30" customFormat="1" x14ac:dyDescent="0.2">
      <c r="A15" s="296">
        <v>3</v>
      </c>
      <c r="B15" s="122" t="s">
        <v>177</v>
      </c>
      <c r="C15" s="336">
        <v>2</v>
      </c>
      <c r="D15" s="32"/>
      <c r="E15" s="32">
        <v>9</v>
      </c>
      <c r="F15" s="314"/>
      <c r="G15" s="32" t="str">
        <f>IF(AND(COUNT(F13:F16)=2,F15=MAX(F13:F16),COUNT(C15:F15)=3),A12&amp;"2",IF(AND(COUNT(E13:E16)=2,ISNUMBER(E15),E15=MIN(E13:E16),D15="",F15=""),A12&amp;"4",IF(AND(COUNT(D13:D16)=2,D15=MAX(D13:D16),E15="",F15=""),A12&amp;"1",IF(COUNT(F13:F16)=2,A12&amp;"3",""))))</f>
        <v>B4</v>
      </c>
      <c r="H15" s="79"/>
      <c r="I15" s="79"/>
      <c r="J15" s="79"/>
      <c r="K15" s="79"/>
      <c r="L15" s="79"/>
      <c r="M15" s="79"/>
    </row>
    <row r="16" spans="1:13" s="30" customFormat="1" x14ac:dyDescent="0.2">
      <c r="A16" s="296">
        <v>4</v>
      </c>
      <c r="B16" s="123" t="s">
        <v>536</v>
      </c>
      <c r="C16" s="124">
        <v>13</v>
      </c>
      <c r="D16" s="124">
        <v>8</v>
      </c>
      <c r="E16" s="32" t="str">
        <f>IF(B16="-",0,"")</f>
        <v/>
      </c>
      <c r="F16" s="314">
        <v>13</v>
      </c>
      <c r="G16" s="32" t="str">
        <f>IF(AND(COUNT(F13:F16)=2,F16=MAX(F13:F16),COUNT(C16:F16)=3),A12&amp;"2",IF(AND(COUNT(E13:E16)=2,ISNUMBER(E16),E16=MIN(E13:E16),D16="",F16=""),A12&amp;"4",IF(AND(COUNT(D13:D16)=2,D16=MAX(D13:D16),E16="",F16=""),A12&amp;"1",IF(COUNT(F13:F16)=2,A12&amp;"3",""))))</f>
        <v>B2</v>
      </c>
      <c r="H16" s="79"/>
      <c r="I16" s="79"/>
      <c r="J16" s="79"/>
      <c r="K16" s="79"/>
      <c r="L16" s="79"/>
      <c r="M16" s="79"/>
    </row>
    <row r="18" spans="1:13" s="30" customFormat="1" x14ac:dyDescent="0.2">
      <c r="A18" s="296" t="s">
        <v>292</v>
      </c>
      <c r="B18" s="351"/>
      <c r="C18" s="31" t="s">
        <v>232</v>
      </c>
      <c r="D18" s="296" t="s">
        <v>61</v>
      </c>
      <c r="E18" s="296" t="s">
        <v>62</v>
      </c>
      <c r="F18" s="31" t="s">
        <v>63</v>
      </c>
      <c r="G18" s="31" t="s">
        <v>19</v>
      </c>
      <c r="H18" s="79"/>
      <c r="I18" s="79"/>
      <c r="J18" s="79"/>
      <c r="K18" s="79"/>
      <c r="L18" s="79"/>
      <c r="M18" s="79"/>
    </row>
    <row r="19" spans="1:13" s="30" customFormat="1" x14ac:dyDescent="0.2">
      <c r="A19" s="296">
        <v>1</v>
      </c>
      <c r="B19" s="186" t="s">
        <v>537</v>
      </c>
      <c r="C19" s="124">
        <v>12</v>
      </c>
      <c r="D19" s="124"/>
      <c r="E19" s="32">
        <v>13</v>
      </c>
      <c r="F19" s="314">
        <v>9</v>
      </c>
      <c r="G19" s="32" t="str">
        <f>IF(AND(COUNT(F19:F22)=2,F19=MAX(F19:F22),COUNT(C19:F19)=3),A18&amp;"2",IF(AND(COUNT(E19:E22)=2,ISNUMBER(E19),E19=MIN(E19:E22),D19="",F19=""),A18&amp;"4",IF(AND(COUNT(D19:D22)=2,D19=MAX(D19:D22),E19="",F19=""),A18&amp;"1",IF(COUNT(F19:F22)=2,A18&amp;"3",""))))</f>
        <v>C3</v>
      </c>
      <c r="H19" s="79"/>
      <c r="I19" s="79"/>
      <c r="J19" s="79"/>
      <c r="K19" s="79"/>
      <c r="L19" s="79"/>
      <c r="M19" s="79"/>
    </row>
    <row r="20" spans="1:13" s="30" customFormat="1" x14ac:dyDescent="0.2">
      <c r="A20" s="296">
        <v>2</v>
      </c>
      <c r="B20" s="122" t="s">
        <v>538</v>
      </c>
      <c r="C20" s="336">
        <v>13</v>
      </c>
      <c r="D20" s="124">
        <v>9</v>
      </c>
      <c r="E20" s="32" t="str">
        <f>IF(AND(B22="-",ISNUMBER(C20),C20&lt;C21),13,"")</f>
        <v/>
      </c>
      <c r="F20" s="314">
        <v>13</v>
      </c>
      <c r="G20" s="32" t="str">
        <f>IF(AND(COUNT(F19:F22)=2,F20=MAX(F19:F22),COUNT(C20:F20)=3),A18&amp;"2",IF(AND(COUNT(E19:E22)=2,ISNUMBER(E20),E20=MIN(E19:E22),D20="",F20=""),A18&amp;"4",IF(AND(COUNT(D19:D22)=2,D20=MAX(D19:D22),E20="",F20=""),A18&amp;"1",IF(COUNT(F19:F22)=2,A18&amp;"3",""))))</f>
        <v>C2</v>
      </c>
      <c r="H20" s="79"/>
      <c r="I20" s="79"/>
      <c r="J20" s="79"/>
      <c r="K20" s="79"/>
      <c r="L20" s="79"/>
      <c r="M20" s="79"/>
    </row>
    <row r="21" spans="1:13" s="30" customFormat="1" x14ac:dyDescent="0.2">
      <c r="A21" s="296">
        <v>3</v>
      </c>
      <c r="B21" s="122" t="s">
        <v>539</v>
      </c>
      <c r="C21" s="336">
        <v>12</v>
      </c>
      <c r="D21" s="32"/>
      <c r="E21" s="32">
        <v>1</v>
      </c>
      <c r="F21" s="314"/>
      <c r="G21" s="32" t="str">
        <f>IF(AND(COUNT(F19:F22)=2,F21=MAX(F19:F22),COUNT(C21:F21)=3),A18&amp;"2",IF(AND(COUNT(E19:E22)=2,ISNUMBER(E21),E21=MIN(E19:E22),D21="",F21=""),A18&amp;"4",IF(AND(COUNT(D19:D22)=2,D21=MAX(D19:D22),E21="",F21=""),A18&amp;"1",IF(COUNT(F19:F22)=2,A18&amp;"3",""))))</f>
        <v>C4</v>
      </c>
      <c r="H21" s="79"/>
      <c r="I21" s="79"/>
      <c r="J21" s="79"/>
      <c r="K21" s="79"/>
      <c r="L21" s="79"/>
      <c r="M21" s="79"/>
    </row>
    <row r="22" spans="1:13" s="30" customFormat="1" x14ac:dyDescent="0.2">
      <c r="A22" s="296">
        <v>4</v>
      </c>
      <c r="B22" s="123" t="s">
        <v>540</v>
      </c>
      <c r="C22" s="124">
        <v>13</v>
      </c>
      <c r="D22" s="124">
        <v>13</v>
      </c>
      <c r="E22" s="32" t="str">
        <f>IF(B22="-",0,"")</f>
        <v/>
      </c>
      <c r="F22" s="314"/>
      <c r="G22" s="32" t="str">
        <f>IF(AND(COUNT(F19:F22)=2,F22=MAX(F19:F22),COUNT(C22:F22)=3),A18&amp;"2",IF(AND(COUNT(E19:E22)=2,ISNUMBER(E22),E22=MIN(E19:E22),D22="",F22=""),A18&amp;"4",IF(AND(COUNT(D19:D22)=2,D22=MAX(D19:D22),E22="",F22=""),A18&amp;"1",IF(COUNT(F19:F22)=2,A18&amp;"3",""))))</f>
        <v>C1</v>
      </c>
      <c r="H22" s="79"/>
      <c r="I22" s="79"/>
      <c r="J22" s="79"/>
      <c r="K22" s="79"/>
      <c r="L22" s="79"/>
      <c r="M22" s="79"/>
    </row>
    <row r="23" spans="1:13" s="30" customFormat="1" x14ac:dyDescent="0.2">
      <c r="A23" s="34"/>
      <c r="B23" s="38"/>
      <c r="C23" s="36"/>
      <c r="D23" s="36"/>
      <c r="E23" s="36"/>
      <c r="F23" s="36"/>
      <c r="G23" s="39"/>
    </row>
    <row r="24" spans="1:13" s="42" customFormat="1" x14ac:dyDescent="0.2">
      <c r="A24" s="60" t="s">
        <v>581</v>
      </c>
      <c r="B24" s="45"/>
      <c r="C24" s="35"/>
      <c r="D24" s="35"/>
      <c r="E24" s="35"/>
      <c r="F24" s="36"/>
      <c r="G24" s="37"/>
    </row>
    <row r="25" spans="1:13" s="42" customFormat="1" x14ac:dyDescent="0.2"/>
    <row r="26" spans="1:13" s="42" customFormat="1" x14ac:dyDescent="0.2">
      <c r="A26" s="61" t="s">
        <v>71</v>
      </c>
      <c r="B26" s="310" t="str">
        <f>IFERROR(INDEX(B$7:B$22,MATCH(A26,G$7:G$22,0)),"")</f>
        <v>Eve Oidsalu, Kaido Kopel, Thibaut Sergeï Mathon</v>
      </c>
      <c r="C26" s="81">
        <f>IF(B26="-",0,IF(B28="-",13,""))</f>
        <v>13</v>
      </c>
    </row>
    <row r="27" spans="1:13" s="42" customFormat="1" x14ac:dyDescent="0.2">
      <c r="A27" s="43"/>
      <c r="B27" s="311"/>
      <c r="C27" s="126" t="str">
        <f>IF(COUNT(C26,C28)=2,IF(C26&gt;C28,B26,B28),"")</f>
        <v>Eve Oidsalu, Kaido Kopel, Thibaut Sergeï Mathon</v>
      </c>
      <c r="E27" s="81">
        <v>13</v>
      </c>
    </row>
    <row r="28" spans="1:13" s="42" customFormat="1" x14ac:dyDescent="0.2">
      <c r="A28" s="43" t="s">
        <v>81</v>
      </c>
      <c r="B28" s="312" t="str">
        <f>IFERROR(INDEX(B$7:B$22,MATCH(A28,G$7:G$22,0)),"")</f>
        <v>-</v>
      </c>
      <c r="C28" s="63">
        <f>IF(B28="-",0,IF(B26="-",13,""))</f>
        <v>0</v>
      </c>
      <c r="D28" s="345"/>
    </row>
    <row r="29" spans="1:13" s="42" customFormat="1" x14ac:dyDescent="0.2">
      <c r="A29" s="43"/>
      <c r="B29" s="313"/>
      <c r="D29" s="46"/>
      <c r="E29" s="126" t="str">
        <f>IF(COUNT(E27,E31)=2,IF(E27&gt;E31,C27,C31),"")</f>
        <v>Eve Oidsalu, Kaido Kopel, Thibaut Sergeï Mathon</v>
      </c>
      <c r="G29" s="81">
        <v>13</v>
      </c>
    </row>
    <row r="30" spans="1:13" s="42" customFormat="1" x14ac:dyDescent="0.2">
      <c r="A30" s="360" t="s">
        <v>74</v>
      </c>
      <c r="B30" s="310" t="str">
        <f>IFERROR(INDEX(B$7:B$22,MATCH(A30,G$7:G$22,0)),"")</f>
        <v>Heigo Kullang, Marek Kolk, Toomas Hoole</v>
      </c>
      <c r="C30" s="81">
        <v>7</v>
      </c>
      <c r="D30" s="46"/>
      <c r="E30" s="343"/>
      <c r="F30" s="345"/>
    </row>
    <row r="31" spans="1:13" s="42" customFormat="1" x14ac:dyDescent="0.2">
      <c r="A31" s="360"/>
      <c r="B31" s="311"/>
      <c r="C31" s="126" t="str">
        <f>IF(COUNT(C30,C32)=2,IF(C30&gt;C32,B30,B32),"")</f>
        <v>Mait Metsla, Matti Vinni, Oskar Sepp</v>
      </c>
      <c r="D31" s="50"/>
      <c r="E31" s="63">
        <v>2</v>
      </c>
      <c r="F31" s="46"/>
    </row>
    <row r="32" spans="1:13" s="42" customFormat="1" x14ac:dyDescent="0.2">
      <c r="A32" s="360" t="s">
        <v>70</v>
      </c>
      <c r="B32" s="312" t="str">
        <f>IFERROR(INDEX(B$7:B$22,MATCH(A32,G$7:G$22,0)),"")</f>
        <v>Mait Metsla, Matti Vinni, Oskar Sepp</v>
      </c>
      <c r="C32" s="63">
        <v>13</v>
      </c>
      <c r="E32" s="45"/>
      <c r="F32" s="46"/>
    </row>
    <row r="33" spans="1:9" s="42" customFormat="1" ht="13.5" thickBot="1" x14ac:dyDescent="0.25">
      <c r="A33" s="52"/>
      <c r="B33" s="313"/>
      <c r="E33" s="45"/>
      <c r="F33" s="46"/>
      <c r="H33" s="224" t="str">
        <f>IF(COUNT(G29,G37)=2,IF(G29&gt;G37,E29,E37),"")</f>
        <v>Eve Oidsalu, Kaido Kopel, Thibaut Sergeï Mathon</v>
      </c>
    </row>
    <row r="34" spans="1:9" s="42" customFormat="1" x14ac:dyDescent="0.2">
      <c r="A34" s="61" t="s">
        <v>69</v>
      </c>
      <c r="B34" s="310" t="str">
        <f>IFERROR(INDEX(B$7:B$22,MATCH(A34,G$7:G$22,0)),"")</f>
        <v>Alar Sinimäe, Indrek Vaho, Kadri Veljend</v>
      </c>
      <c r="C34" s="81">
        <v>7</v>
      </c>
      <c r="F34" s="46"/>
      <c r="G34" s="48"/>
      <c r="H34" s="62" t="s">
        <v>277</v>
      </c>
      <c r="I34" s="49"/>
    </row>
    <row r="35" spans="1:9" s="42" customFormat="1" x14ac:dyDescent="0.2">
      <c r="A35" s="43"/>
      <c r="B35" s="311"/>
      <c r="C35" s="126" t="str">
        <f>IF(COUNT(C34,C36)=2,IF(C34&gt;C36,B34,B36),"")</f>
        <v>Hardo Sokk, Katri Aavekukk, Külli Kariste</v>
      </c>
      <c r="E35" s="81">
        <v>7</v>
      </c>
      <c r="F35" s="46"/>
      <c r="G35" s="45"/>
    </row>
    <row r="36" spans="1:9" s="42" customFormat="1" x14ac:dyDescent="0.2">
      <c r="A36" s="43" t="s">
        <v>68</v>
      </c>
      <c r="B36" s="312" t="str">
        <f>IFERROR(INDEX(B$7:B$22,MATCH(A36,G$7:G$22,0)),"")</f>
        <v>Hardo Sokk, Katri Aavekukk, Külli Kariste</v>
      </c>
      <c r="C36" s="63">
        <v>13</v>
      </c>
      <c r="D36" s="345"/>
      <c r="F36" s="46"/>
      <c r="G36" s="45"/>
    </row>
    <row r="37" spans="1:9" s="42" customFormat="1" x14ac:dyDescent="0.2">
      <c r="A37" s="43"/>
      <c r="B37" s="313"/>
      <c r="D37" s="46"/>
      <c r="E37" s="126" t="str">
        <f>IF(COUNT(E35,E39)=2,IF(E35&gt;E39,C35,C39),"")</f>
        <v>Aigi Orro, Elmo Lageda, Kalle Orro</v>
      </c>
      <c r="F37" s="50"/>
      <c r="G37" s="63">
        <v>6</v>
      </c>
    </row>
    <row r="38" spans="1:9" s="42" customFormat="1" ht="13.5" thickBot="1" x14ac:dyDescent="0.25">
      <c r="A38" s="43" t="s">
        <v>81</v>
      </c>
      <c r="B38" s="310" t="str">
        <f>IFERROR(INDEX(B$7:B$22,MATCH(A38,G$7:G$22,0)),"")</f>
        <v>-</v>
      </c>
      <c r="C38" s="81">
        <f>IF(B38="-",0,IF(B40="-",13,""))</f>
        <v>0</v>
      </c>
      <c r="D38" s="46"/>
      <c r="E38" s="343"/>
      <c r="F38" s="45"/>
      <c r="G38" s="45"/>
      <c r="H38" s="224" t="str">
        <f>IF(COUNT(G29,G37)=2,IF(G29&lt;G37,E29,E37),"")</f>
        <v>Aigi Orro, Elmo Lageda, Kalle Orro</v>
      </c>
      <c r="I38" s="47"/>
    </row>
    <row r="39" spans="1:9" s="42" customFormat="1" x14ac:dyDescent="0.2">
      <c r="A39" s="43"/>
      <c r="B39" s="311"/>
      <c r="C39" s="126" t="str">
        <f>IF(COUNT(C38,C40)=2,IF(C38&gt;C40,B38,B40),"")</f>
        <v>Aigi Orro, Elmo Lageda, Kalle Orro</v>
      </c>
      <c r="D39" s="50"/>
      <c r="E39" s="63">
        <v>13</v>
      </c>
      <c r="G39" s="45"/>
      <c r="H39" s="62" t="s">
        <v>278</v>
      </c>
      <c r="I39" s="45"/>
    </row>
    <row r="40" spans="1:9" s="42" customFormat="1" x14ac:dyDescent="0.2">
      <c r="A40" s="43" t="s">
        <v>73</v>
      </c>
      <c r="B40" s="312" t="str">
        <f>IFERROR(INDEX(B$7:B$22,MATCH(A40,G$7:G$22,0)),"")</f>
        <v>Aigi Orro, Elmo Lageda, Kalle Orro</v>
      </c>
      <c r="C40" s="63">
        <f>IF(B40="-",0,IF(B38="-",13,""))</f>
        <v>13</v>
      </c>
      <c r="E40" s="45"/>
      <c r="F40" s="45"/>
      <c r="G40" s="45"/>
    </row>
    <row r="41" spans="1:9" s="42" customFormat="1" x14ac:dyDescent="0.2">
      <c r="A41" s="52"/>
      <c r="B41" s="313"/>
      <c r="E41" s="223" t="str">
        <f>IF(COUNT(E27,E31)=2,IF(E27&lt;E31,C27,C31),"")</f>
        <v>Mait Metsla, Matti Vinni, Oskar Sepp</v>
      </c>
      <c r="G41" s="81">
        <v>0</v>
      </c>
    </row>
    <row r="42" spans="1:9" s="42" customFormat="1" ht="13.5" thickBot="1" x14ac:dyDescent="0.25">
      <c r="E42" s="309"/>
      <c r="F42" s="345"/>
      <c r="G42" s="47"/>
      <c r="H42" s="224" t="str">
        <f>IF(COUNT(G41,G43)=2,IF(G41&gt;G43,E41,E43),"")</f>
        <v>Hardo Sokk, Katri Aavekukk, Külli Kariste</v>
      </c>
      <c r="I42" s="47"/>
    </row>
    <row r="43" spans="1:9" s="42" customFormat="1" x14ac:dyDescent="0.2">
      <c r="E43" s="127" t="str">
        <f>IF(COUNT(E35,E39)=2,IF(E35&lt;E39,C35,C39),"")</f>
        <v>Hardo Sokk, Katri Aavekukk, Külli Kariste</v>
      </c>
      <c r="F43" s="50"/>
      <c r="G43" s="63">
        <v>13</v>
      </c>
      <c r="H43" s="53" t="s">
        <v>279</v>
      </c>
      <c r="I43" s="45"/>
    </row>
    <row r="44" spans="1:9" s="42" customFormat="1" x14ac:dyDescent="0.2">
      <c r="H44" s="45"/>
      <c r="I44" s="45"/>
    </row>
    <row r="45" spans="1:9" s="42" customFormat="1" ht="13.5" thickBot="1" x14ac:dyDescent="0.25">
      <c r="E45" s="45"/>
      <c r="F45" s="45"/>
      <c r="H45" s="224" t="str">
        <f>IF(COUNT(G41,G43)=2,IF(G41&lt;G43,E41,E43),"")</f>
        <v>Mait Metsla, Matti Vinni, Oskar Sepp</v>
      </c>
      <c r="I45" s="47"/>
    </row>
    <row r="46" spans="1:9" s="42" customFormat="1" x14ac:dyDescent="0.2">
      <c r="H46" s="52" t="s">
        <v>75</v>
      </c>
    </row>
    <row r="47" spans="1:9" s="42" customFormat="1" x14ac:dyDescent="0.2">
      <c r="C47" s="127" t="str">
        <f>IF(COUNT(C26,C28)=2,IF(C26&lt;C28,B26,B28),"")</f>
        <v>-</v>
      </c>
      <c r="E47" s="81">
        <f>IF(C47="-",0,IF(C49="-",13,""))</f>
        <v>0</v>
      </c>
      <c r="F47" s="81"/>
      <c r="G47" s="81"/>
    </row>
    <row r="48" spans="1:9" s="42" customFormat="1" x14ac:dyDescent="0.2">
      <c r="C48" s="65"/>
      <c r="D48" s="66"/>
      <c r="E48" s="126" t="str">
        <f>IF(COUNT(E47,E49)=2,IF(E47&gt;E49,C47,C49),"")</f>
        <v>Heigo Kullang, Marek Kolk, Toomas Hoole</v>
      </c>
      <c r="G48" s="81">
        <v>13</v>
      </c>
    </row>
    <row r="49" spans="1:9" s="42" customFormat="1" x14ac:dyDescent="0.2">
      <c r="C49" s="127" t="str">
        <f>IF(COUNT(C30,C32)=2,IF(C30&lt;C32,B30,B32),"")</f>
        <v>Heigo Kullang, Marek Kolk, Toomas Hoole</v>
      </c>
      <c r="D49" s="67"/>
      <c r="E49" s="63">
        <f>IF(C49="-",0,IF(C47="-",13,""))</f>
        <v>13</v>
      </c>
      <c r="F49" s="66"/>
      <c r="G49" s="81"/>
    </row>
    <row r="50" spans="1:9" s="42" customFormat="1" ht="13.5" thickBot="1" x14ac:dyDescent="0.25">
      <c r="C50" s="81"/>
      <c r="D50" s="81"/>
      <c r="E50" s="51"/>
      <c r="F50" s="68"/>
      <c r="G50" s="81"/>
      <c r="H50" s="224" t="str">
        <f>IF(COUNT(G48,G52)=2,IF(G48&gt;G52,E48,E52),"")</f>
        <v>Heigo Kullang, Marek Kolk, Toomas Hoole</v>
      </c>
    </row>
    <row r="51" spans="1:9" s="42" customFormat="1" x14ac:dyDescent="0.2">
      <c r="C51" s="127" t="str">
        <f>IF(COUNT(C34,C36)=2,IF(C34&lt;C36,B34,B36),"")</f>
        <v>Alar Sinimäe, Indrek Vaho, Kadri Veljend</v>
      </c>
      <c r="D51" s="81"/>
      <c r="E51" s="81">
        <f>IF(C51="-",0,IF(C53="-",13,""))</f>
        <v>13</v>
      </c>
      <c r="F51" s="68"/>
      <c r="G51" s="69"/>
      <c r="H51" s="62" t="s">
        <v>76</v>
      </c>
      <c r="I51" s="49"/>
    </row>
    <row r="52" spans="1:9" s="42" customFormat="1" x14ac:dyDescent="0.2">
      <c r="C52" s="65"/>
      <c r="D52" s="66"/>
      <c r="E52" s="126" t="str">
        <f>IF(COUNT(E51,E53)=2,IF(E51&gt;E53,C51,C53),"")</f>
        <v>Alar Sinimäe, Indrek Vaho, Kadri Veljend</v>
      </c>
      <c r="F52" s="50"/>
      <c r="G52" s="63">
        <v>3</v>
      </c>
    </row>
    <row r="53" spans="1:9" s="42" customFormat="1" ht="13.5" thickBot="1" x14ac:dyDescent="0.25">
      <c r="C53" s="127" t="str">
        <f>IF(COUNT(C38,C40)=2,IF(C38&lt;C40,B38,B40),"")</f>
        <v>-</v>
      </c>
      <c r="D53" s="67"/>
      <c r="E53" s="63">
        <f>IF(C53="-",0,IF(C51="-",13,""))</f>
        <v>0</v>
      </c>
      <c r="F53" s="81"/>
      <c r="G53" s="51"/>
      <c r="H53" s="224" t="str">
        <f>IF(COUNT(G48,G52)=2,IF(G48&lt;G52,E48,E52),"")</f>
        <v>Alar Sinimäe, Indrek Vaho, Kadri Veljend</v>
      </c>
      <c r="I53" s="47"/>
    </row>
    <row r="54" spans="1:9" s="42" customFormat="1" x14ac:dyDescent="0.2">
      <c r="C54" s="81"/>
      <c r="D54" s="81"/>
      <c r="E54" s="81"/>
      <c r="F54" s="81"/>
      <c r="G54" s="51"/>
      <c r="H54" s="62" t="s">
        <v>77</v>
      </c>
      <c r="I54" s="45"/>
    </row>
    <row r="55" spans="1:9" s="42" customFormat="1" x14ac:dyDescent="0.2">
      <c r="C55" s="81"/>
      <c r="D55" s="51"/>
      <c r="E55" s="223" t="str">
        <f>IF(COUNT(E47,E49)=2,IF(E47&lt;E49,C47,C49),"")</f>
        <v>-</v>
      </c>
      <c r="G55" s="81">
        <f>IF(E55="-",0,IF(E57="-",13,""))</f>
        <v>0</v>
      </c>
      <c r="H55" s="45"/>
      <c r="I55" s="45"/>
    </row>
    <row r="56" spans="1:9" s="42" customFormat="1" ht="13.5" thickBot="1" x14ac:dyDescent="0.25">
      <c r="C56" s="81"/>
      <c r="D56" s="51"/>
      <c r="E56" s="309"/>
      <c r="F56" s="44"/>
      <c r="G56" s="47"/>
      <c r="H56" s="224" t="str">
        <f>IF(COUNT(G55,G57)=2,IF(G55&gt;G57,E55,E57),"")</f>
        <v>-</v>
      </c>
      <c r="I56" s="47"/>
    </row>
    <row r="57" spans="1:9" s="42" customFormat="1" x14ac:dyDescent="0.2">
      <c r="C57" s="81"/>
      <c r="D57" s="51"/>
      <c r="E57" s="127" t="str">
        <f>IF(COUNT(E51,E53)=2,IF(E51&lt;E53,C51,C53),"")</f>
        <v>-</v>
      </c>
      <c r="F57" s="50"/>
      <c r="G57" s="63">
        <f>IF(E57="-",0,IF(E55="-",13,""))</f>
        <v>0</v>
      </c>
      <c r="H57" s="53"/>
      <c r="I57" s="45"/>
    </row>
    <row r="58" spans="1:9" s="42" customFormat="1" x14ac:dyDescent="0.2">
      <c r="D58" s="45"/>
      <c r="H58" s="45"/>
      <c r="I58" s="45"/>
    </row>
    <row r="59" spans="1:9" s="42" customFormat="1" ht="13.5" thickBot="1" x14ac:dyDescent="0.25">
      <c r="E59" s="45"/>
      <c r="F59" s="45"/>
      <c r="H59" s="47" t="str">
        <f>IF(COUNT(G55,G57)=2,IF(G55&lt;G57,E55,E57),"")</f>
        <v>-</v>
      </c>
      <c r="I59" s="47"/>
    </row>
    <row r="60" spans="1:9" s="30" customFormat="1" x14ac:dyDescent="0.2">
      <c r="A60" s="34"/>
      <c r="B60" s="38"/>
      <c r="C60" s="36"/>
      <c r="D60" s="36"/>
      <c r="E60" s="36"/>
      <c r="F60" s="36"/>
      <c r="G60" s="39"/>
    </row>
    <row r="61" spans="1:9" s="42" customFormat="1" x14ac:dyDescent="0.2">
      <c r="A61" s="60" t="s">
        <v>531</v>
      </c>
      <c r="B61" s="45"/>
      <c r="C61" s="35"/>
      <c r="D61" s="35"/>
      <c r="E61" s="35"/>
      <c r="F61" s="36"/>
      <c r="G61" s="37"/>
    </row>
    <row r="62" spans="1:9" s="42" customFormat="1" x14ac:dyDescent="0.2"/>
    <row r="63" spans="1:9" s="42" customFormat="1" x14ac:dyDescent="0.2">
      <c r="A63" s="61" t="s">
        <v>226</v>
      </c>
      <c r="B63" s="310" t="str">
        <f>IFERROR(INDEX(B$7:B$22,MATCH(A63,G$7:G$22,0)),"")</f>
        <v>Aarne Välja, Andres Veski, Svetlana Veski</v>
      </c>
      <c r="C63" s="81">
        <v>5</v>
      </c>
    </row>
    <row r="64" spans="1:9" s="42" customFormat="1" x14ac:dyDescent="0.2">
      <c r="A64" s="360"/>
      <c r="B64" s="311"/>
      <c r="C64" s="126" t="str">
        <f>IF(COUNT(C63,C65)=2,IF(C63&gt;C65,B63,B65),"")</f>
        <v>Janek Kiisk, Marek Lehis, Margo Peebo</v>
      </c>
      <c r="E64" s="81">
        <v>13</v>
      </c>
    </row>
    <row r="65" spans="1:9" s="42" customFormat="1" x14ac:dyDescent="0.2">
      <c r="A65" s="360" t="s">
        <v>541</v>
      </c>
      <c r="B65" s="312" t="str">
        <f>IFERROR(INDEX(B$7:B$22,MATCH(A65,G$7:G$22,0)),"")</f>
        <v>Janek Kiisk, Marek Lehis, Margo Peebo</v>
      </c>
      <c r="C65" s="63">
        <v>13</v>
      </c>
      <c r="D65" s="345"/>
    </row>
    <row r="66" spans="1:9" s="42" customFormat="1" x14ac:dyDescent="0.2">
      <c r="A66" s="360"/>
      <c r="B66" s="313"/>
      <c r="D66" s="46"/>
      <c r="E66" s="126" t="str">
        <f>IF(COUNT(E64,E68)=2,IF(E64&gt;E68,C64,C68),"")</f>
        <v>Janek Kiisk, Marek Lehis, Margo Peebo</v>
      </c>
      <c r="G66" s="81">
        <v>7</v>
      </c>
    </row>
    <row r="67" spans="1:9" s="42" customFormat="1" x14ac:dyDescent="0.2">
      <c r="A67" s="360" t="s">
        <v>81</v>
      </c>
      <c r="B67" s="310" t="str">
        <f>IFERROR(INDEX(B$7:B$22,MATCH(A67,G$7:G$22,0)),"")</f>
        <v>-</v>
      </c>
      <c r="C67" s="81">
        <f>IF(B67="-",0,IF(B69="-",13,""))</f>
        <v>0</v>
      </c>
      <c r="D67" s="46"/>
      <c r="E67" s="343"/>
      <c r="F67" s="345"/>
    </row>
    <row r="68" spans="1:9" s="42" customFormat="1" x14ac:dyDescent="0.2">
      <c r="A68" s="360"/>
      <c r="B68" s="311"/>
      <c r="C68" s="126" t="str">
        <f>IF(COUNT(C67,C69)=2,IF(C67&gt;C69,B67,B69),"")</f>
        <v>Andero Kelu, Marko Ode, Urmo Auväärt</v>
      </c>
      <c r="D68" s="50"/>
      <c r="E68" s="63">
        <v>9</v>
      </c>
      <c r="F68" s="46"/>
    </row>
    <row r="69" spans="1:9" s="42" customFormat="1" x14ac:dyDescent="0.2">
      <c r="A69" s="360" t="s">
        <v>542</v>
      </c>
      <c r="B69" s="312" t="str">
        <f>IFERROR(INDEX(B$7:B$22,MATCH(A69,G$7:G$22,0)),"")</f>
        <v>Andero Kelu, Marko Ode, Urmo Auväärt</v>
      </c>
      <c r="C69" s="63">
        <f>IF(B69="-",0,IF(B67="-",13,""))</f>
        <v>13</v>
      </c>
      <c r="E69" s="45"/>
      <c r="F69" s="46"/>
    </row>
    <row r="70" spans="1:9" s="42" customFormat="1" ht="13.5" thickBot="1" x14ac:dyDescent="0.25">
      <c r="A70" s="370"/>
      <c r="B70" s="313"/>
      <c r="E70" s="45"/>
      <c r="F70" s="46"/>
      <c r="H70" s="224" t="str">
        <f>IF(COUNT(G66,G74)=2,IF(G66&gt;G74,E66,E74),"")</f>
        <v>Arvi Palla, Kevin Sten Liik, Silver Kingissepp</v>
      </c>
    </row>
    <row r="71" spans="1:9" s="42" customFormat="1" x14ac:dyDescent="0.2">
      <c r="A71" s="61" t="s">
        <v>81</v>
      </c>
      <c r="B71" s="310" t="str">
        <f>IFERROR(INDEX(B$7:B$22,MATCH(A71,G$7:G$22,0)),"")</f>
        <v>-</v>
      </c>
      <c r="C71" s="81">
        <f>IF(B71="-",0,IF(B73="-",13,""))</f>
        <v>0</v>
      </c>
      <c r="F71" s="46"/>
      <c r="G71" s="48"/>
      <c r="H71" s="62" t="s">
        <v>78</v>
      </c>
      <c r="I71" s="49"/>
    </row>
    <row r="72" spans="1:9" s="42" customFormat="1" x14ac:dyDescent="0.2">
      <c r="A72" s="43"/>
      <c r="B72" s="311"/>
      <c r="C72" s="126" t="str">
        <f>IF(COUNT(C71,C73)=2,IF(C71&gt;C73,B71,B73),"")</f>
        <v>Arvi Palla, Kevin Sten Liik, Silver Kingissepp</v>
      </c>
      <c r="E72" s="81">
        <v>13</v>
      </c>
      <c r="F72" s="46"/>
      <c r="G72" s="45"/>
    </row>
    <row r="73" spans="1:9" s="42" customFormat="1" x14ac:dyDescent="0.2">
      <c r="A73" s="43" t="s">
        <v>83</v>
      </c>
      <c r="B73" s="312" t="str">
        <f>IFERROR(INDEX(B$7:B$22,MATCH(A73,G$7:G$22,0)),"")</f>
        <v>Arvi Palla, Kevin Sten Liik, Silver Kingissepp</v>
      </c>
      <c r="C73" s="63">
        <f>IF(B73="-",0,IF(B71="-",13,""))</f>
        <v>13</v>
      </c>
      <c r="D73" s="345"/>
      <c r="F73" s="46"/>
      <c r="G73" s="45"/>
    </row>
    <row r="74" spans="1:9" s="42" customFormat="1" x14ac:dyDescent="0.2">
      <c r="A74" s="43"/>
      <c r="B74" s="313"/>
      <c r="D74" s="46"/>
      <c r="E74" s="126" t="str">
        <f>IF(COUNT(E72,E76)=2,IF(E72&gt;E76,C72,C76),"")</f>
        <v>Arvi Palla, Kevin Sten Liik, Silver Kingissepp</v>
      </c>
      <c r="F74" s="50"/>
      <c r="G74" s="63">
        <v>13</v>
      </c>
    </row>
    <row r="75" spans="1:9" s="42" customFormat="1" ht="13.5" thickBot="1" x14ac:dyDescent="0.25">
      <c r="A75" s="43" t="s">
        <v>81</v>
      </c>
      <c r="B75" s="310" t="str">
        <f>IFERROR(INDEX(B$7:B$22,MATCH(A75,G$7:G$22,0)),"")</f>
        <v>-</v>
      </c>
      <c r="C75" s="81">
        <f>IF(B75="-",0,IF(B77="-",13,""))</f>
        <v>0</v>
      </c>
      <c r="D75" s="46"/>
      <c r="E75" s="343"/>
      <c r="F75" s="45"/>
      <c r="G75" s="45"/>
      <c r="H75" s="224" t="str">
        <f>IF(COUNT(G66,G74)=2,IF(G66&lt;G74,E66,E74),"")</f>
        <v>Janek Kiisk, Marek Lehis, Margo Peebo</v>
      </c>
      <c r="I75" s="47"/>
    </row>
    <row r="76" spans="1:9" s="42" customFormat="1" x14ac:dyDescent="0.2">
      <c r="A76" s="43"/>
      <c r="B76" s="311"/>
      <c r="C76" s="126" t="str">
        <f>IF(COUNT(C75,C77)=2,IF(C75&gt;C77,B75,B77),"")</f>
        <v>Kadri Arunurm, Kalju Olmre, Marina Vallik</v>
      </c>
      <c r="D76" s="50"/>
      <c r="E76" s="63">
        <v>4</v>
      </c>
      <c r="G76" s="45"/>
      <c r="H76" s="62" t="s">
        <v>79</v>
      </c>
      <c r="I76" s="45"/>
    </row>
    <row r="77" spans="1:9" s="42" customFormat="1" x14ac:dyDescent="0.2">
      <c r="A77" s="43" t="s">
        <v>82</v>
      </c>
      <c r="B77" s="312" t="str">
        <f>IFERROR(INDEX(B$7:B$22,MATCH(A77,G$7:G$22,0)),"")</f>
        <v>Kadri Arunurm, Kalju Olmre, Marina Vallik</v>
      </c>
      <c r="C77" s="63">
        <f>IF(B77="-",0,IF(B75="-",13,""))</f>
        <v>13</v>
      </c>
      <c r="E77" s="45"/>
      <c r="F77" s="45"/>
      <c r="G77" s="45"/>
    </row>
    <row r="78" spans="1:9" s="42" customFormat="1" x14ac:dyDescent="0.2">
      <c r="A78" s="52"/>
      <c r="B78" s="313"/>
      <c r="E78" s="223" t="str">
        <f>IF(COUNT(E64,E68)=2,IF(E64&lt;E68,C64,C68),"")</f>
        <v>Andero Kelu, Marko Ode, Urmo Auväärt</v>
      </c>
      <c r="G78" s="81">
        <v>12</v>
      </c>
    </row>
    <row r="79" spans="1:9" s="42" customFormat="1" ht="13.5" thickBot="1" x14ac:dyDescent="0.25">
      <c r="E79" s="309"/>
      <c r="F79" s="345"/>
      <c r="G79" s="47"/>
      <c r="H79" s="224" t="str">
        <f>IF(COUNT(G78,G80)=2,IF(G78&gt;G80,E78,E80),"")</f>
        <v>Kadri Arunurm, Kalju Olmre, Marina Vallik</v>
      </c>
      <c r="I79" s="47"/>
    </row>
    <row r="80" spans="1:9" s="42" customFormat="1" x14ac:dyDescent="0.2">
      <c r="E80" s="127" t="str">
        <f>IF(COUNT(E72,E76)=2,IF(E72&lt;E76,C72,C76),"")</f>
        <v>Kadri Arunurm, Kalju Olmre, Marina Vallik</v>
      </c>
      <c r="F80" s="50"/>
      <c r="G80" s="63">
        <v>13</v>
      </c>
      <c r="H80" s="53" t="s">
        <v>84</v>
      </c>
      <c r="I80" s="45"/>
    </row>
    <row r="81" spans="5:9" s="42" customFormat="1" x14ac:dyDescent="0.2">
      <c r="H81" s="45"/>
      <c r="I81" s="45"/>
    </row>
    <row r="82" spans="5:9" s="42" customFormat="1" ht="13.5" thickBot="1" x14ac:dyDescent="0.25">
      <c r="E82" s="45"/>
      <c r="F82" s="45"/>
      <c r="H82" s="224" t="str">
        <f>IF(COUNT(G78,G80)=2,IF(G78&lt;G80,E78,E80),"")</f>
        <v>Andero Kelu, Marko Ode, Urmo Auväärt</v>
      </c>
      <c r="I82" s="47"/>
    </row>
    <row r="83" spans="5:9" s="42" customFormat="1" x14ac:dyDescent="0.2">
      <c r="H83" s="52" t="s">
        <v>85</v>
      </c>
    </row>
    <row r="84" spans="5:9" s="42" customFormat="1" x14ac:dyDescent="0.2">
      <c r="H84" s="52"/>
    </row>
    <row r="85" spans="5:9" s="42" customFormat="1" ht="13.5" thickBot="1" x14ac:dyDescent="0.25">
      <c r="H85" s="224" t="s">
        <v>177</v>
      </c>
      <c r="I85" s="47"/>
    </row>
    <row r="86" spans="5:9" s="42" customFormat="1" x14ac:dyDescent="0.2">
      <c r="H86" s="52" t="s">
        <v>86</v>
      </c>
    </row>
    <row r="87" spans="5:9" s="42" customFormat="1" x14ac:dyDescent="0.2">
      <c r="H87" s="52"/>
    </row>
    <row r="88" spans="5:9" s="42" customFormat="1" hidden="1" x14ac:dyDescent="0.2">
      <c r="H88" s="52"/>
    </row>
    <row r="89" spans="5:9" s="42" customFormat="1" hidden="1" x14ac:dyDescent="0.2">
      <c r="H89" s="52"/>
    </row>
    <row r="90" spans="5:9" s="42" customFormat="1" hidden="1" x14ac:dyDescent="0.2">
      <c r="H90" s="52"/>
    </row>
    <row r="91" spans="5:9" s="42" customFormat="1" hidden="1" x14ac:dyDescent="0.2">
      <c r="H91" s="52"/>
    </row>
    <row r="92" spans="5:9" s="42" customFormat="1" hidden="1" x14ac:dyDescent="0.2">
      <c r="H92" s="52"/>
    </row>
    <row r="93" spans="5:9" s="82" customFormat="1" hidden="1" x14ac:dyDescent="0.2"/>
    <row r="94" spans="5:9" hidden="1" x14ac:dyDescent="0.2"/>
    <row r="95" spans="5:9" hidden="1" x14ac:dyDescent="0.2"/>
    <row r="96" spans="5:9"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19" t="s">
        <v>577</v>
      </c>
    </row>
    <row r="300" spans="1:3" x14ac:dyDescent="0.2">
      <c r="A300" s="54">
        <v>1</v>
      </c>
      <c r="B300" s="55" t="str">
        <f t="shared" ref="B300:B310" si="0">IFERROR(INDEX(H$33:H$85,MATCH(A300&amp;". koht",H$34:H$86,0)),"")</f>
        <v>Eve Oidsalu, Kaido Kopel, Thibaut Sergeï Mathon</v>
      </c>
      <c r="C300" s="79">
        <v>20</v>
      </c>
    </row>
    <row r="301" spans="1:3" x14ac:dyDescent="0.2">
      <c r="A301" s="54">
        <v>2</v>
      </c>
      <c r="B301" s="56" t="str">
        <f t="shared" si="0"/>
        <v>Aigi Orro, Elmo Lageda, Kalle Orro</v>
      </c>
      <c r="C301" s="79">
        <v>16</v>
      </c>
    </row>
    <row r="302" spans="1:3" x14ac:dyDescent="0.2">
      <c r="A302" s="54">
        <v>3</v>
      </c>
      <c r="B302" s="57" t="str">
        <f t="shared" si="0"/>
        <v>Hardo Sokk, Katri Aavekukk, Külli Kariste</v>
      </c>
      <c r="C302" s="79">
        <v>12</v>
      </c>
    </row>
    <row r="303" spans="1:3" x14ac:dyDescent="0.2">
      <c r="A303" s="54">
        <v>4</v>
      </c>
      <c r="B303" s="58" t="str">
        <f t="shared" si="0"/>
        <v>Mait Metsla, Matti Vinni, Oskar Sepp</v>
      </c>
      <c r="C303" s="79">
        <v>9</v>
      </c>
    </row>
    <row r="304" spans="1:3" x14ac:dyDescent="0.2">
      <c r="A304" s="54">
        <v>5</v>
      </c>
      <c r="B304" s="58" t="str">
        <f t="shared" si="0"/>
        <v>Heigo Kullang, Marek Kolk, Toomas Hoole</v>
      </c>
      <c r="C304" s="79">
        <v>7</v>
      </c>
    </row>
    <row r="305" spans="1:3" x14ac:dyDescent="0.2">
      <c r="A305" s="54">
        <v>6</v>
      </c>
      <c r="B305" s="58" t="str">
        <f t="shared" si="0"/>
        <v>Alar Sinimäe, Indrek Vaho, Kadri Veljend</v>
      </c>
      <c r="C305" s="79">
        <v>5</v>
      </c>
    </row>
    <row r="306" spans="1:3" x14ac:dyDescent="0.2">
      <c r="A306" s="54">
        <v>7</v>
      </c>
      <c r="B306" s="58" t="str">
        <f t="shared" si="0"/>
        <v>Arvi Palla, Kevin Sten Liik, Silver Kingissepp</v>
      </c>
      <c r="C306" s="79">
        <v>4</v>
      </c>
    </row>
    <row r="307" spans="1:3" x14ac:dyDescent="0.2">
      <c r="A307" s="54">
        <v>8</v>
      </c>
      <c r="B307" s="58" t="str">
        <f t="shared" si="0"/>
        <v>Janek Kiisk, Marek Lehis, Margo Peebo</v>
      </c>
      <c r="C307" s="79">
        <v>3</v>
      </c>
    </row>
    <row r="308" spans="1:3" x14ac:dyDescent="0.2">
      <c r="A308" s="54">
        <v>9</v>
      </c>
      <c r="B308" s="58" t="str">
        <f t="shared" si="0"/>
        <v>Kadri Arunurm, Kalju Olmre, Marina Vallik</v>
      </c>
      <c r="C308" s="79">
        <v>1</v>
      </c>
    </row>
    <row r="309" spans="1:3" x14ac:dyDescent="0.2">
      <c r="A309" s="54">
        <v>10</v>
      </c>
      <c r="B309" s="58" t="str">
        <f t="shared" si="0"/>
        <v>Andero Kelu, Marko Ode, Urmo Auväärt</v>
      </c>
      <c r="C309" s="79">
        <v>1</v>
      </c>
    </row>
    <row r="310" spans="1:3" x14ac:dyDescent="0.2">
      <c r="A310" s="54">
        <v>11</v>
      </c>
      <c r="B310" s="58" t="str">
        <f t="shared" si="0"/>
        <v>Aarne Välja, Andres Veski, Svetlana Veski</v>
      </c>
      <c r="C310" s="79">
        <v>1</v>
      </c>
    </row>
  </sheetData>
  <conditionalFormatting sqref="B7:B10">
    <cfRule type="duplicateValues" dxfId="1871" priority="316"/>
  </conditionalFormatting>
  <conditionalFormatting sqref="B19:B22">
    <cfRule type="duplicateValues" dxfId="1870" priority="288"/>
  </conditionalFormatting>
  <conditionalFormatting sqref="B13:B16">
    <cfRule type="duplicateValues" dxfId="1869" priority="260"/>
  </conditionalFormatting>
  <conditionalFormatting sqref="B300:B310">
    <cfRule type="containsBlanks" dxfId="1868" priority="132">
      <formula>LEN(TRIM(B300))=0</formula>
    </cfRule>
    <cfRule type="duplicateValues" dxfId="1867" priority="188"/>
  </conditionalFormatting>
  <conditionalFormatting sqref="A26:A40">
    <cfRule type="cellIs" dxfId="1866" priority="130" operator="equal">
      <formula>"-"</formula>
    </cfRule>
    <cfRule type="duplicateValues" dxfId="1865" priority="157"/>
  </conditionalFormatting>
  <conditionalFormatting sqref="A63:A77">
    <cfRule type="cellIs" dxfId="1864" priority="131" operator="equal">
      <formula>"-"</formula>
    </cfRule>
    <cfRule type="duplicateValues" dxfId="1863" priority="156"/>
  </conditionalFormatting>
  <conditionalFormatting sqref="E47 E49">
    <cfRule type="aboveAverage" dxfId="1862" priority="155"/>
  </conditionalFormatting>
  <conditionalFormatting sqref="E51 E53">
    <cfRule type="aboveAverage" dxfId="1861" priority="154"/>
  </conditionalFormatting>
  <conditionalFormatting sqref="G48 G52">
    <cfRule type="aboveAverage" dxfId="1860" priority="153"/>
  </conditionalFormatting>
  <conditionalFormatting sqref="G55 G57">
    <cfRule type="aboveAverage" dxfId="1859" priority="152"/>
  </conditionalFormatting>
  <conditionalFormatting sqref="E47 E49 E51 E53 G48 G52 G55 G57">
    <cfRule type="containsBlanks" dxfId="1858" priority="151">
      <formula>LEN(TRIM(E47))=0</formula>
    </cfRule>
  </conditionalFormatting>
  <conditionalFormatting sqref="C26 C28">
    <cfRule type="aboveAverage" dxfId="1857" priority="150"/>
  </conditionalFormatting>
  <conditionalFormatting sqref="C30 C32">
    <cfRule type="aboveAverage" dxfId="1856" priority="149"/>
  </conditionalFormatting>
  <conditionalFormatting sqref="E27 E31">
    <cfRule type="aboveAverage" dxfId="1855" priority="148"/>
  </conditionalFormatting>
  <conditionalFormatting sqref="C34 C36">
    <cfRule type="aboveAverage" dxfId="1854" priority="147"/>
  </conditionalFormatting>
  <conditionalFormatting sqref="C38 C40">
    <cfRule type="aboveAverage" dxfId="1853" priority="146"/>
  </conditionalFormatting>
  <conditionalFormatting sqref="E35 E39">
    <cfRule type="aboveAverage" dxfId="1852" priority="145"/>
  </conditionalFormatting>
  <conditionalFormatting sqref="G29 G37">
    <cfRule type="aboveAverage" dxfId="1851" priority="144"/>
  </conditionalFormatting>
  <conditionalFormatting sqref="G41 G43">
    <cfRule type="aboveAverage" dxfId="1850" priority="143"/>
  </conditionalFormatting>
  <conditionalFormatting sqref="C26 C28 C30 C32 C34 C36 C38 C40 E27 E31 E35 E39 G29 G37 G41 G43">
    <cfRule type="containsBlanks" dxfId="1849" priority="142">
      <formula>LEN(TRIM(C26))=0</formula>
    </cfRule>
  </conditionalFormatting>
  <conditionalFormatting sqref="C63 C65">
    <cfRule type="aboveAverage" dxfId="1848" priority="141"/>
  </conditionalFormatting>
  <conditionalFormatting sqref="C67 C69">
    <cfRule type="aboveAverage" dxfId="1847" priority="140"/>
  </conditionalFormatting>
  <conditionalFormatting sqref="E64 E68">
    <cfRule type="aboveAverage" dxfId="1846" priority="139"/>
  </conditionalFormatting>
  <conditionalFormatting sqref="C71 C73">
    <cfRule type="aboveAverage" dxfId="1845" priority="138"/>
  </conditionalFormatting>
  <conditionalFormatting sqref="C75 C77">
    <cfRule type="aboveAverage" dxfId="1844" priority="137"/>
  </conditionalFormatting>
  <conditionalFormatting sqref="E72 E76">
    <cfRule type="aboveAverage" dxfId="1843" priority="136"/>
  </conditionalFormatting>
  <conditionalFormatting sqref="G66 G74">
    <cfRule type="aboveAverage" dxfId="1842" priority="135"/>
  </conditionalFormatting>
  <conditionalFormatting sqref="G78 G80">
    <cfRule type="aboveAverage" dxfId="1841" priority="134"/>
  </conditionalFormatting>
  <conditionalFormatting sqref="C63 C65 C67 C69 C71 C73 C75 C77 E64 E68 E72 E76 G66 G74 G78 G80">
    <cfRule type="containsBlanks" dxfId="1840" priority="133">
      <formula>LEN(TRIM(C63))=0</formula>
    </cfRule>
  </conditionalFormatting>
  <conditionalFormatting sqref="G7:G10">
    <cfRule type="containsText" dxfId="1839" priority="114" operator="containsText" text="2">
      <formula>NOT(ISERROR(SEARCH("2",G7)))</formula>
    </cfRule>
    <cfRule type="containsText" dxfId="1838" priority="115" operator="containsText" text="1">
      <formula>NOT(ISERROR(SEARCH("1",G7)))</formula>
    </cfRule>
  </conditionalFormatting>
  <conditionalFormatting sqref="G10">
    <cfRule type="expression" dxfId="1837" priority="113">
      <formula>B10="-"</formula>
    </cfRule>
  </conditionalFormatting>
  <conditionalFormatting sqref="C7 C10">
    <cfRule type="aboveAverage" dxfId="1836" priority="112"/>
  </conditionalFormatting>
  <conditionalFormatting sqref="C8:C9">
    <cfRule type="aboveAverage" dxfId="1835" priority="111"/>
  </conditionalFormatting>
  <conditionalFormatting sqref="G13:G16">
    <cfRule type="containsText" dxfId="1834" priority="90" operator="containsText" text="2">
      <formula>NOT(ISERROR(SEARCH("2",G13)))</formula>
    </cfRule>
    <cfRule type="containsText" dxfId="1833" priority="91" operator="containsText" text="1">
      <formula>NOT(ISERROR(SEARCH("1",G13)))</formula>
    </cfRule>
  </conditionalFormatting>
  <conditionalFormatting sqref="G16">
    <cfRule type="expression" dxfId="1832" priority="89">
      <formula>B16="-"</formula>
    </cfRule>
  </conditionalFormatting>
  <conditionalFormatting sqref="C13 C16">
    <cfRule type="aboveAverage" dxfId="1831" priority="88"/>
  </conditionalFormatting>
  <conditionalFormatting sqref="C14:C15">
    <cfRule type="aboveAverage" dxfId="1830" priority="87"/>
  </conditionalFormatting>
  <conditionalFormatting sqref="G19:G22">
    <cfRule type="containsText" dxfId="1829" priority="66" operator="containsText" text="2">
      <formula>NOT(ISERROR(SEARCH("2",G19)))</formula>
    </cfRule>
    <cfRule type="containsText" dxfId="1828" priority="67" operator="containsText" text="1">
      <formula>NOT(ISERROR(SEARCH("1",G19)))</formula>
    </cfRule>
  </conditionalFormatting>
  <conditionalFormatting sqref="G22">
    <cfRule type="expression" dxfId="1827" priority="65">
      <formula>B22="-"</formula>
    </cfRule>
  </conditionalFormatting>
  <conditionalFormatting sqref="C19 C22">
    <cfRule type="aboveAverage" dxfId="1826" priority="64"/>
  </conditionalFormatting>
  <conditionalFormatting sqref="C20:C21">
    <cfRule type="aboveAverage" dxfId="1825" priority="63"/>
  </conditionalFormatting>
  <conditionalFormatting sqref="E10">
    <cfRule type="expression" dxfId="1824" priority="57">
      <formula>AND(COUNT(E7:E10)&lt;2,IF(ISNUMBER(C10),C7&gt;C10))</formula>
    </cfRule>
  </conditionalFormatting>
  <conditionalFormatting sqref="E7">
    <cfRule type="expression" dxfId="1823" priority="56">
      <formula>AND(COUNT(E7:E10)&lt;2,IF(ISNUMBER(C7),C10&gt;C7))</formula>
    </cfRule>
  </conditionalFormatting>
  <conditionalFormatting sqref="E8">
    <cfRule type="expression" dxfId="1822" priority="55">
      <formula>AND(COUNT(E7:E10)&lt;2,IF(ISNUMBER(C8),C9&gt;C8))</formula>
    </cfRule>
  </conditionalFormatting>
  <conditionalFormatting sqref="E9">
    <cfRule type="expression" dxfId="1821" priority="54">
      <formula>AND(COUNT(E7:E10)&lt;2,IF(ISNUMBER(C9),C8&gt;C9))</formula>
    </cfRule>
  </conditionalFormatting>
  <conditionalFormatting sqref="E7:E10">
    <cfRule type="aboveAverage" dxfId="1820" priority="53"/>
  </conditionalFormatting>
  <conditionalFormatting sqref="F7">
    <cfRule type="expression" dxfId="1819" priority="48">
      <formula>AND(COUNT(F7:F10)&lt;2,IF(COUNT(E7:E10)=2,IF(AND(ISNUMBER(E7),COUNTIF(E7:E10,E7)=1,E7=MAX(E7:E10)),TRUE,FALSE)))</formula>
    </cfRule>
    <cfRule type="expression" dxfId="1818" priority="52">
      <formula>AND(COUNT(F7:F10)&lt;2,IF(COUNT(D7:D10)=2,IF(AND(ISNUMBER(D7),COUNTIF(D7:D10,D7)=1,D7=MIN(D7:D10)),TRUE,FALSE)))</formula>
    </cfRule>
  </conditionalFormatting>
  <conditionalFormatting sqref="F8">
    <cfRule type="expression" dxfId="1817" priority="47">
      <formula>AND(COUNT(F7:F10)&lt;2,IF(COUNT(E7:E10)=2,IF(AND(ISNUMBER(E8),COUNTIF(E7:E10,E8)=1,E8=MAX(E7:E10)),TRUE,FALSE)))</formula>
    </cfRule>
    <cfRule type="expression" dxfId="1816" priority="51">
      <formula>AND(COUNT(F7:F10)&lt;2,IF(COUNT(D7:D10)=2,IF(AND(ISNUMBER(D8),COUNTIF(D7:D10,D8)=1,D8=MIN(D7:D10)),TRUE,FALSE)))</formula>
    </cfRule>
  </conditionalFormatting>
  <conditionalFormatting sqref="F9">
    <cfRule type="expression" dxfId="1815" priority="46">
      <formula>AND(COUNT(F7:F10)&lt;2,IF(COUNT(E7:E10)=2,IF(AND(ISNUMBER(E9),COUNTIF(E7:E10,E9)=1,E9=MAX(E7:E10)),TRUE,FALSE)))</formula>
    </cfRule>
    <cfRule type="expression" dxfId="1814" priority="50">
      <formula>AND(COUNT(F7:F10)&lt;2,IF(COUNT(D7:D10)=2,IF(AND(ISNUMBER(D9),COUNTIF(D7:D10,D9)=1,D9=MIN(D7:D10)),TRUE,FALSE)))</formula>
    </cfRule>
  </conditionalFormatting>
  <conditionalFormatting sqref="F10">
    <cfRule type="expression" dxfId="1813" priority="45">
      <formula>AND(COUNT(F7:F10)&lt;2,IF(COUNT(E7:E10)=2,IF(AND(ISNUMBER(E10),COUNTIF(E7:E10,E10)=1,E10=MAX(E7:E10)),TRUE,FALSE)))</formula>
    </cfRule>
    <cfRule type="expression" dxfId="1812" priority="49">
      <formula>AND(COUNT(F7:F10)&lt;2,IF(COUNT(D7:D10)=2,IF(AND(ISNUMBER(D10),COUNTIF(D7:D10,D10)=1,D10=MIN(D7:D10)),TRUE,FALSE)))</formula>
    </cfRule>
  </conditionalFormatting>
  <conditionalFormatting sqref="F7:F10">
    <cfRule type="aboveAverage" dxfId="1811" priority="44"/>
  </conditionalFormatting>
  <conditionalFormatting sqref="D7">
    <cfRule type="expression" dxfId="1810" priority="43">
      <formula>AND(COUNT(D7:D10)&lt;2,IF(ISNUMBER(C10),C7&gt;C10))</formula>
    </cfRule>
  </conditionalFormatting>
  <conditionalFormatting sqref="D8">
    <cfRule type="expression" dxfId="1809" priority="42">
      <formula>AND(COUNT(D7:D10)&lt;2,IF(ISNUMBER(C9),C8&gt;C9))</formula>
    </cfRule>
  </conditionalFormatting>
  <conditionalFormatting sqref="D9">
    <cfRule type="expression" dxfId="1808" priority="41">
      <formula>AND(COUNT(D7:D10)&lt;2,IF(ISNUMBER(C8),C9&gt;C8))</formula>
    </cfRule>
  </conditionalFormatting>
  <conditionalFormatting sqref="D10">
    <cfRule type="expression" dxfId="1807" priority="40">
      <formula>AND(COUNT(D7:D10)&lt;2,IF(ISNUMBER(C7),C10&gt;C7))</formula>
    </cfRule>
  </conditionalFormatting>
  <conditionalFormatting sqref="D7:D10">
    <cfRule type="aboveAverage" dxfId="1806" priority="39"/>
  </conditionalFormatting>
  <conditionalFormatting sqref="E16">
    <cfRule type="expression" dxfId="1805" priority="38">
      <formula>AND(COUNT(E13:E16)&lt;2,IF(ISNUMBER(C16),C13&gt;C16))</formula>
    </cfRule>
  </conditionalFormatting>
  <conditionalFormatting sqref="E13">
    <cfRule type="expression" dxfId="1804" priority="37">
      <formula>AND(COUNT(E13:E16)&lt;2,IF(ISNUMBER(C13),C16&gt;C13))</formula>
    </cfRule>
  </conditionalFormatting>
  <conditionalFormatting sqref="E14">
    <cfRule type="expression" dxfId="1803" priority="36">
      <formula>AND(COUNT(E13:E16)&lt;2,IF(ISNUMBER(C14),C15&gt;C14))</formula>
    </cfRule>
  </conditionalFormatting>
  <conditionalFormatting sqref="E15">
    <cfRule type="expression" dxfId="1802" priority="35">
      <formula>AND(COUNT(E13:E16)&lt;2,IF(ISNUMBER(C15),C14&gt;C15))</formula>
    </cfRule>
  </conditionalFormatting>
  <conditionalFormatting sqref="E13:E16">
    <cfRule type="aboveAverage" dxfId="1801" priority="34"/>
  </conditionalFormatting>
  <conditionalFormatting sqref="F13">
    <cfRule type="expression" dxfId="1800" priority="29">
      <formula>AND(COUNT(F13:F16)&lt;2,IF(COUNT(E13:E16)=2,IF(AND(ISNUMBER(E13),COUNTIF(E13:E16,E13)=1,E13=MAX(E13:E16)),TRUE,FALSE)))</formula>
    </cfRule>
    <cfRule type="expression" dxfId="1799" priority="33">
      <formula>AND(COUNT(F13:F16)&lt;2,IF(COUNT(D13:D16)=2,IF(AND(ISNUMBER(D13),COUNTIF(D13:D16,D13)=1,D13=MIN(D13:D16)),TRUE,FALSE)))</formula>
    </cfRule>
  </conditionalFormatting>
  <conditionalFormatting sqref="F14">
    <cfRule type="expression" dxfId="1798" priority="28">
      <formula>AND(COUNT(F13:F16)&lt;2,IF(COUNT(E13:E16)=2,IF(AND(ISNUMBER(E14),COUNTIF(E13:E16,E14)=1,E14=MAX(E13:E16)),TRUE,FALSE)))</formula>
    </cfRule>
    <cfRule type="expression" dxfId="1797" priority="32">
      <formula>AND(COUNT(F13:F16)&lt;2,IF(COUNT(D13:D16)=2,IF(AND(ISNUMBER(D14),COUNTIF(D13:D16,D14)=1,D14=MIN(D13:D16)),TRUE,FALSE)))</formula>
    </cfRule>
  </conditionalFormatting>
  <conditionalFormatting sqref="F15">
    <cfRule type="expression" dxfId="1796" priority="27">
      <formula>AND(COUNT(F13:F16)&lt;2,IF(COUNT(E13:E16)=2,IF(AND(ISNUMBER(E15),COUNTIF(E13:E16,E15)=1,E15=MAX(E13:E16)),TRUE,FALSE)))</formula>
    </cfRule>
    <cfRule type="expression" dxfId="1795" priority="31">
      <formula>AND(COUNT(F13:F16)&lt;2,IF(COUNT(D13:D16)=2,IF(AND(ISNUMBER(D15),COUNTIF(D13:D16,D15)=1,D15=MIN(D13:D16)),TRUE,FALSE)))</formula>
    </cfRule>
  </conditionalFormatting>
  <conditionalFormatting sqref="F16">
    <cfRule type="expression" dxfId="1794" priority="26">
      <formula>AND(COUNT(F13:F16)&lt;2,IF(COUNT(E13:E16)=2,IF(AND(ISNUMBER(E16),COUNTIF(E13:E16,E16)=1,E16=MAX(E13:E16)),TRUE,FALSE)))</formula>
    </cfRule>
    <cfRule type="expression" dxfId="1793" priority="30">
      <formula>AND(COUNT(F13:F16)&lt;2,IF(COUNT(D13:D16)=2,IF(AND(ISNUMBER(D16),COUNTIF(D13:D16,D16)=1,D16=MIN(D13:D16)),TRUE,FALSE)))</formula>
    </cfRule>
  </conditionalFormatting>
  <conditionalFormatting sqref="F13:F16">
    <cfRule type="aboveAverage" dxfId="1792" priority="25"/>
  </conditionalFormatting>
  <conditionalFormatting sqref="D13">
    <cfRule type="expression" dxfId="1791" priority="24">
      <formula>AND(COUNT(D13:D16)&lt;2,IF(ISNUMBER(C16),C13&gt;C16))</formula>
    </cfRule>
  </conditionalFormatting>
  <conditionalFormatting sqref="D14">
    <cfRule type="expression" dxfId="1790" priority="23">
      <formula>AND(COUNT(D13:D16)&lt;2,IF(ISNUMBER(C15),C14&gt;C15))</formula>
    </cfRule>
  </conditionalFormatting>
  <conditionalFormatting sqref="D15">
    <cfRule type="expression" dxfId="1789" priority="22">
      <formula>AND(COUNT(D13:D16)&lt;2,IF(ISNUMBER(C14),C15&gt;C14))</formula>
    </cfRule>
  </conditionalFormatting>
  <conditionalFormatting sqref="D16">
    <cfRule type="expression" dxfId="1788" priority="21">
      <formula>AND(COUNT(D13:D16)&lt;2,IF(ISNUMBER(C13),C16&gt;C13))</formula>
    </cfRule>
  </conditionalFormatting>
  <conditionalFormatting sqref="D13:D16">
    <cfRule type="aboveAverage" dxfId="1787" priority="20"/>
  </conditionalFormatting>
  <conditionalFormatting sqref="E22">
    <cfRule type="expression" dxfId="1786" priority="19">
      <formula>AND(COUNT(E19:E22)&lt;2,IF(ISNUMBER(C22),C19&gt;C22))</formula>
    </cfRule>
  </conditionalFormatting>
  <conditionalFormatting sqref="E19">
    <cfRule type="expression" dxfId="1785" priority="18">
      <formula>AND(COUNT(E19:E22)&lt;2,IF(ISNUMBER(C19),C22&gt;C19))</formula>
    </cfRule>
  </conditionalFormatting>
  <conditionalFormatting sqref="E20">
    <cfRule type="expression" dxfId="1784" priority="17">
      <formula>AND(COUNT(E19:E22)&lt;2,IF(ISNUMBER(C20),C21&gt;C20))</formula>
    </cfRule>
  </conditionalFormatting>
  <conditionalFormatting sqref="E21">
    <cfRule type="expression" dxfId="1783" priority="16">
      <formula>AND(COUNT(E19:E22)&lt;2,IF(ISNUMBER(C21),C20&gt;C21))</formula>
    </cfRule>
  </conditionalFormatting>
  <conditionalFormatting sqref="E19:E22">
    <cfRule type="aboveAverage" dxfId="1782" priority="15"/>
  </conditionalFormatting>
  <conditionalFormatting sqref="F19">
    <cfRule type="expression" dxfId="1781" priority="10">
      <formula>AND(COUNT(F19:F22)&lt;2,IF(COUNT(E19:E22)=2,IF(AND(ISNUMBER(E19),COUNTIF(E19:E22,E19)=1,E19=MAX(E19:E22)),TRUE,FALSE)))</formula>
    </cfRule>
    <cfRule type="expression" dxfId="1780" priority="14">
      <formula>AND(COUNT(F19:F22)&lt;2,IF(COUNT(D19:D22)=2,IF(AND(ISNUMBER(D19),COUNTIF(D19:D22,D19)=1,D19=MIN(D19:D22)),TRUE,FALSE)))</formula>
    </cfRule>
  </conditionalFormatting>
  <conditionalFormatting sqref="F20">
    <cfRule type="expression" dxfId="1779" priority="9">
      <formula>AND(COUNT(F19:F22)&lt;2,IF(COUNT(E19:E22)=2,IF(AND(ISNUMBER(E20),COUNTIF(E19:E22,E20)=1,E20=MAX(E19:E22)),TRUE,FALSE)))</formula>
    </cfRule>
    <cfRule type="expression" dxfId="1778" priority="13">
      <formula>AND(COUNT(F19:F22)&lt;2,IF(COUNT(D19:D22)=2,IF(AND(ISNUMBER(D20),COUNTIF(D19:D22,D20)=1,D20=MIN(D19:D22)),TRUE,FALSE)))</formula>
    </cfRule>
  </conditionalFormatting>
  <conditionalFormatting sqref="F21">
    <cfRule type="expression" dxfId="1777" priority="8">
      <formula>AND(COUNT(F19:F22)&lt;2,IF(COUNT(E19:E22)=2,IF(AND(ISNUMBER(E21),COUNTIF(E19:E22,E21)=1,E21=MAX(E19:E22)),TRUE,FALSE)))</formula>
    </cfRule>
    <cfRule type="expression" dxfId="1776" priority="12">
      <formula>AND(COUNT(F19:F22)&lt;2,IF(COUNT(D19:D22)=2,IF(AND(ISNUMBER(D21),COUNTIF(D19:D22,D21)=1,D21=MIN(D19:D22)),TRUE,FALSE)))</formula>
    </cfRule>
  </conditionalFormatting>
  <conditionalFormatting sqref="F22">
    <cfRule type="expression" dxfId="1775" priority="7">
      <formula>AND(COUNT(F19:F22)&lt;2,IF(COUNT(E19:E22)=2,IF(AND(ISNUMBER(E22),COUNTIF(E19:E22,E22)=1,E22=MAX(E19:E22)),TRUE,FALSE)))</formula>
    </cfRule>
    <cfRule type="expression" dxfId="1774" priority="11">
      <formula>AND(COUNT(F19:F22)&lt;2,IF(COUNT(D19:D22)=2,IF(AND(ISNUMBER(D22),COUNTIF(D19:D22,D22)=1,D22=MIN(D19:D22)),TRUE,FALSE)))</formula>
    </cfRule>
  </conditionalFormatting>
  <conditionalFormatting sqref="F19:F22">
    <cfRule type="aboveAverage" dxfId="1773" priority="6"/>
  </conditionalFormatting>
  <conditionalFormatting sqref="D19">
    <cfRule type="expression" dxfId="1772" priority="5">
      <formula>AND(COUNT(D19:D22)&lt;2,IF(ISNUMBER(C22),C19&gt;C22))</formula>
    </cfRule>
  </conditionalFormatting>
  <conditionalFormatting sqref="D20">
    <cfRule type="expression" dxfId="1771" priority="4">
      <formula>AND(COUNT(D19:D22)&lt;2,IF(ISNUMBER(C21),C20&gt;C21))</formula>
    </cfRule>
  </conditionalFormatting>
  <conditionalFormatting sqref="D21">
    <cfRule type="expression" dxfId="1770" priority="3">
      <formula>AND(COUNT(D19:D22)&lt;2,IF(ISNUMBER(C20),C21&gt;C20))</formula>
    </cfRule>
  </conditionalFormatting>
  <conditionalFormatting sqref="D22">
    <cfRule type="expression" dxfId="1769" priority="2">
      <formula>AND(COUNT(D19:D22)&lt;2,IF(ISNUMBER(C19),C22&gt;C19))</formula>
    </cfRule>
  </conditionalFormatting>
  <conditionalFormatting sqref="D19:D22">
    <cfRule type="aboveAverage" dxfId="1768"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22" max="16383" man="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7"/>
  <sheetViews>
    <sheetView showGridLines="0" showRowColHeaders="0" zoomScaleNormal="100" workbookViewId="0">
      <pane ySplit="2" topLeftCell="A3" activePane="bottomLeft" state="frozen"/>
      <selection activeCell="E10" sqref="E10"/>
      <selection pane="bottomLeft" activeCell="G1" sqref="G1"/>
    </sheetView>
  </sheetViews>
  <sheetFormatPr defaultRowHeight="12.75" x14ac:dyDescent="0.2"/>
  <cols>
    <col min="1" max="1" width="5.5703125" style="79" customWidth="1"/>
    <col min="2" max="2" width="44.5703125" style="79" customWidth="1"/>
    <col min="3" max="3" width="7.28515625" style="79" customWidth="1"/>
    <col min="4" max="4" width="8.5703125" style="79" bestFit="1" customWidth="1"/>
    <col min="5" max="5" width="9.140625" style="79" bestFit="1" customWidth="1"/>
    <col min="6" max="6" width="6.7109375" style="79" customWidth="1"/>
    <col min="7" max="7" width="5.140625" style="79" customWidth="1"/>
    <col min="8" max="8" width="7.28515625" style="79" customWidth="1"/>
    <col min="9" max="9" width="4.28515625" style="79" customWidth="1"/>
    <col min="10" max="11" width="9.140625" style="79" customWidth="1"/>
    <col min="12" max="12" width="4.140625" style="79" bestFit="1" customWidth="1"/>
    <col min="13" max="13" width="7.85546875" style="79" hidden="1" customWidth="1"/>
    <col min="14" max="14" width="13.5703125" style="79" hidden="1" customWidth="1"/>
    <col min="15" max="15" width="6" style="79" hidden="1" customWidth="1"/>
    <col min="16" max="16" width="17.28515625" style="79" hidden="1" customWidth="1"/>
    <col min="17" max="17" width="6" style="79" hidden="1" customWidth="1"/>
    <col min="18" max="18" width="19.85546875" style="79" hidden="1" customWidth="1"/>
    <col min="19" max="19" width="6" style="79" hidden="1" customWidth="1"/>
    <col min="20" max="20" width="17.28515625" style="79" hidden="1" customWidth="1"/>
    <col min="21" max="21" width="6" style="79" hidden="1" customWidth="1"/>
    <col min="22" max="22" width="13.85546875" style="79" hidden="1" customWidth="1"/>
    <col min="23" max="23" width="6" style="79" hidden="1" customWidth="1"/>
    <col min="24" max="24" width="9.140625" style="79" customWidth="1"/>
    <col min="25" max="16384" width="9.140625" style="79"/>
  </cols>
  <sheetData>
    <row r="1" spans="1:23" x14ac:dyDescent="0.2">
      <c r="A1" s="72" t="str">
        <f>UPPER((Kalend!E9)&amp;" - "&amp;(Kalend!C9)&amp;" - "&amp;(Kalend!D9))</f>
        <v>2 - EESTI SISE-MV - SEGATRIO</v>
      </c>
      <c r="C1" s="41" t="str">
        <f>HYPERLINK("#'Kalend'!I1","Kalender")</f>
        <v>Kalender</v>
      </c>
      <c r="E1" s="41" t="str">
        <f>HYPERLINK("#Üldreiting!W1","Reiting")</f>
        <v>Reiting</v>
      </c>
      <c r="M1" s="429" t="s">
        <v>669</v>
      </c>
      <c r="N1" s="376"/>
      <c r="O1" s="376"/>
      <c r="P1" s="376"/>
      <c r="Q1" s="376"/>
      <c r="R1" s="376"/>
      <c r="S1" s="376"/>
      <c r="T1" s="376"/>
      <c r="U1" s="376"/>
      <c r="V1" s="376"/>
      <c r="W1" s="376"/>
    </row>
    <row r="2" spans="1:23" x14ac:dyDescent="0.2">
      <c r="A2" s="79" t="str">
        <f>"Toimumisaeg: "&amp;(Kalend!A9)&amp;" kell "&amp;(Kalend!B9)</f>
        <v>Toimumisaeg: L, 25.11.2017 kell 10:00</v>
      </c>
      <c r="R2" s="319"/>
    </row>
    <row r="3" spans="1:23" x14ac:dyDescent="0.2">
      <c r="A3" s="79" t="str">
        <f>"Toimumiskoht: "&amp;(Kalend!F9)</f>
        <v>Toimumiskoht: Tallinn, Algi 38</v>
      </c>
      <c r="N3" s="437" t="s">
        <v>671</v>
      </c>
    </row>
    <row r="4" spans="1:23" x14ac:dyDescent="0.2">
      <c r="A4" s="79" t="str">
        <f>"Korraldaja: "&amp;(Kalend!G9)</f>
        <v>Korraldaja: EPKL</v>
      </c>
      <c r="M4" s="435" t="s">
        <v>162</v>
      </c>
      <c r="N4" s="417"/>
      <c r="O4" s="417"/>
      <c r="P4" s="417"/>
      <c r="Q4" s="417"/>
      <c r="R4" s="417"/>
      <c r="S4" s="417"/>
      <c r="T4" s="417"/>
      <c r="U4" s="417"/>
      <c r="V4" s="417"/>
      <c r="W4" s="417"/>
    </row>
    <row r="5" spans="1:23" x14ac:dyDescent="0.2">
      <c r="M5" s="435" t="s">
        <v>670</v>
      </c>
      <c r="N5" s="419" t="s">
        <v>600</v>
      </c>
      <c r="O5" s="419"/>
      <c r="P5" s="419" t="s">
        <v>602</v>
      </c>
      <c r="Q5" s="419"/>
      <c r="R5" s="419" t="s">
        <v>603</v>
      </c>
      <c r="S5" s="420"/>
      <c r="T5" s="420" t="s">
        <v>666</v>
      </c>
      <c r="U5" s="420"/>
      <c r="V5" s="420" t="s">
        <v>667</v>
      </c>
      <c r="W5" s="430"/>
    </row>
    <row r="6" spans="1:23" s="30" customFormat="1" x14ac:dyDescent="0.2">
      <c r="A6" s="296" t="s">
        <v>291</v>
      </c>
      <c r="B6" s="351"/>
      <c r="C6" s="31" t="s">
        <v>232</v>
      </c>
      <c r="D6" s="296" t="s">
        <v>61</v>
      </c>
      <c r="E6" s="296" t="s">
        <v>62</v>
      </c>
      <c r="F6" s="31" t="s">
        <v>63</v>
      </c>
      <c r="G6" s="31" t="s">
        <v>19</v>
      </c>
      <c r="H6" s="79"/>
      <c r="I6" s="79"/>
      <c r="J6" s="79"/>
      <c r="K6" s="79"/>
      <c r="L6" s="79"/>
      <c r="M6" s="435" t="s">
        <v>668</v>
      </c>
      <c r="N6" s="417"/>
      <c r="O6" s="417"/>
      <c r="P6" s="418"/>
      <c r="Q6" s="418"/>
      <c r="R6" s="418"/>
      <c r="S6" s="418"/>
      <c r="T6" s="418"/>
      <c r="U6" s="418"/>
      <c r="V6" s="418"/>
      <c r="W6" s="418"/>
    </row>
    <row r="7" spans="1:23" s="30" customFormat="1" x14ac:dyDescent="0.2">
      <c r="A7" s="296">
        <v>1</v>
      </c>
      <c r="B7" s="186" t="s">
        <v>543</v>
      </c>
      <c r="C7" s="124">
        <f>IF(B10="-",13,"")</f>
        <v>13</v>
      </c>
      <c r="D7" s="124">
        <v>10</v>
      </c>
      <c r="E7" s="32"/>
      <c r="F7" s="314">
        <v>13</v>
      </c>
      <c r="G7" s="32" t="str">
        <f>IF(AND(COUNT(F7:F10)=2,F7=MAX(F7:F10),COUNT(C7:F7)=3),A6&amp;"2",IF(AND(COUNT(E7:E10)=2,ISNUMBER(E7),E7=MIN(E7:E10),D7="",F7=""),A6&amp;"4",IF(AND(COUNT(D7:D10)=2,D7=MAX(D7:D10),E7="",F7=""),A6&amp;"1",IF(COUNT(F7:F10)=2,A6&amp;"3",""))))</f>
        <v>A2</v>
      </c>
      <c r="H7" s="432" t="str">
        <f>IF(OR(RIGHT(G7,1)="1",RIGHT(G7,1)="2"),"1/8 finaali","")</f>
        <v>1/8 finaali</v>
      </c>
      <c r="I7" s="79"/>
      <c r="M7" s="420">
        <f ca="1">SUM(O7:W7)</f>
        <v>81</v>
      </c>
      <c r="N7" s="413" t="str">
        <f>IFERROR(LEFT($B7,(FIND(",",$B7,1)-1)),"")</f>
        <v>Mait Metsla</v>
      </c>
      <c r="O7" s="414">
        <f ca="1">IFERROR(INDEX(Üldreiting!$K:$K,MATCH(N7,Üldreiting!$I:$I,0)),"")</f>
        <v>37</v>
      </c>
      <c r="P7" s="413" t="str">
        <f>IFERROR(MID($B7,FIND("^",SUBSTITUTE($B7,", ","^",1))+2,FIND("^",SUBSTITUTE($B7,", ","^",2))-FIND("^",SUBSTITUTE($B7,", ","^",1))-2),"")</f>
        <v>Oskar Sepp</v>
      </c>
      <c r="Q7" s="414">
        <f ca="1">IFERROR(INDEX(Üldreiting!$K:$K,MATCH(P7,Üldreiting!$I:$I,0)),"")</f>
        <v>37</v>
      </c>
      <c r="R7" s="413" t="str">
        <f>IFERROR(MID($B7,FIND(", ",$B7,FIND(", ",$B7,FIND(", ",$B7))+1)+2,30000),"")</f>
        <v>Rutt Voldek</v>
      </c>
      <c r="S7" s="414">
        <f ca="1">IFERROR(INDEX(Üldreiting!$K:$K,MATCH(R7,Üldreiting!$I:$I,0)),"")</f>
        <v>7</v>
      </c>
      <c r="T7" s="415" t="str">
        <f t="shared" ref="T7:T25" si="0">IFERROR(MID($B7,FIND(", ",$B7,FIND(", ",$B7)+1)+2,FIND(", ",$B7,FIND(", ",$B7,FIND(", ",$B7)+1)+1)-FIND(", ",$B7,FIND(", ",$B7)+1)-2),"")</f>
        <v/>
      </c>
      <c r="U7" s="414" t="str">
        <f>IFERROR(INDEX(Üldreiting!$K:$K,MATCH(T7,Üldreiting!$I:$I,0)),"")</f>
        <v/>
      </c>
      <c r="V7" s="413" t="str">
        <f>IFERROR(MID($B7,FIND(", ",$B7,FIND(", ",$B7,FIND(", ",$B7)+1)+1)+2,30000),"")</f>
        <v/>
      </c>
      <c r="W7" s="414" t="str">
        <f>IFERROR(INDEX(Üldreiting!$K:$K,MATCH(V7,Üldreiting!$I:$I,0)),"")</f>
        <v/>
      </c>
    </row>
    <row r="8" spans="1:23" s="30" customFormat="1" x14ac:dyDescent="0.2">
      <c r="A8" s="296">
        <v>2</v>
      </c>
      <c r="B8" s="122" t="s">
        <v>544</v>
      </c>
      <c r="C8" s="336">
        <v>13</v>
      </c>
      <c r="D8" s="124">
        <v>13</v>
      </c>
      <c r="E8" s="32" t="str">
        <f>IF(AND(B10="-",ISNUMBER(C8),C8&lt;C9),13,"")</f>
        <v/>
      </c>
      <c r="F8" s="314"/>
      <c r="G8" s="32" t="str">
        <f>IF(AND(COUNT(F7:F10)=2,F8=MAX(F7:F10),COUNT(C8:F8)=3),A6&amp;"2",IF(AND(COUNT(E7:E10)=2,ISNUMBER(E8),E8=MIN(E7:E10),D8="",F8=""),A6&amp;"4",IF(AND(COUNT(D7:D10)=2,D8=MAX(D7:D10),E8="",F8=""),A6&amp;"1",IF(COUNT(F7:F10)=2,A6&amp;"3",""))))</f>
        <v>A1</v>
      </c>
      <c r="H8" s="432" t="str">
        <f t="shared" ref="H8:H10" si="1">IF(OR(RIGHT(G8,1)="1",RIGHT(G8,1)="2"),"1/8 finaali","")</f>
        <v>1/8 finaali</v>
      </c>
      <c r="I8" s="79"/>
      <c r="M8" s="420">
        <f t="shared" ref="M8:M34" ca="1" si="2">SUM(O8:W8)</f>
        <v>121</v>
      </c>
      <c r="N8" s="413" t="str">
        <f t="shared" ref="N8:N34" si="3">IFERROR(LEFT($B8,(FIND(",",$B8,1)-1)),"")</f>
        <v>Janek Kiisk</v>
      </c>
      <c r="O8" s="414">
        <f ca="1">IFERROR(INDEX(Üldreiting!$K:$K,MATCH(N8,Üldreiting!$I:$I,0)),"")</f>
        <v>49</v>
      </c>
      <c r="P8" s="413" t="str">
        <f t="shared" ref="P8:P34" si="4">IFERROR(MID($B8,FIND("^",SUBSTITUTE($B8,", ","^",1))+2,FIND("^",SUBSTITUTE($B8,", ","^",2))-FIND("^",SUBSTITUTE($B8,", ","^",1))-2),"")</f>
        <v>Kadri Veljend</v>
      </c>
      <c r="Q8" s="414">
        <f ca="1">IFERROR(INDEX(Üldreiting!$K:$K,MATCH(P8,Üldreiting!$I:$I,0)),"")</f>
        <v>23</v>
      </c>
      <c r="R8" s="413" t="str">
        <f t="shared" ref="R8:R34" si="5">IFERROR(MID($B8,FIND(", ",$B8,FIND(", ",$B8,FIND(", ",$B8))+1)+2,30000),"")</f>
        <v>Marek Lehis</v>
      </c>
      <c r="S8" s="414">
        <f ca="1">IFERROR(INDEX(Üldreiting!$K:$K,MATCH(R8,Üldreiting!$I:$I,0)),"")</f>
        <v>49</v>
      </c>
      <c r="T8" s="415" t="str">
        <f t="shared" si="0"/>
        <v/>
      </c>
      <c r="U8" s="414" t="str">
        <f>IFERROR(INDEX(Üldreiting!$K:$K,MATCH(T8,Üldreiting!$I:$I,0)),"")</f>
        <v/>
      </c>
      <c r="V8" s="413" t="str">
        <f t="shared" ref="V8:V34" si="6">IFERROR(MID($B8,FIND(", ",$B8,FIND(", ",$B8,FIND(", ",$B8)+1)+1)+2,30000),"")</f>
        <v/>
      </c>
      <c r="W8" s="414" t="str">
        <f>IFERROR(INDEX(Üldreiting!$K:$K,MATCH(V8,Üldreiting!$I:$I,0)),"")</f>
        <v/>
      </c>
    </row>
    <row r="9" spans="1:23" s="30" customFormat="1" x14ac:dyDescent="0.2">
      <c r="A9" s="296">
        <v>3</v>
      </c>
      <c r="B9" s="122" t="s">
        <v>545</v>
      </c>
      <c r="C9" s="336">
        <v>12</v>
      </c>
      <c r="D9" s="32"/>
      <c r="E9" s="32">
        <f>IF(AND(B10="-",ISNUMBER(C9),C9&lt;C8),13,"")</f>
        <v>13</v>
      </c>
      <c r="F9" s="314">
        <v>2</v>
      </c>
      <c r="G9" s="32" t="str">
        <f>IF(AND(COUNT(F7:F10)=2,F9=MAX(F7:F10),COUNT(C9:F9)=3),A6&amp;"2",IF(AND(COUNT(E7:E10)=2,ISNUMBER(E9),E9=MIN(E7:E10),D9="",F9=""),A6&amp;"4",IF(AND(COUNT(D7:D10)=2,D9=MAX(D7:D10),E9="",F9=""),A6&amp;"1",IF(COUNT(F7:F10)=2,A6&amp;"3",""))))</f>
        <v>A3</v>
      </c>
      <c r="H9" s="433" t="str">
        <f t="shared" si="1"/>
        <v/>
      </c>
      <c r="I9" s="79"/>
      <c r="M9" s="420">
        <f t="shared" ca="1" si="2"/>
        <v>15</v>
      </c>
      <c r="N9" s="413" t="str">
        <f t="shared" si="3"/>
        <v>Endla Antsve</v>
      </c>
      <c r="O9" s="414">
        <f ca="1">IFERROR(INDEX(Üldreiting!$K:$K,MATCH(N9,Üldreiting!$I:$I,0)),"")</f>
        <v>2</v>
      </c>
      <c r="P9" s="413" t="str">
        <f t="shared" si="4"/>
        <v>Kaido Antsve</v>
      </c>
      <c r="Q9" s="414">
        <f ca="1">IFERROR(INDEX(Üldreiting!$K:$K,MATCH(P9,Üldreiting!$I:$I,0)),"")</f>
        <v>2</v>
      </c>
      <c r="R9" s="413" t="str">
        <f t="shared" si="5"/>
        <v>Mihkel Palk, Tiit Palk</v>
      </c>
      <c r="S9" s="414" t="str">
        <f>IFERROR(INDEX(Üldreiting!$K:$K,MATCH(R9,Üldreiting!$I:$I,0)),"")</f>
        <v/>
      </c>
      <c r="T9" s="415" t="str">
        <f t="shared" si="0"/>
        <v>Mihkel Palk</v>
      </c>
      <c r="U9" s="414">
        <f ca="1">IFERROR(INDEX(Üldreiting!$K:$K,MATCH(T9,Üldreiting!$I:$I,0)),"")</f>
        <v>7.5</v>
      </c>
      <c r="V9" s="413" t="str">
        <f t="shared" si="6"/>
        <v>Tiit Palk</v>
      </c>
      <c r="W9" s="414">
        <f ca="1">IFERROR(INDEX(Üldreiting!$K:$K,MATCH(V9,Üldreiting!$I:$I,0)),"")</f>
        <v>3.5</v>
      </c>
    </row>
    <row r="10" spans="1:23" s="30" customFormat="1" x14ac:dyDescent="0.2">
      <c r="A10" s="296">
        <v>4</v>
      </c>
      <c r="B10" s="123" t="s">
        <v>81</v>
      </c>
      <c r="C10" s="124">
        <f>IF(B10="-",0,"")</f>
        <v>0</v>
      </c>
      <c r="D10" s="124"/>
      <c r="E10" s="32">
        <f>IF(B10="-",0,"")</f>
        <v>0</v>
      </c>
      <c r="F10" s="314"/>
      <c r="G10" s="32" t="str">
        <f>IF(AND(COUNT(F7:F10)=2,F10=MAX(F7:F10),COUNT(C10:F10)=3),A6&amp;"2",IF(AND(COUNT(E7:E10)=2,ISNUMBER(E10),E10=MIN(E7:E10),D10="",F10=""),A6&amp;"4",IF(AND(COUNT(D7:D10)=2,D10=MAX(D7:D10),E10="",F10=""),A6&amp;"1",IF(COUNT(F7:F10)=2,A6&amp;"3",""))))</f>
        <v>A4</v>
      </c>
      <c r="H10" s="433" t="str">
        <f t="shared" si="1"/>
        <v/>
      </c>
      <c r="I10" s="79"/>
      <c r="M10" s="420">
        <f t="shared" si="2"/>
        <v>0</v>
      </c>
      <c r="N10" s="413" t="str">
        <f t="shared" si="3"/>
        <v/>
      </c>
      <c r="O10" s="414" t="str">
        <f>IFERROR(INDEX(Üldreiting!$K:$K,MATCH(N10,Üldreiting!$I:$I,0)),"")</f>
        <v/>
      </c>
      <c r="P10" s="413" t="str">
        <f t="shared" si="4"/>
        <v/>
      </c>
      <c r="Q10" s="414" t="str">
        <f>IFERROR(INDEX(Üldreiting!$K:$K,MATCH(P10,Üldreiting!$I:$I,0)),"")</f>
        <v/>
      </c>
      <c r="R10" s="413" t="str">
        <f t="shared" si="5"/>
        <v/>
      </c>
      <c r="S10" s="414" t="str">
        <f>IFERROR(INDEX(Üldreiting!$K:$K,MATCH(R10,Üldreiting!$I:$I,0)),"")</f>
        <v/>
      </c>
      <c r="T10" s="415" t="str">
        <f t="shared" si="0"/>
        <v/>
      </c>
      <c r="U10" s="414" t="str">
        <f>IFERROR(INDEX(Üldreiting!$K:$K,MATCH(T10,Üldreiting!$I:$I,0)),"")</f>
        <v/>
      </c>
      <c r="V10" s="413" t="str">
        <f t="shared" si="6"/>
        <v/>
      </c>
      <c r="W10" s="414" t="str">
        <f>IFERROR(INDEX(Üldreiting!$K:$K,MATCH(V10,Üldreiting!$I:$I,0)),"")</f>
        <v/>
      </c>
    </row>
    <row r="11" spans="1:23" x14ac:dyDescent="0.2">
      <c r="B11" s="353" t="s">
        <v>81</v>
      </c>
      <c r="G11" s="353" t="s">
        <v>81</v>
      </c>
      <c r="H11" s="434"/>
      <c r="J11" s="42"/>
      <c r="K11" s="42"/>
      <c r="L11" s="42"/>
      <c r="M11" s="420"/>
      <c r="N11" s="424"/>
      <c r="O11" s="417"/>
      <c r="P11" s="417"/>
      <c r="Q11" s="417"/>
      <c r="R11" s="417"/>
      <c r="S11" s="417"/>
      <c r="T11" s="418"/>
      <c r="U11" s="418"/>
      <c r="V11" s="417"/>
      <c r="W11" s="418"/>
    </row>
    <row r="12" spans="1:23" s="30" customFormat="1" x14ac:dyDescent="0.2">
      <c r="A12" s="296" t="s">
        <v>275</v>
      </c>
      <c r="B12" s="351"/>
      <c r="C12" s="31" t="s">
        <v>232</v>
      </c>
      <c r="D12" s="296" t="s">
        <v>61</v>
      </c>
      <c r="E12" s="296" t="s">
        <v>62</v>
      </c>
      <c r="F12" s="31" t="s">
        <v>63</v>
      </c>
      <c r="G12" s="31" t="s">
        <v>19</v>
      </c>
      <c r="H12" s="434"/>
      <c r="I12" s="79"/>
      <c r="J12" s="42"/>
      <c r="K12" s="42"/>
      <c r="L12" s="42"/>
      <c r="M12" s="420"/>
      <c r="N12" s="424"/>
      <c r="O12" s="417"/>
      <c r="P12" s="417"/>
      <c r="Q12" s="417"/>
      <c r="R12" s="417"/>
      <c r="S12" s="417"/>
      <c r="T12" s="418"/>
      <c r="U12" s="418"/>
      <c r="V12" s="417"/>
      <c r="W12" s="418"/>
    </row>
    <row r="13" spans="1:23" s="30" customFormat="1" x14ac:dyDescent="0.2">
      <c r="A13" s="296">
        <v>1</v>
      </c>
      <c r="B13" s="186" t="s">
        <v>540</v>
      </c>
      <c r="C13" s="124">
        <f>IF(B16="-",13,"")</f>
        <v>13</v>
      </c>
      <c r="D13" s="124">
        <v>13</v>
      </c>
      <c r="E13" s="32"/>
      <c r="F13" s="314"/>
      <c r="G13" s="32" t="str">
        <f>IF(AND(COUNT(F13:F16)=2,F13=MAX(F13:F16),COUNT(C13:F13)=3),A12&amp;"2",IF(AND(COUNT(E13:E16)=2,ISNUMBER(E13),E13=MIN(E13:E16),D13="",F13=""),A12&amp;"4",IF(AND(COUNT(D13:D16)=2,D13=MAX(D13:D16),E13="",F13=""),A12&amp;"1",IF(COUNT(F13:F16)=2,A12&amp;"3",""))))</f>
        <v>B1</v>
      </c>
      <c r="H13" s="432" t="str">
        <f>IF(OR(RIGHT(G13,1)="1",RIGHT(G13,1)="2"),"1/8 finaali","")</f>
        <v>1/8 finaali</v>
      </c>
      <c r="I13" s="79"/>
      <c r="M13" s="420">
        <f t="shared" ca="1" si="2"/>
        <v>160</v>
      </c>
      <c r="N13" s="413" t="str">
        <f t="shared" si="3"/>
        <v>Aigi Orro</v>
      </c>
      <c r="O13" s="414">
        <f ca="1">IFERROR(INDEX(Üldreiting!$K:$K,MATCH(N13,Üldreiting!$I:$I,0)),"")</f>
        <v>58</v>
      </c>
      <c r="P13" s="413" t="str">
        <f t="shared" si="4"/>
        <v>Elmo Lageda</v>
      </c>
      <c r="Q13" s="414">
        <f ca="1">IFERROR(INDEX(Üldreiting!$K:$K,MATCH(P13,Üldreiting!$I:$I,0)),"")</f>
        <v>44</v>
      </c>
      <c r="R13" s="413" t="str">
        <f t="shared" si="5"/>
        <v>Kalle Orro</v>
      </c>
      <c r="S13" s="414">
        <f ca="1">IFERROR(INDEX(Üldreiting!$K:$K,MATCH(R13,Üldreiting!$I:$I,0)),"")</f>
        <v>58</v>
      </c>
      <c r="T13" s="415" t="str">
        <f t="shared" si="0"/>
        <v/>
      </c>
      <c r="U13" s="414" t="str">
        <f>IFERROR(INDEX(Üldreiting!$K:$K,MATCH(T13,Üldreiting!$I:$I,0)),"")</f>
        <v/>
      </c>
      <c r="V13" s="413" t="str">
        <f t="shared" si="6"/>
        <v/>
      </c>
      <c r="W13" s="414" t="str">
        <f>IFERROR(INDEX(Üldreiting!$K:$K,MATCH(V13,Üldreiting!$I:$I,0)),"")</f>
        <v/>
      </c>
    </row>
    <row r="14" spans="1:23" s="30" customFormat="1" x14ac:dyDescent="0.2">
      <c r="A14" s="296">
        <v>2</v>
      </c>
      <c r="B14" s="122" t="s">
        <v>546</v>
      </c>
      <c r="C14" s="336">
        <v>4</v>
      </c>
      <c r="D14" s="124"/>
      <c r="E14" s="32">
        <f>IF(AND(B16="-",ISNUMBER(C14),C14&lt;C15),13,"")</f>
        <v>13</v>
      </c>
      <c r="F14" s="314">
        <v>13</v>
      </c>
      <c r="G14" s="32" t="str">
        <f>IF(AND(COUNT(F13:F16)=2,F14=MAX(F13:F16),COUNT(C14:F14)=3),A12&amp;"2",IF(AND(COUNT(E13:E16)=2,ISNUMBER(E14),E14=MIN(E13:E16),D14="",F14=""),A12&amp;"4",IF(AND(COUNT(D13:D16)=2,D14=MAX(D13:D16),E14="",F14=""),A12&amp;"1",IF(COUNT(F13:F16)=2,A12&amp;"3",""))))</f>
        <v>B2</v>
      </c>
      <c r="H14" s="432" t="str">
        <f t="shared" ref="H14:H16" si="7">IF(OR(RIGHT(G14,1)="1",RIGHT(G14,1)="2"),"1/8 finaali","")</f>
        <v>1/8 finaali</v>
      </c>
      <c r="I14" s="79"/>
      <c r="M14" s="420">
        <f t="shared" ca="1" si="2"/>
        <v>105</v>
      </c>
      <c r="N14" s="413" t="str">
        <f t="shared" si="3"/>
        <v>Kalju Olmre</v>
      </c>
      <c r="O14" s="414">
        <f ca="1">IFERROR(INDEX(Üldreiting!$K:$K,MATCH(N14,Üldreiting!$I:$I,0)),"")</f>
        <v>73</v>
      </c>
      <c r="P14" s="413" t="str">
        <f t="shared" si="4"/>
        <v>Mare Kingissepp</v>
      </c>
      <c r="Q14" s="414">
        <f ca="1">IFERROR(INDEX(Üldreiting!$K:$K,MATCH(P14,Üldreiting!$I:$I,0)),"")</f>
        <v>10</v>
      </c>
      <c r="R14" s="413" t="str">
        <f t="shared" si="5"/>
        <v>Silver Kingissepp</v>
      </c>
      <c r="S14" s="414">
        <f ca="1">IFERROR(INDEX(Üldreiting!$K:$K,MATCH(R14,Üldreiting!$I:$I,0)),"")</f>
        <v>22</v>
      </c>
      <c r="T14" s="415" t="str">
        <f t="shared" si="0"/>
        <v/>
      </c>
      <c r="U14" s="414" t="str">
        <f>IFERROR(INDEX(Üldreiting!$K:$K,MATCH(T14,Üldreiting!$I:$I,0)),"")</f>
        <v/>
      </c>
      <c r="V14" s="413" t="str">
        <f t="shared" si="6"/>
        <v/>
      </c>
      <c r="W14" s="414" t="str">
        <f>IFERROR(INDEX(Üldreiting!$K:$K,MATCH(V14,Üldreiting!$I:$I,0)),"")</f>
        <v/>
      </c>
    </row>
    <row r="15" spans="1:23" s="30" customFormat="1" x14ac:dyDescent="0.2">
      <c r="A15" s="296">
        <v>3</v>
      </c>
      <c r="B15" s="122" t="s">
        <v>547</v>
      </c>
      <c r="C15" s="336">
        <v>13</v>
      </c>
      <c r="D15" s="32">
        <v>2</v>
      </c>
      <c r="E15" s="32" t="str">
        <f>IF(AND(B16="-",ISNUMBER(C15),C15&lt;C14),13,"")</f>
        <v/>
      </c>
      <c r="F15" s="314">
        <v>1</v>
      </c>
      <c r="G15" s="32" t="str">
        <f>IF(AND(COUNT(F13:F16)=2,F15=MAX(F13:F16),COUNT(C15:F15)=3),A12&amp;"2",IF(AND(COUNT(E13:E16)=2,ISNUMBER(E15),E15=MIN(E13:E16),D15="",F15=""),A12&amp;"4",IF(AND(COUNT(D13:D16)=2,D15=MAX(D13:D16),E15="",F15=""),A12&amp;"1",IF(COUNT(F13:F16)=2,A12&amp;"3",""))))</f>
        <v>B3</v>
      </c>
      <c r="H15" s="433" t="str">
        <f t="shared" si="7"/>
        <v/>
      </c>
      <c r="I15" s="79"/>
      <c r="M15" s="420">
        <f t="shared" ca="1" si="2"/>
        <v>10</v>
      </c>
      <c r="N15" s="413" t="str">
        <f t="shared" si="3"/>
        <v>Maive Sein</v>
      </c>
      <c r="O15" s="414">
        <f ca="1">IFERROR(INDEX(Üldreiting!$K:$K,MATCH(N15,Üldreiting!$I:$I,0)),"")</f>
        <v>4</v>
      </c>
      <c r="P15" s="413" t="str">
        <f t="shared" si="4"/>
        <v>Toomas Reede</v>
      </c>
      <c r="Q15" s="414">
        <f ca="1">IFERROR(INDEX(Üldreiting!$K:$K,MATCH(P15,Üldreiting!$I:$I,0)),"")</f>
        <v>2</v>
      </c>
      <c r="R15" s="413" t="str">
        <f t="shared" si="5"/>
        <v>Varje Reede</v>
      </c>
      <c r="S15" s="414">
        <f ca="1">IFERROR(INDEX(Üldreiting!$K:$K,MATCH(R15,Üldreiting!$I:$I,0)),"")</f>
        <v>4</v>
      </c>
      <c r="T15" s="415" t="str">
        <f t="shared" si="0"/>
        <v/>
      </c>
      <c r="U15" s="414" t="str">
        <f>IFERROR(INDEX(Üldreiting!$K:$K,MATCH(T15,Üldreiting!$I:$I,0)),"")</f>
        <v/>
      </c>
      <c r="V15" s="413" t="str">
        <f t="shared" si="6"/>
        <v/>
      </c>
      <c r="W15" s="414" t="str">
        <f>IFERROR(INDEX(Üldreiting!$K:$K,MATCH(V15,Üldreiting!$I:$I,0)),"")</f>
        <v/>
      </c>
    </row>
    <row r="16" spans="1:23" s="30" customFormat="1" x14ac:dyDescent="0.2">
      <c r="A16" s="296">
        <v>4</v>
      </c>
      <c r="B16" s="123" t="s">
        <v>81</v>
      </c>
      <c r="C16" s="124">
        <f>IF(B16="-",0,"")</f>
        <v>0</v>
      </c>
      <c r="D16" s="124"/>
      <c r="E16" s="32">
        <f>IF(B16="-",0,"")</f>
        <v>0</v>
      </c>
      <c r="F16" s="314"/>
      <c r="G16" s="32" t="str">
        <f>IF(AND(COUNT(F13:F16)=2,F16=MAX(F13:F16),COUNT(C16:F16)=3),A12&amp;"2",IF(AND(COUNT(E13:E16)=2,ISNUMBER(E16),E16=MIN(E13:E16),D16="",F16=""),A12&amp;"4",IF(AND(COUNT(D13:D16)=2,D16=MAX(D13:D16),E16="",F16=""),A12&amp;"1",IF(COUNT(F13:F16)=2,A12&amp;"3",""))))</f>
        <v>B4</v>
      </c>
      <c r="H16" s="433" t="str">
        <f t="shared" si="7"/>
        <v/>
      </c>
      <c r="I16" s="79"/>
      <c r="M16" s="420">
        <f t="shared" si="2"/>
        <v>0</v>
      </c>
      <c r="N16" s="413" t="str">
        <f t="shared" si="3"/>
        <v/>
      </c>
      <c r="O16" s="414" t="str">
        <f>IFERROR(INDEX(Üldreiting!$K:$K,MATCH(N16,Üldreiting!$I:$I,0)),"")</f>
        <v/>
      </c>
      <c r="P16" s="413" t="str">
        <f t="shared" si="4"/>
        <v/>
      </c>
      <c r="Q16" s="414" t="str">
        <f>IFERROR(INDEX(Üldreiting!$K:$K,MATCH(P16,Üldreiting!$I:$I,0)),"")</f>
        <v/>
      </c>
      <c r="R16" s="413" t="str">
        <f t="shared" si="5"/>
        <v/>
      </c>
      <c r="S16" s="414" t="str">
        <f>IFERROR(INDEX(Üldreiting!$K:$K,MATCH(R16,Üldreiting!$I:$I,0)),"")</f>
        <v/>
      </c>
      <c r="T16" s="415" t="str">
        <f t="shared" si="0"/>
        <v/>
      </c>
      <c r="U16" s="414" t="str">
        <f>IFERROR(INDEX(Üldreiting!$K:$K,MATCH(T16,Üldreiting!$I:$I,0)),"")</f>
        <v/>
      </c>
      <c r="V16" s="413" t="str">
        <f t="shared" si="6"/>
        <v/>
      </c>
      <c r="W16" s="414" t="str">
        <f>IFERROR(INDEX(Üldreiting!$K:$K,MATCH(V16,Üldreiting!$I:$I,0)),"")</f>
        <v/>
      </c>
    </row>
    <row r="17" spans="1:23" x14ac:dyDescent="0.2">
      <c r="H17" s="434"/>
      <c r="M17" s="420"/>
      <c r="N17" s="424"/>
      <c r="O17" s="417"/>
      <c r="P17" s="417"/>
      <c r="Q17" s="417"/>
      <c r="R17" s="417"/>
      <c r="S17" s="417"/>
      <c r="T17" s="418"/>
      <c r="U17" s="418"/>
      <c r="V17" s="417"/>
      <c r="W17" s="418"/>
    </row>
    <row r="18" spans="1:23" s="30" customFormat="1" x14ac:dyDescent="0.2">
      <c r="A18" s="296" t="s">
        <v>292</v>
      </c>
      <c r="B18" s="452">
        <v>0.5</v>
      </c>
      <c r="C18" s="31" t="s">
        <v>232</v>
      </c>
      <c r="D18" s="296" t="s">
        <v>61</v>
      </c>
      <c r="E18" s="296" t="s">
        <v>62</v>
      </c>
      <c r="F18" s="31" t="s">
        <v>63</v>
      </c>
      <c r="G18" s="31" t="s">
        <v>19</v>
      </c>
      <c r="H18" s="434"/>
      <c r="I18" s="79"/>
      <c r="M18" s="420"/>
      <c r="N18" s="424"/>
      <c r="O18" s="417"/>
      <c r="P18" s="417"/>
      <c r="Q18" s="417"/>
      <c r="R18" s="417"/>
      <c r="S18" s="417"/>
      <c r="T18" s="418"/>
      <c r="U18" s="418"/>
      <c r="V18" s="417"/>
      <c r="W18" s="418"/>
    </row>
    <row r="19" spans="1:23" s="30" customFormat="1" x14ac:dyDescent="0.2">
      <c r="A19" s="296">
        <v>1</v>
      </c>
      <c r="B19" s="186" t="s">
        <v>557</v>
      </c>
      <c r="C19" s="124">
        <f>IF(B22="-",13,"")</f>
        <v>13</v>
      </c>
      <c r="D19" s="124">
        <v>11</v>
      </c>
      <c r="E19" s="32"/>
      <c r="F19" s="314">
        <v>13</v>
      </c>
      <c r="G19" s="32" t="str">
        <f>IF(AND(COUNT(F19:F22)=2,F19=MAX(F19:F22),COUNT(C19:F19)=3),A18&amp;"2",IF(AND(COUNT(E19:E22)=2,ISNUMBER(E19),E19=MIN(E19:E22),D19="",F19=""),A18&amp;"4",IF(AND(COUNT(D19:D22)=2,D19=MAX(D19:D22),E19="",F19=""),A18&amp;"1",IF(COUNT(F19:F22)=2,A18&amp;"3",""))))</f>
        <v>C2</v>
      </c>
      <c r="H19" s="432" t="str">
        <f>IF(OR(RIGHT(G19,1)="1",RIGHT(G19,1)="2"),"1/8 finaali","")</f>
        <v>1/8 finaali</v>
      </c>
      <c r="I19" s="79"/>
      <c r="M19" s="420">
        <f t="shared" ca="1" si="2"/>
        <v>171</v>
      </c>
      <c r="N19" s="413" t="str">
        <f t="shared" si="3"/>
        <v>Katri Aavekukk</v>
      </c>
      <c r="O19" s="414">
        <f ca="1">IFERROR(INDEX(Üldreiting!$K:$K,MATCH(N19,Üldreiting!$I:$I,0)),"")</f>
        <v>61</v>
      </c>
      <c r="P19" s="413" t="str">
        <f t="shared" si="4"/>
        <v>Merike Aava</v>
      </c>
      <c r="Q19" s="414">
        <f ca="1">IFERROR(INDEX(Üldreiting!$K:$K,MATCH(P19,Üldreiting!$I:$I,0)),"")</f>
        <v>32</v>
      </c>
      <c r="R19" s="413" t="str">
        <f t="shared" si="5"/>
        <v>Thibaut Sergeï Mathon</v>
      </c>
      <c r="S19" s="414">
        <f ca="1">IFERROR(INDEX(Üldreiting!$K:$K,MATCH(R19,Üldreiting!$I:$I,0)),"")</f>
        <v>78</v>
      </c>
      <c r="T19" s="415" t="str">
        <f t="shared" si="0"/>
        <v/>
      </c>
      <c r="U19" s="414" t="str">
        <f>IFERROR(INDEX(Üldreiting!$K:$K,MATCH(T19,Üldreiting!$I:$I,0)),"")</f>
        <v/>
      </c>
      <c r="V19" s="413" t="str">
        <f t="shared" si="6"/>
        <v/>
      </c>
      <c r="W19" s="414" t="str">
        <f>IFERROR(INDEX(Üldreiting!$K:$K,MATCH(V19,Üldreiting!$I:$I,0)),"")</f>
        <v/>
      </c>
    </row>
    <row r="20" spans="1:23" s="30" customFormat="1" x14ac:dyDescent="0.2">
      <c r="A20" s="296">
        <v>2</v>
      </c>
      <c r="B20" s="122" t="s">
        <v>548</v>
      </c>
      <c r="C20" s="336">
        <v>10</v>
      </c>
      <c r="D20" s="124"/>
      <c r="E20" s="32">
        <f>IF(AND(B22="-",ISNUMBER(C20),C20&lt;C21),13,"")</f>
        <v>13</v>
      </c>
      <c r="F20" s="314">
        <v>4</v>
      </c>
      <c r="G20" s="32" t="str">
        <f>IF(AND(COUNT(F19:F22)=2,F20=MAX(F19:F22),COUNT(C20:F20)=3),A18&amp;"2",IF(AND(COUNT(E19:E22)=2,ISNUMBER(E20),E20=MIN(E19:E22),D20="",F20=""),A18&amp;"4",IF(AND(COUNT(D19:D22)=2,D20=MAX(D19:D22),E20="",F20=""),A18&amp;"1",IF(COUNT(F19:F22)=2,A18&amp;"3",""))))</f>
        <v>C3</v>
      </c>
      <c r="H20" s="432" t="str">
        <f t="shared" ref="H20:H22" si="8">IF(OR(RIGHT(G20,1)="1",RIGHT(G20,1)="2"),"1/8 finaali","")</f>
        <v/>
      </c>
      <c r="I20" s="79"/>
      <c r="M20" s="420">
        <f t="shared" ca="1" si="2"/>
        <v>75</v>
      </c>
      <c r="N20" s="413" t="str">
        <f t="shared" si="3"/>
        <v>Marge Mägi</v>
      </c>
      <c r="O20" s="414">
        <f ca="1">IFERROR(INDEX(Üldreiting!$K:$K,MATCH(N20,Üldreiting!$I:$I,0)),"")</f>
        <v>10</v>
      </c>
      <c r="P20" s="413" t="str">
        <f t="shared" si="4"/>
        <v>Margo Peebo</v>
      </c>
      <c r="Q20" s="414">
        <f ca="1">IFERROR(INDEX(Üldreiting!$K:$K,MATCH(P20,Üldreiting!$I:$I,0)),"")</f>
        <v>48</v>
      </c>
      <c r="R20" s="413" t="str">
        <f t="shared" si="5"/>
        <v>Marko Ode</v>
      </c>
      <c r="S20" s="414">
        <f ca="1">IFERROR(INDEX(Üldreiting!$K:$K,MATCH(R20,Üldreiting!$I:$I,0)),"")</f>
        <v>17</v>
      </c>
      <c r="T20" s="415" t="str">
        <f t="shared" si="0"/>
        <v/>
      </c>
      <c r="U20" s="414" t="str">
        <f>IFERROR(INDEX(Üldreiting!$K:$K,MATCH(T20,Üldreiting!$I:$I,0)),"")</f>
        <v/>
      </c>
      <c r="V20" s="413" t="str">
        <f t="shared" si="6"/>
        <v/>
      </c>
      <c r="W20" s="414" t="str">
        <f>IFERROR(INDEX(Üldreiting!$K:$K,MATCH(V20,Üldreiting!$I:$I,0)),"")</f>
        <v/>
      </c>
    </row>
    <row r="21" spans="1:23" s="30" customFormat="1" x14ac:dyDescent="0.2">
      <c r="A21" s="296">
        <v>3</v>
      </c>
      <c r="B21" s="122" t="s">
        <v>549</v>
      </c>
      <c r="C21" s="336">
        <v>13</v>
      </c>
      <c r="D21" s="32">
        <v>13</v>
      </c>
      <c r="E21" s="32" t="str">
        <f>IF(AND(B22="-",ISNUMBER(C21),C21&lt;C20),13,"")</f>
        <v/>
      </c>
      <c r="F21" s="314"/>
      <c r="G21" s="32" t="str">
        <f>IF(AND(COUNT(F19:F22)=2,F21=MAX(F19:F22),COUNT(C21:F21)=3),A18&amp;"2",IF(AND(COUNT(E19:E22)=2,ISNUMBER(E21),E21=MIN(E19:E22),D21="",F21=""),A18&amp;"4",IF(AND(COUNT(D19:D22)=2,D21=MAX(D19:D22),E21="",F21=""),A18&amp;"1",IF(COUNT(F19:F22)=2,A18&amp;"3",""))))</f>
        <v>C1</v>
      </c>
      <c r="H21" s="432" t="str">
        <f t="shared" si="8"/>
        <v>1/8 finaali</v>
      </c>
      <c r="I21" s="79"/>
      <c r="M21" s="420">
        <f t="shared" ca="1" si="2"/>
        <v>214</v>
      </c>
      <c r="N21" s="413" t="str">
        <f t="shared" si="3"/>
        <v>Kaarel Mikk</v>
      </c>
      <c r="O21" s="414">
        <f ca="1">IFERROR(INDEX(Üldreiting!$K:$K,MATCH(N21,Üldreiting!$I:$I,0)),"")</f>
        <v>76.5</v>
      </c>
      <c r="P21" s="413" t="str">
        <f t="shared" si="4"/>
        <v>Mihkel Filipenko</v>
      </c>
      <c r="Q21" s="414">
        <f ca="1">IFERROR(INDEX(Üldreiting!$K:$K,MATCH(P21,Üldreiting!$I:$I,0)),"")</f>
        <v>94.5</v>
      </c>
      <c r="R21" s="413" t="str">
        <f t="shared" si="5"/>
        <v>Triin Gretel Tauk</v>
      </c>
      <c r="S21" s="414">
        <f ca="1">IFERROR(INDEX(Üldreiting!$K:$K,MATCH(R21,Üldreiting!$I:$I,0)),"")</f>
        <v>43</v>
      </c>
      <c r="T21" s="415" t="str">
        <f t="shared" si="0"/>
        <v/>
      </c>
      <c r="U21" s="414" t="str">
        <f>IFERROR(INDEX(Üldreiting!$K:$K,MATCH(T21,Üldreiting!$I:$I,0)),"")</f>
        <v/>
      </c>
      <c r="V21" s="413" t="str">
        <f t="shared" si="6"/>
        <v/>
      </c>
      <c r="W21" s="414" t="str">
        <f>IFERROR(INDEX(Üldreiting!$K:$K,MATCH(V21,Üldreiting!$I:$I,0)),"")</f>
        <v/>
      </c>
    </row>
    <row r="22" spans="1:23" s="30" customFormat="1" x14ac:dyDescent="0.2">
      <c r="A22" s="296">
        <v>4</v>
      </c>
      <c r="B22" s="123" t="s">
        <v>81</v>
      </c>
      <c r="C22" s="124">
        <f>IF(B22="-",0,"")</f>
        <v>0</v>
      </c>
      <c r="D22" s="124"/>
      <c r="E22" s="32">
        <f>IF(B22="-",0,"")</f>
        <v>0</v>
      </c>
      <c r="F22" s="314"/>
      <c r="G22" s="32" t="str">
        <f>IF(AND(COUNT(F19:F22)=2,F22=MAX(F19:F22),COUNT(C22:F22)=3),A18&amp;"2",IF(AND(COUNT(E19:E22)=2,ISNUMBER(E22),E22=MIN(E19:E22),D22="",F22=""),A18&amp;"4",IF(AND(COUNT(D19:D22)=2,D22=MAX(D19:D22),E22="",F22=""),A18&amp;"1",IF(COUNT(F19:F22)=2,A18&amp;"3",""))))</f>
        <v>C4</v>
      </c>
      <c r="H22" s="433" t="str">
        <f t="shared" si="8"/>
        <v/>
      </c>
      <c r="I22" s="79"/>
      <c r="M22" s="420">
        <f t="shared" si="2"/>
        <v>0</v>
      </c>
      <c r="N22" s="413" t="str">
        <f t="shared" si="3"/>
        <v/>
      </c>
      <c r="O22" s="414" t="str">
        <f>IFERROR(INDEX(Üldreiting!$K:$K,MATCH(N22,Üldreiting!$I:$I,0)),"")</f>
        <v/>
      </c>
      <c r="P22" s="413" t="str">
        <f t="shared" si="4"/>
        <v/>
      </c>
      <c r="Q22" s="414" t="str">
        <f>IFERROR(INDEX(Üldreiting!$K:$K,MATCH(P22,Üldreiting!$I:$I,0)),"")</f>
        <v/>
      </c>
      <c r="R22" s="413" t="str">
        <f t="shared" si="5"/>
        <v/>
      </c>
      <c r="S22" s="414" t="str">
        <f>IFERROR(INDEX(Üldreiting!$K:$K,MATCH(R22,Üldreiting!$I:$I,0)),"")</f>
        <v/>
      </c>
      <c r="T22" s="415" t="str">
        <f t="shared" si="0"/>
        <v/>
      </c>
      <c r="U22" s="414" t="str">
        <f>IFERROR(INDEX(Üldreiting!$K:$K,MATCH(T22,Üldreiting!$I:$I,0)),"")</f>
        <v/>
      </c>
      <c r="V22" s="413" t="str">
        <f t="shared" si="6"/>
        <v/>
      </c>
      <c r="W22" s="414" t="str">
        <f>IFERROR(INDEX(Üldreiting!$K:$K,MATCH(V22,Üldreiting!$I:$I,0)),"")</f>
        <v/>
      </c>
    </row>
    <row r="23" spans="1:23" x14ac:dyDescent="0.2">
      <c r="H23" s="434"/>
      <c r="M23" s="420"/>
      <c r="N23" s="424"/>
      <c r="O23" s="417"/>
      <c r="P23" s="417"/>
      <c r="Q23" s="417"/>
      <c r="R23" s="417"/>
      <c r="S23" s="417"/>
      <c r="T23" s="418"/>
      <c r="U23" s="418"/>
      <c r="V23" s="417"/>
      <c r="W23" s="418"/>
    </row>
    <row r="24" spans="1:23" s="30" customFormat="1" x14ac:dyDescent="0.2">
      <c r="A24" s="296" t="s">
        <v>293</v>
      </c>
      <c r="B24" s="351"/>
      <c r="C24" s="31" t="s">
        <v>232</v>
      </c>
      <c r="D24" s="296" t="s">
        <v>61</v>
      </c>
      <c r="E24" s="296" t="s">
        <v>62</v>
      </c>
      <c r="F24" s="31" t="s">
        <v>63</v>
      </c>
      <c r="G24" s="31" t="s">
        <v>19</v>
      </c>
      <c r="H24" s="434"/>
      <c r="I24" s="79"/>
      <c r="M24" s="420"/>
      <c r="N24" s="424"/>
      <c r="O24" s="417"/>
      <c r="P24" s="417"/>
      <c r="Q24" s="417"/>
      <c r="R24" s="417"/>
      <c r="S24" s="417"/>
      <c r="T24" s="418"/>
      <c r="U24" s="418"/>
      <c r="V24" s="417"/>
      <c r="W24" s="418"/>
    </row>
    <row r="25" spans="1:23" s="30" customFormat="1" x14ac:dyDescent="0.2">
      <c r="A25" s="296">
        <v>1</v>
      </c>
      <c r="B25" s="186" t="s">
        <v>550</v>
      </c>
      <c r="C25" s="124">
        <v>13</v>
      </c>
      <c r="D25" s="124">
        <v>13</v>
      </c>
      <c r="E25" s="32"/>
      <c r="F25" s="314"/>
      <c r="G25" s="32" t="str">
        <f>IF(AND(COUNT(F25:F28)=2,F25=MAX(F25:F28),COUNT(C25:F25)=3),A24&amp;"2",IF(AND(COUNT(E25:E28)=2,ISNUMBER(E25),E25=MIN(E25:E28),D25="",F25=""),A24&amp;"4",IF(AND(COUNT(D25:D28)=2,D25=MAX(D25:D28),E25="",F25=""),A24&amp;"1",IF(COUNT(F25:F28)=2,A24&amp;"3",""))))</f>
        <v>D1</v>
      </c>
      <c r="H25" s="432" t="str">
        <f>IF(OR(RIGHT(G25,1)="1",RIGHT(G25,1)="2"),"1/8 finaali","")</f>
        <v>1/8 finaali</v>
      </c>
      <c r="I25" s="79"/>
      <c r="M25" s="420">
        <f t="shared" ca="1" si="2"/>
        <v>116</v>
      </c>
      <c r="N25" s="413" t="str">
        <f t="shared" si="3"/>
        <v>Külli Kariste</v>
      </c>
      <c r="O25" s="414">
        <f ca="1">IFERROR(INDEX(Üldreiting!$K:$K,MATCH(N25,Üldreiting!$I:$I,0)),"")</f>
        <v>18</v>
      </c>
      <c r="P25" s="413" t="str">
        <f t="shared" si="4"/>
        <v>Margus Berkmann</v>
      </c>
      <c r="Q25" s="414">
        <f ca="1">IFERROR(INDEX(Üldreiting!$K:$K,MATCH(P25,Üldreiting!$I:$I,0)),"")</f>
        <v>49</v>
      </c>
      <c r="R25" s="413" t="str">
        <f t="shared" si="5"/>
        <v>Veiko Proos</v>
      </c>
      <c r="S25" s="414">
        <f ca="1">IFERROR(INDEX(Üldreiting!$K:$K,MATCH(R25,Üldreiting!$I:$I,0)),"")</f>
        <v>49</v>
      </c>
      <c r="T25" s="415" t="str">
        <f t="shared" si="0"/>
        <v/>
      </c>
      <c r="U25" s="414" t="str">
        <f>IFERROR(INDEX(Üldreiting!$K:$K,MATCH(T25,Üldreiting!$I:$I,0)),"")</f>
        <v/>
      </c>
      <c r="V25" s="413" t="str">
        <f t="shared" si="6"/>
        <v/>
      </c>
      <c r="W25" s="414" t="str">
        <f>IFERROR(INDEX(Üldreiting!$K:$K,MATCH(V25,Üldreiting!$I:$I,0)),"")</f>
        <v/>
      </c>
    </row>
    <row r="26" spans="1:23" s="30" customFormat="1" x14ac:dyDescent="0.2">
      <c r="A26" s="296">
        <v>2</v>
      </c>
      <c r="B26" s="122" t="s">
        <v>551</v>
      </c>
      <c r="C26" s="336">
        <v>13</v>
      </c>
      <c r="D26" s="124">
        <v>6</v>
      </c>
      <c r="E26" s="32" t="str">
        <f>IF(AND(B28="-",ISNUMBER(C26),C26&lt;C27),13,"")</f>
        <v/>
      </c>
      <c r="F26" s="314">
        <v>13</v>
      </c>
      <c r="G26" s="32" t="str">
        <f>IF(AND(COUNT(F25:F28)=2,F26=MAX(F25:F28),COUNT(C26:F26)=3),A24&amp;"2",IF(AND(COUNT(E25:E28)=2,ISNUMBER(E26),E26=MIN(E25:E28),D26="",F26=""),A24&amp;"4",IF(AND(COUNT(D25:D28)=2,D26=MAX(D25:D28),E26="",F26=""),A24&amp;"1",IF(COUNT(F25:F28)=2,A24&amp;"3",""))))</f>
        <v>D2</v>
      </c>
      <c r="H26" s="432" t="str">
        <f t="shared" ref="H26:H28" si="9">IF(OR(RIGHT(G26,1)="1",RIGHT(G26,1)="2"),"1/8 finaali","")</f>
        <v>1/8 finaali</v>
      </c>
      <c r="I26" s="79"/>
      <c r="M26" s="420">
        <f t="shared" ca="1" si="2"/>
        <v>208</v>
      </c>
      <c r="N26" s="413" t="str">
        <f t="shared" si="3"/>
        <v>Alari Keedus</v>
      </c>
      <c r="O26" s="414">
        <f ca="1">IFERROR(INDEX(Üldreiting!$K:$K,MATCH(N26,Üldreiting!$I:$I,0)),"")</f>
        <v>79.5</v>
      </c>
      <c r="P26" s="413" t="str">
        <f t="shared" si="4"/>
        <v>Marek Kolk</v>
      </c>
      <c r="Q26" s="414">
        <f ca="1">IFERROR(INDEX(Üldreiting!$K:$K,MATCH(P26,Üldreiting!$I:$I,0)),"")</f>
        <v>22</v>
      </c>
      <c r="R26" s="413" t="str">
        <f t="shared" si="5"/>
        <v>Piibe Kerge, Ülo Piik</v>
      </c>
      <c r="S26" s="414" t="str">
        <f>IFERROR(INDEX(Üldreiting!$K:$K,MATCH(R26,Üldreiting!$I:$I,0)),"")</f>
        <v/>
      </c>
      <c r="T26" s="415" t="str">
        <f>IFERROR(MID($B26,FIND(", ",$B26,FIND(", ",$B26)+1)+2,FIND(", ",$B26,FIND(", ",$B26,FIND(", ",$B26)+1)+1)-FIND(", ",$B26,FIND(", ",$B26)+1)-2),"")</f>
        <v>Piibe Kerge</v>
      </c>
      <c r="U26" s="414">
        <f ca="1">IFERROR(INDEX(Üldreiting!$K:$K,MATCH(T26,Üldreiting!$I:$I,0)),"")</f>
        <v>14</v>
      </c>
      <c r="V26" s="413" t="str">
        <f t="shared" si="6"/>
        <v>Ülo Piik</v>
      </c>
      <c r="W26" s="414">
        <f ca="1">IFERROR(INDEX(Üldreiting!$K:$K,MATCH(V26,Üldreiting!$I:$I,0)),"")</f>
        <v>92.5</v>
      </c>
    </row>
    <row r="27" spans="1:23" s="30" customFormat="1" x14ac:dyDescent="0.2">
      <c r="A27" s="296">
        <v>3</v>
      </c>
      <c r="B27" s="122" t="s">
        <v>552</v>
      </c>
      <c r="C27" s="336">
        <v>1</v>
      </c>
      <c r="D27" s="32"/>
      <c r="E27" s="32">
        <v>13</v>
      </c>
      <c r="F27" s="314">
        <v>12</v>
      </c>
      <c r="G27" s="32" t="str">
        <f>IF(AND(COUNT(F25:F28)=2,F27=MAX(F25:F28),COUNT(C27:F27)=3),A24&amp;"2",IF(AND(COUNT(E25:E28)=2,ISNUMBER(E27),E27=MIN(E25:E28),D27="",F27=""),A24&amp;"4",IF(AND(COUNT(D25:D28)=2,D27=MAX(D25:D28),E27="",F27=""),A24&amp;"1",IF(COUNT(F25:F28)=2,A24&amp;"3",""))))</f>
        <v>D3</v>
      </c>
      <c r="H27" s="433" t="str">
        <f t="shared" si="9"/>
        <v/>
      </c>
      <c r="I27" s="79"/>
      <c r="M27" s="420">
        <f t="shared" ca="1" si="2"/>
        <v>33</v>
      </c>
      <c r="N27" s="413" t="str">
        <f t="shared" si="3"/>
        <v>Aivar Sein</v>
      </c>
      <c r="O27" s="414">
        <f ca="1">IFERROR(INDEX(Üldreiting!$K:$K,MATCH(N27,Üldreiting!$I:$I,0)),"")</f>
        <v>9</v>
      </c>
      <c r="P27" s="413" t="str">
        <f t="shared" si="4"/>
        <v>Marina Vallik</v>
      </c>
      <c r="Q27" s="414">
        <f ca="1">IFERROR(INDEX(Üldreiting!$K:$K,MATCH(P27,Üldreiting!$I:$I,0)),"")</f>
        <v>5</v>
      </c>
      <c r="R27" s="413" t="str">
        <f t="shared" si="5"/>
        <v>Vahur Raudsepp</v>
      </c>
      <c r="S27" s="414">
        <f ca="1">IFERROR(INDEX(Üldreiting!$K:$K,MATCH(R27,Üldreiting!$I:$I,0)),"")</f>
        <v>19</v>
      </c>
      <c r="T27" s="415" t="str">
        <f t="shared" ref="T27:T34" si="10">IFERROR(MID($B27,FIND(", ",$B27,FIND(", ",$B27)+1)+2,FIND(", ",$B27,FIND(", ",$B27,FIND(", ",$B27)+1)+1)-FIND(", ",$B27,FIND(", ",$B27)+1)-2),"")</f>
        <v/>
      </c>
      <c r="U27" s="414" t="str">
        <f>IFERROR(INDEX(Üldreiting!$K:$K,MATCH(T27,Üldreiting!$I:$I,0)),"")</f>
        <v/>
      </c>
      <c r="V27" s="413" t="str">
        <f t="shared" si="6"/>
        <v/>
      </c>
      <c r="W27" s="414" t="str">
        <f>IFERROR(INDEX(Üldreiting!$K:$K,MATCH(V27,Üldreiting!$I:$I,0)),"")</f>
        <v/>
      </c>
    </row>
    <row r="28" spans="1:23" s="30" customFormat="1" x14ac:dyDescent="0.2">
      <c r="A28" s="296">
        <v>4</v>
      </c>
      <c r="B28" s="123" t="s">
        <v>553</v>
      </c>
      <c r="C28" s="124">
        <v>6</v>
      </c>
      <c r="D28" s="124"/>
      <c r="E28" s="32">
        <v>5</v>
      </c>
      <c r="F28" s="314"/>
      <c r="G28" s="32" t="str">
        <f>IF(AND(COUNT(F25:F28)=2,F28=MAX(F25:F28),COUNT(C28:F28)=3),A24&amp;"2",IF(AND(COUNT(E25:E28)=2,ISNUMBER(E28),E28=MIN(E25:E28),D28="",F28=""),A24&amp;"4",IF(AND(COUNT(D25:D28)=2,D28=MAX(D25:D28),E28="",F28=""),A24&amp;"1",IF(COUNT(F25:F28)=2,A24&amp;"3",""))))</f>
        <v>D4</v>
      </c>
      <c r="H28" s="433" t="str">
        <f t="shared" si="9"/>
        <v/>
      </c>
      <c r="I28" s="79"/>
      <c r="M28" s="420">
        <f t="shared" ca="1" si="2"/>
        <v>9</v>
      </c>
      <c r="N28" s="413" t="str">
        <f t="shared" si="3"/>
        <v>Anti Alasi</v>
      </c>
      <c r="O28" s="414">
        <f ca="1">IFERROR(INDEX(Üldreiting!$K:$K,MATCH(N28,Üldreiting!$I:$I,0)),"")</f>
        <v>2</v>
      </c>
      <c r="P28" s="413" t="str">
        <f t="shared" si="4"/>
        <v>Marta Ruus</v>
      </c>
      <c r="Q28" s="414">
        <f ca="1">IFERROR(INDEX(Üldreiting!$K:$K,MATCH(P28,Üldreiting!$I:$I,0)),"")</f>
        <v>5</v>
      </c>
      <c r="R28" s="413" t="str">
        <f t="shared" si="5"/>
        <v>Valmar Pantšenko</v>
      </c>
      <c r="S28" s="414">
        <f ca="1">IFERROR(INDEX(Üldreiting!$K:$K,MATCH(R28,Üldreiting!$I:$I,0)),"")</f>
        <v>2</v>
      </c>
      <c r="T28" s="415" t="str">
        <f t="shared" si="10"/>
        <v/>
      </c>
      <c r="U28" s="414" t="str">
        <f>IFERROR(INDEX(Üldreiting!$K:$K,MATCH(T28,Üldreiting!$I:$I,0)),"")</f>
        <v/>
      </c>
      <c r="V28" s="413" t="str">
        <f t="shared" si="6"/>
        <v/>
      </c>
      <c r="W28" s="414" t="str">
        <f>IFERROR(INDEX(Üldreiting!$K:$K,MATCH(V28,Üldreiting!$I:$I,0)),"")</f>
        <v/>
      </c>
    </row>
    <row r="29" spans="1:23" x14ac:dyDescent="0.2">
      <c r="H29" s="434"/>
      <c r="M29" s="420"/>
      <c r="N29" s="424"/>
      <c r="O29" s="416"/>
      <c r="P29" s="416"/>
      <c r="Q29" s="416"/>
      <c r="R29" s="416"/>
      <c r="S29" s="416"/>
      <c r="T29" s="416"/>
      <c r="U29" s="418"/>
      <c r="V29" s="417"/>
      <c r="W29" s="418"/>
    </row>
    <row r="30" spans="1:23" s="30" customFormat="1" x14ac:dyDescent="0.2">
      <c r="A30" s="296" t="s">
        <v>276</v>
      </c>
      <c r="B30" s="351"/>
      <c r="C30" s="31" t="s">
        <v>232</v>
      </c>
      <c r="D30" s="296" t="s">
        <v>61</v>
      </c>
      <c r="E30" s="296" t="s">
        <v>62</v>
      </c>
      <c r="F30" s="31" t="s">
        <v>63</v>
      </c>
      <c r="G30" s="31" t="s">
        <v>19</v>
      </c>
      <c r="H30" s="434"/>
      <c r="I30" s="79"/>
      <c r="M30" s="420"/>
      <c r="N30" s="424"/>
      <c r="O30" s="416"/>
      <c r="P30" s="416"/>
      <c r="Q30" s="416"/>
      <c r="R30" s="416"/>
      <c r="S30" s="416"/>
      <c r="T30" s="416"/>
      <c r="U30" s="418"/>
      <c r="V30" s="417"/>
      <c r="W30" s="418"/>
    </row>
    <row r="31" spans="1:23" s="30" customFormat="1" x14ac:dyDescent="0.2">
      <c r="A31" s="296">
        <v>1</v>
      </c>
      <c r="B31" s="186" t="s">
        <v>554</v>
      </c>
      <c r="C31" s="124">
        <v>13</v>
      </c>
      <c r="D31" s="124">
        <v>13</v>
      </c>
      <c r="E31" s="32"/>
      <c r="F31" s="314"/>
      <c r="G31" s="32" t="str">
        <f>IF(AND(COUNT(F31:F34)=2,F31=MAX(F31:F34),COUNT(C31:F31)=3),A30&amp;"2",IF(AND(COUNT(E31:E34)=2,ISNUMBER(E31),E31=MIN(E31:E34),D31="",F31=""),A30&amp;"4",IF(AND(COUNT(D31:D34)=2,D31=MAX(D31:D34),E31="",F31=""),A30&amp;"1",IF(COUNT(F31:F34)=2,A30&amp;"3",""))))</f>
        <v>E1</v>
      </c>
      <c r="H31" s="432" t="str">
        <f>IF(OR(RIGHT(G31,1)="1",RIGHT(G31,1)="2"),"1/8 finaali","")</f>
        <v>1/8 finaali</v>
      </c>
      <c r="I31" s="79"/>
      <c r="M31" s="420">
        <f t="shared" ca="1" si="2"/>
        <v>205</v>
      </c>
      <c r="N31" s="413" t="str">
        <f t="shared" si="3"/>
        <v>Andero Kelu</v>
      </c>
      <c r="O31" s="414">
        <f ca="1">IFERROR(INDEX(Üldreiting!$K:$K,MATCH(N31,Üldreiting!$I:$I,0)),"")</f>
        <v>78</v>
      </c>
      <c r="P31" s="413" t="str">
        <f t="shared" si="4"/>
        <v>Kaido Kopel</v>
      </c>
      <c r="Q31" s="414">
        <f ca="1">IFERROR(INDEX(Üldreiting!$K:$K,MATCH(P31,Üldreiting!$I:$I,0)),"")</f>
        <v>107</v>
      </c>
      <c r="R31" s="413" t="str">
        <f t="shared" si="5"/>
        <v>Piret Kopel</v>
      </c>
      <c r="S31" s="414">
        <f ca="1">IFERROR(INDEX(Üldreiting!$K:$K,MATCH(R31,Üldreiting!$I:$I,0)),"")</f>
        <v>20</v>
      </c>
      <c r="T31" s="415" t="str">
        <f t="shared" si="10"/>
        <v/>
      </c>
      <c r="U31" s="414" t="str">
        <f>IFERROR(INDEX(Üldreiting!$K:$K,MATCH(T31,Üldreiting!$I:$I,0)),"")</f>
        <v/>
      </c>
      <c r="V31" s="413" t="str">
        <f t="shared" si="6"/>
        <v/>
      </c>
      <c r="W31" s="414" t="str">
        <f>IFERROR(INDEX(Üldreiting!$K:$K,MATCH(V31,Üldreiting!$I:$I,0)),"")</f>
        <v/>
      </c>
    </row>
    <row r="32" spans="1:23" s="30" customFormat="1" x14ac:dyDescent="0.2">
      <c r="A32" s="296">
        <v>2</v>
      </c>
      <c r="B32" s="122" t="s">
        <v>555</v>
      </c>
      <c r="C32" s="336">
        <v>13</v>
      </c>
      <c r="D32" s="124">
        <v>10</v>
      </c>
      <c r="E32" s="32" t="str">
        <f>IF(AND(B34="-",ISNUMBER(C32),C32&lt;C33),13,"")</f>
        <v/>
      </c>
      <c r="F32" s="314">
        <v>13</v>
      </c>
      <c r="G32" s="32" t="str">
        <f>IF(AND(COUNT(F31:F34)=2,F32=MAX(F31:F34),COUNT(C32:F32)=3),A30&amp;"2",IF(AND(COUNT(E31:E34)=2,ISNUMBER(E32),E32=MIN(E31:E34),D32="",F32=""),A30&amp;"4",IF(AND(COUNT(D31:D34)=2,D32=MAX(D31:D34),E32="",F32=""),A30&amp;"1",IF(COUNT(F31:F34)=2,A30&amp;"3",""))))</f>
        <v>E2</v>
      </c>
      <c r="H32" s="432" t="str">
        <f t="shared" ref="H32:H34" si="11">IF(OR(RIGHT(G32,1)="1",RIGHT(G32,1)="2"),"1/8 finaali","")</f>
        <v>1/8 finaali</v>
      </c>
      <c r="I32" s="79"/>
      <c r="M32" s="420">
        <f t="shared" ca="1" si="2"/>
        <v>258</v>
      </c>
      <c r="N32" s="413" t="str">
        <f t="shared" si="3"/>
        <v>Hardo Sokk</v>
      </c>
      <c r="O32" s="414">
        <f ca="1">IFERROR(INDEX(Üldreiting!$K:$K,MATCH(N32,Üldreiting!$I:$I,0)),"")</f>
        <v>102</v>
      </c>
      <c r="P32" s="413" t="str">
        <f t="shared" si="4"/>
        <v>Ivar Viljaste</v>
      </c>
      <c r="Q32" s="414">
        <f ca="1">IFERROR(INDEX(Üldreiting!$K:$K,MATCH(P32,Üldreiting!$I:$I,0)),"")</f>
        <v>97</v>
      </c>
      <c r="R32" s="413" t="str">
        <f t="shared" si="5"/>
        <v>Sirje Viljaste</v>
      </c>
      <c r="S32" s="414">
        <f ca="1">IFERROR(INDEX(Üldreiting!$K:$K,MATCH(R32,Üldreiting!$I:$I,0)),"")</f>
        <v>59</v>
      </c>
      <c r="T32" s="415" t="str">
        <f t="shared" si="10"/>
        <v/>
      </c>
      <c r="U32" s="414" t="str">
        <f>IFERROR(INDEX(Üldreiting!$K:$K,MATCH(T32,Üldreiting!$I:$I,0)),"")</f>
        <v/>
      </c>
      <c r="V32" s="413" t="str">
        <f t="shared" si="6"/>
        <v/>
      </c>
      <c r="W32" s="414" t="str">
        <f>IFERROR(INDEX(Üldreiting!$K:$K,MATCH(V32,Üldreiting!$I:$I,0)),"")</f>
        <v/>
      </c>
    </row>
    <row r="33" spans="1:23" s="30" customFormat="1" x14ac:dyDescent="0.2">
      <c r="A33" s="296">
        <v>3</v>
      </c>
      <c r="B33" s="122" t="s">
        <v>177</v>
      </c>
      <c r="C33" s="336">
        <v>2</v>
      </c>
      <c r="D33" s="32"/>
      <c r="E33" s="32">
        <v>13</v>
      </c>
      <c r="F33" s="314">
        <v>2</v>
      </c>
      <c r="G33" s="32" t="str">
        <f>IF(AND(COUNT(F31:F34)=2,F33=MAX(F31:F34),COUNT(C33:F33)=3),A30&amp;"2",IF(AND(COUNT(E31:E34)=2,ISNUMBER(E33),E33=MIN(E31:E34),D33="",F33=""),A30&amp;"4",IF(AND(COUNT(D31:D34)=2,D33=MAX(D31:D34),E33="",F33=""),A30&amp;"1",IF(COUNT(F31:F34)=2,A30&amp;"3",""))))</f>
        <v>E3</v>
      </c>
      <c r="H33" s="433" t="str">
        <f t="shared" si="11"/>
        <v/>
      </c>
      <c r="I33" s="79"/>
      <c r="M33" s="420">
        <f t="shared" ca="1" si="2"/>
        <v>71</v>
      </c>
      <c r="N33" s="413" t="str">
        <f t="shared" si="3"/>
        <v>Aarne Välja</v>
      </c>
      <c r="O33" s="414">
        <f ca="1">IFERROR(INDEX(Üldreiting!$K:$K,MATCH(N33,Üldreiting!$I:$I,0)),"")</f>
        <v>21</v>
      </c>
      <c r="P33" s="413" t="str">
        <f t="shared" si="4"/>
        <v>Andres Veski</v>
      </c>
      <c r="Q33" s="414">
        <f ca="1">IFERROR(INDEX(Üldreiting!$K:$K,MATCH(P33,Üldreiting!$I:$I,0)),"")</f>
        <v>25</v>
      </c>
      <c r="R33" s="413" t="str">
        <f t="shared" si="5"/>
        <v>Svetlana Veski</v>
      </c>
      <c r="S33" s="414">
        <f ca="1">IFERROR(INDEX(Üldreiting!$K:$K,MATCH(R33,Üldreiting!$I:$I,0)),"")</f>
        <v>25</v>
      </c>
      <c r="T33" s="415" t="str">
        <f t="shared" si="10"/>
        <v/>
      </c>
      <c r="U33" s="414" t="str">
        <f>IFERROR(INDEX(Üldreiting!$K:$K,MATCH(T33,Üldreiting!$I:$I,0)),"")</f>
        <v/>
      </c>
      <c r="V33" s="413" t="str">
        <f t="shared" si="6"/>
        <v/>
      </c>
      <c r="W33" s="414" t="str">
        <f>IFERROR(INDEX(Üldreiting!$K:$K,MATCH(V33,Üldreiting!$I:$I,0)),"")</f>
        <v/>
      </c>
    </row>
    <row r="34" spans="1:23" s="30" customFormat="1" x14ac:dyDescent="0.2">
      <c r="A34" s="296">
        <v>4</v>
      </c>
      <c r="B34" s="123" t="s">
        <v>216</v>
      </c>
      <c r="C34" s="124">
        <v>6</v>
      </c>
      <c r="D34" s="124"/>
      <c r="E34" s="32">
        <v>6</v>
      </c>
      <c r="F34" s="314"/>
      <c r="G34" s="32" t="str">
        <f>IF(AND(COUNT(F31:F34)=2,F34=MAX(F31:F34),COUNT(C34:F34)=3),A30&amp;"2",IF(AND(COUNT(E31:E34)=2,ISNUMBER(E34),E34=MIN(E31:E34),D34="",F34=""),A30&amp;"4",IF(AND(COUNT(D31:D34)=2,D34=MAX(D31:D34),E34="",F34=""),A30&amp;"1",IF(COUNT(F31:F34)=2,A30&amp;"3",""))))</f>
        <v>E4</v>
      </c>
      <c r="H34" s="433" t="str">
        <f t="shared" si="11"/>
        <v/>
      </c>
      <c r="I34" s="79"/>
      <c r="M34" s="420">
        <f t="shared" ca="1" si="2"/>
        <v>26</v>
      </c>
      <c r="N34" s="413" t="str">
        <f t="shared" si="3"/>
        <v>Aigar Lusbo</v>
      </c>
      <c r="O34" s="414">
        <f ca="1">IFERROR(INDEX(Üldreiting!$K:$K,MATCH(N34,Üldreiting!$I:$I,0)),"")</f>
        <v>13</v>
      </c>
      <c r="P34" s="413" t="str">
        <f t="shared" si="4"/>
        <v>Harry Lusbo</v>
      </c>
      <c r="Q34" s="414">
        <f ca="1">IFERROR(INDEX(Üldreiting!$K:$K,MATCH(P34,Üldreiting!$I:$I,0)),"")</f>
        <v>3</v>
      </c>
      <c r="R34" s="413" t="str">
        <f t="shared" si="5"/>
        <v>Merike Lusbo</v>
      </c>
      <c r="S34" s="414">
        <f ca="1">IFERROR(INDEX(Üldreiting!$K:$K,MATCH(R34,Üldreiting!$I:$I,0)),"")</f>
        <v>10</v>
      </c>
      <c r="T34" s="415" t="str">
        <f t="shared" si="10"/>
        <v/>
      </c>
      <c r="U34" s="414" t="str">
        <f>IFERROR(INDEX(Üldreiting!$K:$K,MATCH(T34,Üldreiting!$I:$I,0)),"")</f>
        <v/>
      </c>
      <c r="V34" s="413" t="str">
        <f t="shared" si="6"/>
        <v/>
      </c>
      <c r="W34" s="414" t="str">
        <f>IFERROR(INDEX(Üldreiting!$K:$K,MATCH(V34,Üldreiting!$I:$I,0)),"")</f>
        <v/>
      </c>
    </row>
    <row r="35" spans="1:23" s="30" customFormat="1" x14ac:dyDescent="0.2">
      <c r="A35" s="34"/>
      <c r="B35" s="38"/>
      <c r="C35" s="36"/>
      <c r="D35" s="36"/>
      <c r="E35" s="36"/>
      <c r="F35" s="36"/>
      <c r="G35" s="39"/>
      <c r="N35" s="412"/>
      <c r="O35" s="412"/>
      <c r="P35" s="412"/>
      <c r="Q35" s="412"/>
      <c r="R35" s="412"/>
      <c r="S35" s="412"/>
      <c r="T35" s="412"/>
      <c r="U35" s="412"/>
      <c r="V35" s="412"/>
      <c r="W35" s="412"/>
    </row>
    <row r="36" spans="1:23" s="42" customFormat="1" x14ac:dyDescent="0.2">
      <c r="A36" s="60" t="s">
        <v>90</v>
      </c>
      <c r="B36" s="45"/>
      <c r="C36" s="35"/>
      <c r="D36" s="35"/>
      <c r="E36" s="35"/>
      <c r="F36" s="36"/>
      <c r="G36" s="37"/>
    </row>
    <row r="37" spans="1:23" s="42" customFormat="1" x14ac:dyDescent="0.2"/>
    <row r="38" spans="1:23" s="42" customFormat="1" x14ac:dyDescent="0.2">
      <c r="A38" s="61" t="s">
        <v>69</v>
      </c>
      <c r="B38" s="310" t="str">
        <f>IFERROR(INDEX(B$7:B$34,MATCH(A38,G$7:G$34,0)),"")</f>
        <v>Janek Kiisk, Kadri Veljend, Marek Lehis</v>
      </c>
      <c r="C38" s="81">
        <f>IF(B38="-",0,IF(B40="-",13,""))</f>
        <v>13</v>
      </c>
    </row>
    <row r="39" spans="1:23" s="42" customFormat="1" x14ac:dyDescent="0.2">
      <c r="A39" s="43"/>
      <c r="B39" s="311"/>
      <c r="C39" s="126" t="str">
        <f>IF(COUNT(C38,C40)=2,IF(C38&gt;C40,B38,B40),"")</f>
        <v>Janek Kiisk, Kadri Veljend, Marek Lehis</v>
      </c>
      <c r="E39" s="81">
        <v>7</v>
      </c>
    </row>
    <row r="40" spans="1:23" s="42" customFormat="1" x14ac:dyDescent="0.2">
      <c r="A40" s="43" t="s">
        <v>81</v>
      </c>
      <c r="B40" s="312" t="str">
        <f>IFERROR(INDEX(B$7:B$34,MATCH(A40,G$7:G$34,0)),"")</f>
        <v>-</v>
      </c>
      <c r="C40" s="63">
        <f>IF(B40="-",0,IF(B38="-",13,""))</f>
        <v>0</v>
      </c>
      <c r="D40" s="345"/>
    </row>
    <row r="41" spans="1:23" s="42" customFormat="1" x14ac:dyDescent="0.2">
      <c r="A41" s="43"/>
      <c r="B41" s="313"/>
      <c r="D41" s="46"/>
      <c r="E41" s="126" t="str">
        <f>IF(COUNT(E39,E43)=2,IF(E39&gt;E43,C39,C43),"")</f>
        <v>Alari Keedus, Marek Kolk, Piibe Kerge, Ülo Piik</v>
      </c>
      <c r="G41" s="81">
        <v>1</v>
      </c>
    </row>
    <row r="42" spans="1:23" s="42" customFormat="1" x14ac:dyDescent="0.2">
      <c r="A42" s="43" t="s">
        <v>72</v>
      </c>
      <c r="B42" s="310" t="str">
        <f>IFERROR(INDEX(B$7:B$34,MATCH(A42,G$7:G$34,0)),"")</f>
        <v>Alari Keedus, Marek Kolk, Piibe Kerge, Ülo Piik</v>
      </c>
      <c r="C42" s="81">
        <f>IF(B42="-",0,IF(B44="-",13,""))</f>
        <v>13</v>
      </c>
      <c r="D42" s="46"/>
      <c r="E42" s="343"/>
      <c r="F42" s="345"/>
    </row>
    <row r="43" spans="1:23" s="42" customFormat="1" x14ac:dyDescent="0.2">
      <c r="A43" s="43"/>
      <c r="B43" s="311"/>
      <c r="C43" s="126" t="str">
        <f>IF(COUNT(C42,C44)=2,IF(C42&gt;C44,B42,B44),"")</f>
        <v>Alari Keedus, Marek Kolk, Piibe Kerge, Ülo Piik</v>
      </c>
      <c r="D43" s="50"/>
      <c r="E43" s="63">
        <v>13</v>
      </c>
      <c r="F43" s="46"/>
    </row>
    <row r="44" spans="1:23" s="42" customFormat="1" x14ac:dyDescent="0.2">
      <c r="A44" s="43" t="s">
        <v>81</v>
      </c>
      <c r="B44" s="312" t="str">
        <f>IFERROR(INDEX(B$7:B$34,MATCH(A44,G$7:G$34,0)),"")</f>
        <v>-</v>
      </c>
      <c r="C44" s="63">
        <f>IF(B44="-",0,IF(B42="-",13,""))</f>
        <v>0</v>
      </c>
      <c r="E44" s="45"/>
      <c r="F44" s="46"/>
    </row>
    <row r="45" spans="1:23" s="42" customFormat="1" x14ac:dyDescent="0.2">
      <c r="A45" s="52"/>
      <c r="B45" s="313"/>
      <c r="E45" s="45"/>
      <c r="F45" s="46"/>
      <c r="G45" s="42" t="str">
        <f>IF(COUNT(G41,G49)=2,IF(G41&gt;G49,E41,E49),"")</f>
        <v>Hardo Sokk, Ivar Viljaste, Sirje Viljaste</v>
      </c>
      <c r="I45" s="81">
        <v>1</v>
      </c>
    </row>
    <row r="46" spans="1:23" s="42" customFormat="1" x14ac:dyDescent="0.2">
      <c r="A46" s="61" t="s">
        <v>71</v>
      </c>
      <c r="B46" s="310" t="str">
        <f>IFERROR(INDEX(B$7:B$34,MATCH(A46,G$7:G$34,0)),"")</f>
        <v>Aigi Orro, Elmo Lageda, Kalle Orro</v>
      </c>
      <c r="C46" s="81">
        <f>IF(B46="-",0,IF(B48="-",13,""))</f>
        <v>13</v>
      </c>
      <c r="F46" s="46"/>
      <c r="G46" s="343"/>
      <c r="H46" s="345"/>
    </row>
    <row r="47" spans="1:23" s="42" customFormat="1" x14ac:dyDescent="0.2">
      <c r="A47" s="43"/>
      <c r="B47" s="311"/>
      <c r="C47" s="126" t="str">
        <f>IF(COUNT(C46,C48)=2,IF(C46&gt;C48,B46,B48),"")</f>
        <v>Aigi Orro, Elmo Lageda, Kalle Orro</v>
      </c>
      <c r="E47" s="81">
        <v>0</v>
      </c>
      <c r="F47" s="46"/>
      <c r="G47" s="45"/>
      <c r="H47" s="46"/>
    </row>
    <row r="48" spans="1:23" s="42" customFormat="1" x14ac:dyDescent="0.2">
      <c r="A48" s="43" t="s">
        <v>81</v>
      </c>
      <c r="B48" s="312" t="str">
        <f>IFERROR(INDEX(B$7:B$34,MATCH(A48,G$7:G$34,0)),"")</f>
        <v>-</v>
      </c>
      <c r="C48" s="63">
        <f>IF(B48="-",0,IF(B46="-",13,""))</f>
        <v>0</v>
      </c>
      <c r="D48" s="345"/>
      <c r="F48" s="46"/>
      <c r="G48" s="45"/>
      <c r="H48" s="46"/>
    </row>
    <row r="49" spans="1:11" s="42" customFormat="1" x14ac:dyDescent="0.2">
      <c r="A49" s="43"/>
      <c r="B49" s="313"/>
      <c r="D49" s="46"/>
      <c r="E49" s="126" t="str">
        <f>IF(COUNT(E47,E51)=2,IF(E47&gt;E51,C47,C51),"")</f>
        <v>Hardo Sokk, Ivar Viljaste, Sirje Viljaste</v>
      </c>
      <c r="F49" s="50"/>
      <c r="G49" s="63">
        <v>13</v>
      </c>
      <c r="H49" s="46"/>
    </row>
    <row r="50" spans="1:11" s="42" customFormat="1" x14ac:dyDescent="0.2">
      <c r="A50" s="43" t="s">
        <v>70</v>
      </c>
      <c r="B50" s="310" t="str">
        <f>IFERROR(INDEX(B$7:B$34,MATCH(A50,G$7:G$34,0)),"")</f>
        <v>Katri Aavekukk, Merike Aava, Thibaut Sergeï Mathon</v>
      </c>
      <c r="C50" s="81">
        <v>3</v>
      </c>
      <c r="D50" s="46"/>
      <c r="E50" s="343"/>
      <c r="F50" s="45"/>
      <c r="G50" s="45"/>
      <c r="H50" s="46"/>
    </row>
    <row r="51" spans="1:11" s="42" customFormat="1" x14ac:dyDescent="0.2">
      <c r="A51" s="43"/>
      <c r="B51" s="311"/>
      <c r="C51" s="126" t="str">
        <f>IF(COUNT(C50,C52)=2,IF(C50&gt;C52,B50,B52),"")</f>
        <v>Hardo Sokk, Ivar Viljaste, Sirje Viljaste</v>
      </c>
      <c r="D51" s="50"/>
      <c r="E51" s="63">
        <v>13</v>
      </c>
      <c r="G51" s="45"/>
      <c r="H51" s="46"/>
    </row>
    <row r="52" spans="1:11" s="42" customFormat="1" x14ac:dyDescent="0.2">
      <c r="A52" s="43" t="s">
        <v>93</v>
      </c>
      <c r="B52" s="312" t="str">
        <f>IFERROR(INDEX(B$7:B$34,MATCH(A52,G$7:G$34,0)),"")</f>
        <v>Hardo Sokk, Ivar Viljaste, Sirje Viljaste</v>
      </c>
      <c r="C52" s="63">
        <v>13</v>
      </c>
      <c r="E52" s="45"/>
      <c r="F52" s="45"/>
      <c r="G52" s="45"/>
      <c r="H52" s="46"/>
    </row>
    <row r="53" spans="1:11" s="42" customFormat="1" ht="13.5" thickBot="1" x14ac:dyDescent="0.25">
      <c r="A53" s="52"/>
      <c r="B53" s="313"/>
      <c r="G53" s="45"/>
      <c r="H53" s="46"/>
      <c r="J53" s="224" t="str">
        <f>IF(COUNT(I45,I61)=2,IF(I45&gt;I61,G45,G61),"")</f>
        <v>Kaarel Mikk, Mihkel Filipenko, Triin Gretel Tauk</v>
      </c>
    </row>
    <row r="54" spans="1:11" s="42" customFormat="1" x14ac:dyDescent="0.2">
      <c r="A54" s="61" t="s">
        <v>67</v>
      </c>
      <c r="B54" s="310" t="str">
        <f>IFERROR(INDEX(B$7:B$34,MATCH(A54,G$7:G$34,0)),"")</f>
        <v>Külli Kariste, Margus Berkmann, Veiko Proos</v>
      </c>
      <c r="C54" s="81">
        <f>IF(B54="-",0,IF(B56="-",13,""))</f>
        <v>13</v>
      </c>
      <c r="G54" s="45"/>
      <c r="H54" s="46"/>
      <c r="I54" s="48"/>
      <c r="J54" s="62" t="s">
        <v>277</v>
      </c>
      <c r="K54" s="49"/>
    </row>
    <row r="55" spans="1:11" s="42" customFormat="1" x14ac:dyDescent="0.2">
      <c r="A55" s="43"/>
      <c r="B55" s="311"/>
      <c r="C55" s="126" t="str">
        <f>IF(COUNT(C54,C56)=2,IF(C54&gt;C56,B54,B56),"")</f>
        <v>Külli Kariste, Margus Berkmann, Veiko Proos</v>
      </c>
      <c r="E55" s="81">
        <v>10</v>
      </c>
      <c r="G55" s="45"/>
      <c r="H55" s="46"/>
    </row>
    <row r="56" spans="1:11" s="42" customFormat="1" x14ac:dyDescent="0.2">
      <c r="A56" s="43" t="s">
        <v>81</v>
      </c>
      <c r="B56" s="312" t="str">
        <f>IFERROR(INDEX(B$7:B$34,MATCH(A56,G$7:G$34,0)),"")</f>
        <v>-</v>
      </c>
      <c r="C56" s="63">
        <f>IF(B56="-",0,IF(B54="-",13,""))</f>
        <v>0</v>
      </c>
      <c r="D56" s="345"/>
      <c r="G56" s="45"/>
      <c r="H56" s="46"/>
    </row>
    <row r="57" spans="1:11" s="42" customFormat="1" x14ac:dyDescent="0.2">
      <c r="A57" s="43"/>
      <c r="B57" s="313"/>
      <c r="D57" s="46"/>
      <c r="E57" s="126" t="str">
        <f>IF(COUNT(E55,E59)=2,IF(E55&gt;E59,C55,C59),"")</f>
        <v>Kaarel Mikk, Mihkel Filipenko, Triin Gretel Tauk</v>
      </c>
      <c r="G57" s="51">
        <v>13</v>
      </c>
      <c r="H57" s="46"/>
    </row>
    <row r="58" spans="1:11" s="42" customFormat="1" x14ac:dyDescent="0.2">
      <c r="A58" s="43" t="s">
        <v>73</v>
      </c>
      <c r="B58" s="310" t="str">
        <f>IFERROR(INDEX(B$7:B$34,MATCH(A58,G$7:G$34,0)),"")</f>
        <v>Kaarel Mikk, Mihkel Filipenko, Triin Gretel Tauk</v>
      </c>
      <c r="C58" s="81">
        <f>IF(B58="-",0,IF(B60="-",13,""))</f>
        <v>13</v>
      </c>
      <c r="D58" s="46"/>
      <c r="E58" s="343"/>
      <c r="F58" s="345"/>
      <c r="G58" s="45"/>
      <c r="H58" s="46"/>
    </row>
    <row r="59" spans="1:11" s="42" customFormat="1" x14ac:dyDescent="0.2">
      <c r="A59" s="43"/>
      <c r="B59" s="311"/>
      <c r="C59" s="126" t="str">
        <f>IF(COUNT(C58,C60)=2,IF(C58&gt;C60,B58,B60),"")</f>
        <v>Kaarel Mikk, Mihkel Filipenko, Triin Gretel Tauk</v>
      </c>
      <c r="D59" s="50"/>
      <c r="E59" s="63">
        <v>13</v>
      </c>
      <c r="F59" s="46"/>
      <c r="G59" s="45"/>
      <c r="H59" s="46"/>
    </row>
    <row r="60" spans="1:11" s="42" customFormat="1" x14ac:dyDescent="0.2">
      <c r="A60" s="43" t="s">
        <v>81</v>
      </c>
      <c r="B60" s="312" t="str">
        <f>IFERROR(INDEX(B$7:B$34,MATCH(A60,G$7:G$34,0)),"")</f>
        <v>-</v>
      </c>
      <c r="C60" s="63">
        <f>IF(B60="-",0,IF(B58="-",13,""))</f>
        <v>0</v>
      </c>
      <c r="E60" s="45"/>
      <c r="F60" s="46"/>
      <c r="G60" s="45"/>
      <c r="H60" s="46"/>
    </row>
    <row r="61" spans="1:11" s="42" customFormat="1" x14ac:dyDescent="0.2">
      <c r="A61" s="52"/>
      <c r="B61" s="313"/>
      <c r="E61" s="45"/>
      <c r="F61" s="46"/>
      <c r="G61" s="344" t="str">
        <f>IF(COUNT(G57,G65)=2,IF(G57&gt;G65,E57,E65),"")</f>
        <v>Kaarel Mikk, Mihkel Filipenko, Triin Gretel Tauk</v>
      </c>
      <c r="H61" s="50"/>
      <c r="I61" s="63">
        <v>13</v>
      </c>
    </row>
    <row r="62" spans="1:11" s="42" customFormat="1" ht="13.5" thickBot="1" x14ac:dyDescent="0.25">
      <c r="A62" s="61" t="s">
        <v>91</v>
      </c>
      <c r="B62" s="310" t="str">
        <f>IFERROR(INDEX(B$7:B$34,MATCH(A62,G$7:G$34,0)),"")</f>
        <v>Andero Kelu, Kaido Kopel, Piret Kopel</v>
      </c>
      <c r="C62" s="81">
        <f>IF(B62="-",0,IF(B64="-",13,""))</f>
        <v>13</v>
      </c>
      <c r="F62" s="46"/>
      <c r="G62" s="342"/>
      <c r="J62" s="224" t="str">
        <f>IF(COUNT(I45,I61)=2,IF(I45&lt;I61,G45,G61),"")</f>
        <v>Hardo Sokk, Ivar Viljaste, Sirje Viljaste</v>
      </c>
      <c r="K62" s="47"/>
    </row>
    <row r="63" spans="1:11" s="42" customFormat="1" x14ac:dyDescent="0.2">
      <c r="A63" s="43"/>
      <c r="B63" s="311"/>
      <c r="C63" s="126" t="str">
        <f>IF(COUNT(C62,C64)=2,IF(C62&gt;C64,B62,B64),"")</f>
        <v>Andero Kelu, Kaido Kopel, Piret Kopel</v>
      </c>
      <c r="E63" s="81">
        <v>13</v>
      </c>
      <c r="F63" s="46"/>
      <c r="G63" s="45"/>
      <c r="J63" s="62" t="s">
        <v>278</v>
      </c>
      <c r="K63" s="45"/>
    </row>
    <row r="64" spans="1:11" s="42" customFormat="1" x14ac:dyDescent="0.2">
      <c r="A64" s="43" t="s">
        <v>81</v>
      </c>
      <c r="B64" s="312" t="str">
        <f>IFERROR(INDEX(B$7:B$34,MATCH(A64,G$7:G$34,0)),"")</f>
        <v>-</v>
      </c>
      <c r="C64" s="63">
        <f>IF(B64="-",0,IF(B62="-",13,""))</f>
        <v>0</v>
      </c>
      <c r="D64" s="345"/>
      <c r="F64" s="46"/>
      <c r="G64" s="45"/>
    </row>
    <row r="65" spans="1:11" s="42" customFormat="1" x14ac:dyDescent="0.2">
      <c r="A65" s="43"/>
      <c r="B65" s="313"/>
      <c r="D65" s="46"/>
      <c r="E65" s="126" t="str">
        <f>IF(COUNT(E63,E67)=2,IF(E63&gt;E67,C63,C67),"")</f>
        <v>Andero Kelu, Kaido Kopel, Piret Kopel</v>
      </c>
      <c r="F65" s="50"/>
      <c r="G65" s="63">
        <v>10</v>
      </c>
    </row>
    <row r="66" spans="1:11" s="42" customFormat="1" x14ac:dyDescent="0.2">
      <c r="A66" s="43" t="s">
        <v>68</v>
      </c>
      <c r="B66" s="310" t="str">
        <f>IFERROR(INDEX(B$7:B$34,MATCH(A66,G$7:G$34,0)),"")</f>
        <v>Kalju Olmre, Mare Kingissepp, Silver Kingissepp</v>
      </c>
      <c r="C66" s="81">
        <v>9</v>
      </c>
      <c r="D66" s="46"/>
      <c r="E66" s="343"/>
      <c r="F66" s="45"/>
      <c r="G66" s="45"/>
    </row>
    <row r="67" spans="1:11" s="42" customFormat="1" x14ac:dyDescent="0.2">
      <c r="A67" s="43"/>
      <c r="B67" s="311"/>
      <c r="C67" s="126" t="str">
        <f>IF(COUNT(C66,C68)=2,IF(C66&gt;C68,B66,B68),"")</f>
        <v>Mait Metsla, Oskar Sepp, Rutt Voldek</v>
      </c>
      <c r="D67" s="50"/>
      <c r="E67" s="63">
        <v>6</v>
      </c>
      <c r="G67" s="45" t="str">
        <f>IF(COUNT(G41,G49)=2,IF(G41&lt;G49,E41,E49),"")</f>
        <v>Alari Keedus, Marek Kolk, Piibe Kerge, Ülo Piik</v>
      </c>
      <c r="I67" s="81">
        <v>2</v>
      </c>
    </row>
    <row r="68" spans="1:11" s="42" customFormat="1" ht="13.5" thickBot="1" x14ac:dyDescent="0.25">
      <c r="A68" s="43" t="s">
        <v>74</v>
      </c>
      <c r="B68" s="312" t="str">
        <f>IFERROR(INDEX(B$7:B$34,MATCH(A68,G$7:G$34,0)),"")</f>
        <v>Mait Metsla, Oskar Sepp, Rutt Voldek</v>
      </c>
      <c r="C68" s="63">
        <v>13</v>
      </c>
      <c r="E68" s="45"/>
      <c r="F68" s="45"/>
      <c r="G68" s="309"/>
      <c r="H68" s="345"/>
      <c r="I68" s="47"/>
      <c r="J68" s="224" t="str">
        <f>IF(COUNT(I67,I69)=2,IF(I67&gt;I69,G67,G69),"")</f>
        <v>Andero Kelu, Kaido Kopel, Piret Kopel</v>
      </c>
      <c r="K68" s="47"/>
    </row>
    <row r="69" spans="1:11" s="42" customFormat="1" x14ac:dyDescent="0.2">
      <c r="F69" s="45"/>
      <c r="G69" s="127" t="str">
        <f>IF(COUNT(G57,G65)=2,IF(G57&lt;G65,E57,E65),"")</f>
        <v>Andero Kelu, Kaido Kopel, Piret Kopel</v>
      </c>
      <c r="H69" s="50"/>
      <c r="I69" s="63">
        <v>13</v>
      </c>
      <c r="J69" s="53" t="s">
        <v>279</v>
      </c>
      <c r="K69" s="45"/>
    </row>
    <row r="70" spans="1:11" s="42" customFormat="1" x14ac:dyDescent="0.2">
      <c r="F70" s="45"/>
      <c r="J70" s="45"/>
      <c r="K70" s="45"/>
    </row>
    <row r="71" spans="1:11" s="42" customFormat="1" ht="13.5" thickBot="1" x14ac:dyDescent="0.25">
      <c r="F71" s="45"/>
      <c r="G71" s="45"/>
      <c r="H71" s="45"/>
      <c r="J71" s="224" t="str">
        <f>IF(COUNT(I67,I69)=2,IF(I67&lt;I69,G67,G69),"")</f>
        <v>Alari Keedus, Marek Kolk, Piibe Kerge, Ülo Piik</v>
      </c>
      <c r="K71" s="47"/>
    </row>
    <row r="72" spans="1:11" s="42" customFormat="1" x14ac:dyDescent="0.2">
      <c r="G72" s="45"/>
      <c r="H72" s="45"/>
      <c r="J72" s="52" t="s">
        <v>75</v>
      </c>
    </row>
    <row r="73" spans="1:11" s="42" customFormat="1" x14ac:dyDescent="0.2">
      <c r="G73" s="45"/>
      <c r="H73" s="45"/>
      <c r="J73" s="52"/>
    </row>
    <row r="74" spans="1:11" s="42" customFormat="1" x14ac:dyDescent="0.2">
      <c r="A74" s="64" t="s">
        <v>95</v>
      </c>
      <c r="G74" s="45"/>
      <c r="H74" s="45"/>
      <c r="J74" s="52"/>
    </row>
    <row r="75" spans="1:11" s="42" customFormat="1" x14ac:dyDescent="0.2">
      <c r="A75" s="125"/>
      <c r="G75" s="45"/>
      <c r="H75" s="45"/>
      <c r="J75" s="52"/>
    </row>
    <row r="76" spans="1:11" s="42" customFormat="1" x14ac:dyDescent="0.2">
      <c r="E76" s="127" t="str">
        <f>IF(COUNT(E39,E43)=2,IF(E39&lt;E43,C39,C43),"")</f>
        <v>Janek Kiisk, Kadri Veljend, Marek Lehis</v>
      </c>
      <c r="G76" s="81">
        <v>5</v>
      </c>
      <c r="H76" s="81"/>
      <c r="I76" s="81"/>
    </row>
    <row r="77" spans="1:11" s="42" customFormat="1" x14ac:dyDescent="0.2">
      <c r="E77" s="65"/>
      <c r="F77" s="66"/>
      <c r="G77" s="126" t="str">
        <f>IF(COUNT(G76,G78)=2,IF(G76&gt;G78,E76,E78),"")</f>
        <v>Aigi Orro, Elmo Lageda, Kalle Orro</v>
      </c>
      <c r="I77" s="81">
        <v>13</v>
      </c>
    </row>
    <row r="78" spans="1:11" s="42" customFormat="1" x14ac:dyDescent="0.2">
      <c r="E78" s="127" t="str">
        <f>IF(COUNT(E47,E51)=2,IF(E47&lt;E51,C47,C51),"")</f>
        <v>Aigi Orro, Elmo Lageda, Kalle Orro</v>
      </c>
      <c r="F78" s="67"/>
      <c r="G78" s="63">
        <v>13</v>
      </c>
      <c r="H78" s="66"/>
      <c r="I78" s="81"/>
    </row>
    <row r="79" spans="1:11" s="42" customFormat="1" ht="13.5" thickBot="1" x14ac:dyDescent="0.25">
      <c r="E79" s="81"/>
      <c r="F79" s="81"/>
      <c r="G79" s="51"/>
      <c r="H79" s="68"/>
      <c r="I79" s="81"/>
      <c r="J79" s="224" t="str">
        <f>IF(COUNT(I77,I81)=2,IF(I77&gt;I81,G77,G81),"")</f>
        <v>Aigi Orro, Elmo Lageda, Kalle Orro</v>
      </c>
    </row>
    <row r="80" spans="1:11" s="42" customFormat="1" x14ac:dyDescent="0.2">
      <c r="E80" s="127" t="str">
        <f>IF(COUNT(E55,E59)=2,IF(E55&lt;E59,C55,C59),"")</f>
        <v>Külli Kariste, Margus Berkmann, Veiko Proos</v>
      </c>
      <c r="F80" s="81"/>
      <c r="G80" s="81">
        <v>7</v>
      </c>
      <c r="H80" s="68"/>
      <c r="I80" s="69"/>
      <c r="J80" s="62" t="s">
        <v>76</v>
      </c>
      <c r="K80" s="49"/>
    </row>
    <row r="81" spans="5:11" s="42" customFormat="1" x14ac:dyDescent="0.2">
      <c r="E81" s="65"/>
      <c r="F81" s="66"/>
      <c r="G81" s="126" t="str">
        <f>IF(COUNT(G80,G82)=2,IF(G80&gt;G82,E80,E82),"")</f>
        <v>Mait Metsla, Oskar Sepp, Rutt Voldek</v>
      </c>
      <c r="H81" s="50"/>
      <c r="I81" s="63">
        <v>5</v>
      </c>
    </row>
    <row r="82" spans="5:11" s="42" customFormat="1" ht="13.5" thickBot="1" x14ac:dyDescent="0.25">
      <c r="E82" s="127" t="str">
        <f>IF(COUNT(E63,E67)=2,IF(E63&lt;E67,C63,C67),"")</f>
        <v>Mait Metsla, Oskar Sepp, Rutt Voldek</v>
      </c>
      <c r="F82" s="67"/>
      <c r="G82" s="63">
        <v>13</v>
      </c>
      <c r="H82" s="81"/>
      <c r="I82" s="51"/>
      <c r="J82" s="224" t="str">
        <f>IF(COUNT(I77,I81)=2,IF(I77&lt;I81,G77,G81),"")</f>
        <v>Mait Metsla, Oskar Sepp, Rutt Voldek</v>
      </c>
      <c r="K82" s="47"/>
    </row>
    <row r="83" spans="5:11" s="42" customFormat="1" x14ac:dyDescent="0.2">
      <c r="E83" s="81"/>
      <c r="F83" s="81"/>
      <c r="G83" s="81"/>
      <c r="H83" s="81"/>
      <c r="I83" s="51"/>
      <c r="J83" s="62" t="s">
        <v>77</v>
      </c>
      <c r="K83" s="45"/>
    </row>
    <row r="84" spans="5:11" s="42" customFormat="1" x14ac:dyDescent="0.2">
      <c r="E84" s="81"/>
      <c r="F84" s="51"/>
      <c r="G84" s="223" t="str">
        <f>IF(COUNT(G76,G78)=2,IF(G76&lt;G78,E76,E78),"")</f>
        <v>Janek Kiisk, Kadri Veljend, Marek Lehis</v>
      </c>
      <c r="I84" s="81">
        <v>13</v>
      </c>
      <c r="J84" s="45"/>
      <c r="K84" s="45"/>
    </row>
    <row r="85" spans="5:11" s="42" customFormat="1" ht="13.5" thickBot="1" x14ac:dyDescent="0.25">
      <c r="E85" s="81"/>
      <c r="F85" s="51"/>
      <c r="G85" s="309"/>
      <c r="H85" s="44"/>
      <c r="I85" s="47"/>
      <c r="J85" s="224" t="str">
        <f>IF(COUNT(I84,I86)=2,IF(I84&gt;I86,G84,G86),"")</f>
        <v>Janek Kiisk, Kadri Veljend, Marek Lehis</v>
      </c>
      <c r="K85" s="47"/>
    </row>
    <row r="86" spans="5:11" s="42" customFormat="1" x14ac:dyDescent="0.2">
      <c r="E86" s="81"/>
      <c r="F86" s="51"/>
      <c r="G86" s="127" t="str">
        <f>IF(COUNT(G80,G82)=2,IF(G80&lt;G82,E80,E82),"")</f>
        <v>Külli Kariste, Margus Berkmann, Veiko Proos</v>
      </c>
      <c r="H86" s="50"/>
      <c r="I86" s="63">
        <v>8</v>
      </c>
      <c r="J86" s="53" t="s">
        <v>78</v>
      </c>
      <c r="K86" s="45"/>
    </row>
    <row r="87" spans="5:11" s="42" customFormat="1" x14ac:dyDescent="0.2">
      <c r="F87" s="45"/>
      <c r="J87" s="45"/>
      <c r="K87" s="45"/>
    </row>
    <row r="88" spans="5:11" s="42" customFormat="1" ht="13.5" thickBot="1" x14ac:dyDescent="0.25">
      <c r="G88" s="45"/>
      <c r="H88" s="45"/>
      <c r="J88" s="47" t="str">
        <f>IF(COUNT(I84,I86)=2,IF(I84&lt;I86,G84,G86),"")</f>
        <v>Külli Kariste, Margus Berkmann, Veiko Proos</v>
      </c>
      <c r="K88" s="47"/>
    </row>
    <row r="89" spans="5:11" s="42" customFormat="1" x14ac:dyDescent="0.2">
      <c r="G89" s="45"/>
      <c r="H89" s="45"/>
      <c r="J89" s="53" t="s">
        <v>79</v>
      </c>
    </row>
    <row r="90" spans="5:11" s="82" customFormat="1" x14ac:dyDescent="0.2"/>
    <row r="91" spans="5:11" hidden="1" x14ac:dyDescent="0.2"/>
    <row r="92" spans="5:11" hidden="1" x14ac:dyDescent="0.2"/>
    <row r="93" spans="5:11" hidden="1" x14ac:dyDescent="0.2"/>
    <row r="94" spans="5:11" hidden="1" x14ac:dyDescent="0.2"/>
    <row r="95" spans="5:11" hidden="1" x14ac:dyDescent="0.2"/>
    <row r="96" spans="5:11" hidden="1" x14ac:dyDescent="0.2"/>
    <row r="97" spans="5:5" hidden="1" x14ac:dyDescent="0.2"/>
    <row r="98" spans="5:5" hidden="1" x14ac:dyDescent="0.2"/>
    <row r="99" spans="5:5" hidden="1" x14ac:dyDescent="0.2"/>
    <row r="100" spans="5:5" hidden="1" x14ac:dyDescent="0.2"/>
    <row r="101" spans="5:5" hidden="1" x14ac:dyDescent="0.2"/>
    <row r="102" spans="5:5" hidden="1" x14ac:dyDescent="0.2"/>
    <row r="103" spans="5:5" hidden="1" x14ac:dyDescent="0.2"/>
    <row r="104" spans="5:5" hidden="1" x14ac:dyDescent="0.2">
      <c r="E104" s="319"/>
    </row>
    <row r="105" spans="5:5" hidden="1" x14ac:dyDescent="0.2"/>
    <row r="106" spans="5:5" hidden="1" x14ac:dyDescent="0.2"/>
    <row r="107" spans="5:5" hidden="1" x14ac:dyDescent="0.2"/>
    <row r="108" spans="5:5" hidden="1" x14ac:dyDescent="0.2"/>
    <row r="109" spans="5:5" hidden="1" x14ac:dyDescent="0.2"/>
    <row r="110" spans="5:5" hidden="1" x14ac:dyDescent="0.2"/>
    <row r="111" spans="5:5" hidden="1" x14ac:dyDescent="0.2"/>
    <row r="112" spans="5:5"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47" t="s">
        <v>577</v>
      </c>
    </row>
    <row r="300" spans="1:3" x14ac:dyDescent="0.2">
      <c r="A300" s="54">
        <v>1</v>
      </c>
      <c r="B300" s="129" t="str">
        <f t="shared" ref="B300:B307" si="12">IFERROR(INDEX(J$53:J$88,MATCH(A300&amp;". koht",J$54:J$89,0)),"")</f>
        <v>Kaarel Mikk, Mihkel Filipenko, Triin Gretel Tauk</v>
      </c>
      <c r="C300" s="347">
        <v>25</v>
      </c>
    </row>
    <row r="301" spans="1:3" x14ac:dyDescent="0.2">
      <c r="A301" s="54">
        <v>2</v>
      </c>
      <c r="B301" s="56" t="str">
        <f t="shared" si="12"/>
        <v>Hardo Sokk, Ivar Viljaste, Sirje Viljaste</v>
      </c>
      <c r="C301" s="347">
        <v>20</v>
      </c>
    </row>
    <row r="302" spans="1:3" x14ac:dyDescent="0.2">
      <c r="A302" s="54">
        <v>3</v>
      </c>
      <c r="B302" s="57" t="str">
        <f t="shared" si="12"/>
        <v>Andero Kelu, Kaido Kopel, Piret Kopel</v>
      </c>
      <c r="C302" s="347">
        <v>16</v>
      </c>
    </row>
    <row r="303" spans="1:3" x14ac:dyDescent="0.2">
      <c r="A303" s="54">
        <v>4</v>
      </c>
      <c r="B303" s="58" t="str">
        <f t="shared" si="12"/>
        <v>Alari Keedus, Marek Kolk, Piibe Kerge, Ülo Piik</v>
      </c>
      <c r="C303" s="347">
        <v>12</v>
      </c>
    </row>
    <row r="304" spans="1:3" x14ac:dyDescent="0.2">
      <c r="A304" s="54">
        <v>5</v>
      </c>
      <c r="B304" s="58" t="str">
        <f t="shared" si="12"/>
        <v>Aigi Orro, Elmo Lageda, Kalle Orro</v>
      </c>
      <c r="C304" s="347">
        <v>9</v>
      </c>
    </row>
    <row r="305" spans="1:3" x14ac:dyDescent="0.2">
      <c r="A305" s="54">
        <v>6</v>
      </c>
      <c r="B305" s="58" t="str">
        <f t="shared" si="12"/>
        <v>Mait Metsla, Oskar Sepp, Rutt Voldek</v>
      </c>
      <c r="C305" s="347">
        <v>7</v>
      </c>
    </row>
    <row r="306" spans="1:3" x14ac:dyDescent="0.2">
      <c r="A306" s="54">
        <v>7</v>
      </c>
      <c r="B306" s="58" t="str">
        <f t="shared" si="12"/>
        <v>Janek Kiisk, Kadri Veljend, Marek Lehis</v>
      </c>
      <c r="C306" s="347">
        <v>5</v>
      </c>
    </row>
    <row r="307" spans="1:3" x14ac:dyDescent="0.2">
      <c r="A307" s="54">
        <v>8</v>
      </c>
      <c r="B307" s="58" t="str">
        <f t="shared" si="12"/>
        <v>Külli Kariste, Margus Berkmann, Veiko Proos</v>
      </c>
      <c r="C307" s="347">
        <v>4</v>
      </c>
    </row>
    <row r="308" spans="1:3" x14ac:dyDescent="0.2">
      <c r="A308" s="59" t="s">
        <v>96</v>
      </c>
      <c r="B308" s="122" t="s">
        <v>546</v>
      </c>
      <c r="C308" s="347">
        <v>2</v>
      </c>
    </row>
    <row r="309" spans="1:3" x14ac:dyDescent="0.2">
      <c r="A309" s="59" t="s">
        <v>96</v>
      </c>
      <c r="B309" s="122" t="s">
        <v>557</v>
      </c>
      <c r="C309" s="347">
        <v>2</v>
      </c>
    </row>
    <row r="310" spans="1:3" x14ac:dyDescent="0.2">
      <c r="A310" s="59" t="s">
        <v>556</v>
      </c>
      <c r="B310" s="122" t="s">
        <v>177</v>
      </c>
      <c r="C310" s="347">
        <v>2</v>
      </c>
    </row>
    <row r="311" spans="1:3" x14ac:dyDescent="0.2">
      <c r="A311" s="59" t="s">
        <v>556</v>
      </c>
      <c r="B311" s="123" t="s">
        <v>216</v>
      </c>
      <c r="C311" s="347">
        <v>2</v>
      </c>
    </row>
    <row r="312" spans="1:3" x14ac:dyDescent="0.2">
      <c r="A312" s="59" t="s">
        <v>556</v>
      </c>
      <c r="B312" s="122" t="s">
        <v>552</v>
      </c>
      <c r="C312" s="347">
        <v>2</v>
      </c>
    </row>
    <row r="313" spans="1:3" x14ac:dyDescent="0.2">
      <c r="A313" s="59" t="s">
        <v>556</v>
      </c>
      <c r="B313" s="123" t="s">
        <v>553</v>
      </c>
      <c r="C313" s="347">
        <v>2</v>
      </c>
    </row>
    <row r="314" spans="1:3" x14ac:dyDescent="0.2">
      <c r="A314" s="59" t="s">
        <v>556</v>
      </c>
      <c r="B314" s="122" t="s">
        <v>545</v>
      </c>
      <c r="C314" s="347">
        <v>2</v>
      </c>
    </row>
    <row r="315" spans="1:3" x14ac:dyDescent="0.2">
      <c r="A315" s="59" t="s">
        <v>556</v>
      </c>
      <c r="B315" s="122" t="s">
        <v>547</v>
      </c>
      <c r="C315" s="347">
        <v>2</v>
      </c>
    </row>
    <row r="316" spans="1:3" x14ac:dyDescent="0.2">
      <c r="A316" s="59" t="s">
        <v>556</v>
      </c>
      <c r="B316" s="122" t="s">
        <v>548</v>
      </c>
      <c r="C316" s="347">
        <v>2</v>
      </c>
    </row>
    <row r="317" spans="1:3" x14ac:dyDescent="0.2">
      <c r="B317" s="319"/>
    </row>
  </sheetData>
  <conditionalFormatting sqref="B7:B10">
    <cfRule type="duplicateValues" dxfId="1767" priority="557"/>
  </conditionalFormatting>
  <conditionalFormatting sqref="B31:B34">
    <cfRule type="duplicateValues" dxfId="1766" priority="444"/>
  </conditionalFormatting>
  <conditionalFormatting sqref="B25:B28">
    <cfRule type="duplicateValues" dxfId="1765" priority="416"/>
  </conditionalFormatting>
  <conditionalFormatting sqref="B19:B22">
    <cfRule type="duplicateValues" dxfId="1764" priority="388"/>
  </conditionalFormatting>
  <conditionalFormatting sqref="B13:B16">
    <cfRule type="duplicateValues" dxfId="1763" priority="360"/>
  </conditionalFormatting>
  <conditionalFormatting sqref="B300:B316">
    <cfRule type="containsBlanks" dxfId="1762" priority="254">
      <formula>LEN(TRIM(B300))=0</formula>
    </cfRule>
    <cfRule type="duplicateValues" dxfId="1761" priority="295"/>
  </conditionalFormatting>
  <conditionalFormatting sqref="A38:A68">
    <cfRule type="cellIs" dxfId="1760" priority="253" operator="equal">
      <formula>"-"</formula>
    </cfRule>
    <cfRule type="duplicateValues" dxfId="1759" priority="289"/>
  </conditionalFormatting>
  <conditionalFormatting sqref="G76 G78">
    <cfRule type="aboveAverage" dxfId="1758" priority="288"/>
  </conditionalFormatting>
  <conditionalFormatting sqref="G80 G82">
    <cfRule type="aboveAverage" dxfId="1757" priority="287"/>
  </conditionalFormatting>
  <conditionalFormatting sqref="I77 I81">
    <cfRule type="aboveAverage" dxfId="1756" priority="286"/>
  </conditionalFormatting>
  <conditionalFormatting sqref="I84 I86">
    <cfRule type="aboveAverage" dxfId="1755" priority="285"/>
  </conditionalFormatting>
  <conditionalFormatting sqref="G76 G78 G80 G82 I77 I81 I84 I86">
    <cfRule type="containsBlanks" dxfId="1754" priority="284">
      <formula>LEN(TRIM(G76))=0</formula>
    </cfRule>
  </conditionalFormatting>
  <conditionalFormatting sqref="E39 E43">
    <cfRule type="aboveAverage" dxfId="1753" priority="281"/>
  </conditionalFormatting>
  <conditionalFormatting sqref="C50 C52">
    <cfRule type="aboveAverage" dxfId="1752" priority="279"/>
  </conditionalFormatting>
  <conditionalFormatting sqref="E47 E51">
    <cfRule type="aboveAverage" dxfId="1751" priority="278"/>
  </conditionalFormatting>
  <conditionalFormatting sqref="G41 G49">
    <cfRule type="aboveAverage" dxfId="1750" priority="277"/>
  </conditionalFormatting>
  <conditionalFormatting sqref="E55 E59">
    <cfRule type="aboveAverage" dxfId="1749" priority="274"/>
  </conditionalFormatting>
  <conditionalFormatting sqref="C66 C68">
    <cfRule type="aboveAverage" dxfId="1748" priority="272"/>
  </conditionalFormatting>
  <conditionalFormatting sqref="E63 E67">
    <cfRule type="aboveAverage" dxfId="1747" priority="271"/>
  </conditionalFormatting>
  <conditionalFormatting sqref="G57 G65">
    <cfRule type="aboveAverage" dxfId="1746" priority="270"/>
  </conditionalFormatting>
  <conditionalFormatting sqref="I45 I61">
    <cfRule type="aboveAverage" dxfId="1745" priority="269"/>
  </conditionalFormatting>
  <conditionalFormatting sqref="I67 I69">
    <cfRule type="aboveAverage" dxfId="1744" priority="268"/>
  </conditionalFormatting>
  <conditionalFormatting sqref="C50 C52 C66 C68 E39 E43 E47 E51 E55 E59 E63 E67 G41 G49 G57 G65 I45 I61 I67 I69">
    <cfRule type="containsBlanks" dxfId="1743" priority="267">
      <formula>LEN(TRIM(C39))=0</formula>
    </cfRule>
  </conditionalFormatting>
  <conditionalFormatting sqref="C38 C40">
    <cfRule type="aboveAverage" dxfId="1742" priority="266"/>
  </conditionalFormatting>
  <conditionalFormatting sqref="C38 C40">
    <cfRule type="containsBlanks" dxfId="1741" priority="265">
      <formula>LEN(TRIM(C38))=0</formula>
    </cfRule>
  </conditionalFormatting>
  <conditionalFormatting sqref="C42 C44">
    <cfRule type="aboveAverage" dxfId="1740" priority="264"/>
  </conditionalFormatting>
  <conditionalFormatting sqref="C42 C44">
    <cfRule type="containsBlanks" dxfId="1739" priority="263">
      <formula>LEN(TRIM(C42))=0</formula>
    </cfRule>
  </conditionalFormatting>
  <conditionalFormatting sqref="C46 C48">
    <cfRule type="aboveAverage" dxfId="1738" priority="262"/>
  </conditionalFormatting>
  <conditionalFormatting sqref="C46 C48">
    <cfRule type="containsBlanks" dxfId="1737" priority="261">
      <formula>LEN(TRIM(C46))=0</formula>
    </cfRule>
  </conditionalFormatting>
  <conditionalFormatting sqref="C54 C56">
    <cfRule type="aboveAverage" dxfId="1736" priority="260"/>
  </conditionalFormatting>
  <conditionalFormatting sqref="C54 C56">
    <cfRule type="containsBlanks" dxfId="1735" priority="259">
      <formula>LEN(TRIM(C54))=0</formula>
    </cfRule>
  </conditionalFormatting>
  <conditionalFormatting sqref="C58 C60">
    <cfRule type="aboveAverage" dxfId="1734" priority="258"/>
  </conditionalFormatting>
  <conditionalFormatting sqref="C58 C60">
    <cfRule type="containsBlanks" dxfId="1733" priority="257">
      <formula>LEN(TRIM(C58))=0</formula>
    </cfRule>
  </conditionalFormatting>
  <conditionalFormatting sqref="C62 C64">
    <cfRule type="aboveAverage" dxfId="1732" priority="256"/>
  </conditionalFormatting>
  <conditionalFormatting sqref="C62 C64">
    <cfRule type="containsBlanks" dxfId="1731" priority="255">
      <formula>LEN(TRIM(C62))=0</formula>
    </cfRule>
  </conditionalFormatting>
  <conditionalFormatting sqref="R7:R34">
    <cfRule type="expression" dxfId="1730" priority="216">
      <formula>AND(S7="",FIND(",",R7))</formula>
    </cfRule>
    <cfRule type="expression" dxfId="1729" priority="237">
      <formula>AND(S7="",COUNTIF(R7,"*,*")=0)</formula>
    </cfRule>
  </conditionalFormatting>
  <conditionalFormatting sqref="T7:T34">
    <cfRule type="expression" dxfId="1728" priority="221">
      <formula>AND(U7="",COUNTIF(T7,"*,*")=0)</formula>
    </cfRule>
  </conditionalFormatting>
  <conditionalFormatting sqref="V7:V10 V13:V16 V19:V22 V25:V28 V31:V34">
    <cfRule type="expression" dxfId="1727" priority="220">
      <formula>AND(W7="",COUNTIF(V7,"*,*")=0)</formula>
    </cfRule>
  </conditionalFormatting>
  <conditionalFormatting sqref="P7:P34">
    <cfRule type="expression" dxfId="1726" priority="219">
      <formula>AND(Q7="",COUNTIF(P7,"*,*")=0)</formula>
    </cfRule>
  </conditionalFormatting>
  <conditionalFormatting sqref="N7:N34">
    <cfRule type="expression" dxfId="1725" priority="218">
      <formula>AND(O7="",COUNTIF(N7,"*,*")=0)</formula>
    </cfRule>
  </conditionalFormatting>
  <conditionalFormatting sqref="G7:G10">
    <cfRule type="containsText" dxfId="1724" priority="200" operator="containsText" text="2">
      <formula>NOT(ISERROR(SEARCH("2",G7)))</formula>
    </cfRule>
    <cfRule type="containsText" dxfId="1723" priority="201" operator="containsText" text="1">
      <formula>NOT(ISERROR(SEARCH("1",G7)))</formula>
    </cfRule>
  </conditionalFormatting>
  <conditionalFormatting sqref="G10">
    <cfRule type="expression" dxfId="1722" priority="199">
      <formula>B10="-"</formula>
    </cfRule>
  </conditionalFormatting>
  <conditionalFormatting sqref="C7 C10">
    <cfRule type="aboveAverage" dxfId="1721" priority="198"/>
  </conditionalFormatting>
  <conditionalFormatting sqref="C8:C9">
    <cfRule type="aboveAverage" dxfId="1720" priority="197"/>
  </conditionalFormatting>
  <conditionalFormatting sqref="G13:G16">
    <cfRule type="containsText" dxfId="1719" priority="176" operator="containsText" text="2">
      <formula>NOT(ISERROR(SEARCH("2",G13)))</formula>
    </cfRule>
    <cfRule type="containsText" dxfId="1718" priority="177" operator="containsText" text="1">
      <formula>NOT(ISERROR(SEARCH("1",G13)))</formula>
    </cfRule>
  </conditionalFormatting>
  <conditionalFormatting sqref="G16">
    <cfRule type="expression" dxfId="1717" priority="175">
      <formula>B16="-"</formula>
    </cfRule>
  </conditionalFormatting>
  <conditionalFormatting sqref="C13 C16">
    <cfRule type="aboveAverage" dxfId="1716" priority="174"/>
  </conditionalFormatting>
  <conditionalFormatting sqref="C14:C15">
    <cfRule type="aboveAverage" dxfId="1715" priority="173"/>
  </conditionalFormatting>
  <conditionalFormatting sqref="G19:G22">
    <cfRule type="containsText" dxfId="1714" priority="152" operator="containsText" text="2">
      <formula>NOT(ISERROR(SEARCH("2",G19)))</formula>
    </cfRule>
    <cfRule type="containsText" dxfId="1713" priority="153" operator="containsText" text="1">
      <formula>NOT(ISERROR(SEARCH("1",G19)))</formula>
    </cfRule>
  </conditionalFormatting>
  <conditionalFormatting sqref="G22">
    <cfRule type="expression" dxfId="1712" priority="151">
      <formula>B22="-"</formula>
    </cfRule>
  </conditionalFormatting>
  <conditionalFormatting sqref="C19 C22">
    <cfRule type="aboveAverage" dxfId="1711" priority="150"/>
  </conditionalFormatting>
  <conditionalFormatting sqref="C20:C21">
    <cfRule type="aboveAverage" dxfId="1710" priority="149"/>
  </conditionalFormatting>
  <conditionalFormatting sqref="G25:G28">
    <cfRule type="containsText" dxfId="1709" priority="128" operator="containsText" text="2">
      <formula>NOT(ISERROR(SEARCH("2",G25)))</formula>
    </cfRule>
    <cfRule type="containsText" dxfId="1708" priority="129" operator="containsText" text="1">
      <formula>NOT(ISERROR(SEARCH("1",G25)))</formula>
    </cfRule>
  </conditionalFormatting>
  <conditionalFormatting sqref="G28">
    <cfRule type="expression" dxfId="1707" priority="127">
      <formula>B28="-"</formula>
    </cfRule>
  </conditionalFormatting>
  <conditionalFormatting sqref="C25 C28">
    <cfRule type="aboveAverage" dxfId="1706" priority="126"/>
  </conditionalFormatting>
  <conditionalFormatting sqref="C26:C27">
    <cfRule type="aboveAverage" dxfId="1705" priority="125"/>
  </conditionalFormatting>
  <conditionalFormatting sqref="G31:G34">
    <cfRule type="containsText" dxfId="1704" priority="104" operator="containsText" text="2">
      <formula>NOT(ISERROR(SEARCH("2",G31)))</formula>
    </cfRule>
    <cfRule type="containsText" dxfId="1703" priority="105" operator="containsText" text="1">
      <formula>NOT(ISERROR(SEARCH("1",G31)))</formula>
    </cfRule>
  </conditionalFormatting>
  <conditionalFormatting sqref="G34">
    <cfRule type="expression" dxfId="1702" priority="103">
      <formula>B34="-"</formula>
    </cfRule>
  </conditionalFormatting>
  <conditionalFormatting sqref="C31 C34">
    <cfRule type="aboveAverage" dxfId="1701" priority="102"/>
  </conditionalFormatting>
  <conditionalFormatting sqref="C32:C33">
    <cfRule type="aboveAverage" dxfId="1700" priority="101"/>
  </conditionalFormatting>
  <conditionalFormatting sqref="E10">
    <cfRule type="expression" dxfId="1699" priority="95">
      <formula>AND(COUNT(E7:E10)&lt;2,IF(ISNUMBER(C10),C7&gt;C10))</formula>
    </cfRule>
  </conditionalFormatting>
  <conditionalFormatting sqref="E7">
    <cfRule type="expression" dxfId="1698" priority="94">
      <formula>AND(COUNT(E7:E10)&lt;2,IF(ISNUMBER(C7),C10&gt;C7))</formula>
    </cfRule>
  </conditionalFormatting>
  <conditionalFormatting sqref="E8">
    <cfRule type="expression" dxfId="1697" priority="93">
      <formula>AND(COUNT(E7:E10)&lt;2,IF(ISNUMBER(C8),C9&gt;C8))</formula>
    </cfRule>
  </conditionalFormatting>
  <conditionalFormatting sqref="E9">
    <cfRule type="expression" dxfId="1696" priority="92">
      <formula>AND(COUNT(E7:E10)&lt;2,IF(ISNUMBER(C9),C8&gt;C9))</formula>
    </cfRule>
  </conditionalFormatting>
  <conditionalFormatting sqref="E7:E10">
    <cfRule type="aboveAverage" dxfId="1695" priority="91"/>
  </conditionalFormatting>
  <conditionalFormatting sqref="F7">
    <cfRule type="expression" dxfId="1694" priority="86">
      <formula>AND(COUNT(F7:F10)&lt;2,IF(COUNT(E7:E10)=2,IF(AND(ISNUMBER(E7),COUNTIF(E7:E10,E7)=1,E7=MAX(E7:E10)),TRUE,FALSE)))</formula>
    </cfRule>
    <cfRule type="expression" dxfId="1693" priority="90">
      <formula>AND(COUNT(F7:F10)&lt;2,IF(COUNT(D7:D10)=2,IF(AND(ISNUMBER(D7),COUNTIF(D7:D10,D7)=1,D7=MIN(D7:D10)),TRUE,FALSE)))</formula>
    </cfRule>
  </conditionalFormatting>
  <conditionalFormatting sqref="F8">
    <cfRule type="expression" dxfId="1692" priority="85">
      <formula>AND(COUNT(F7:F10)&lt;2,IF(COUNT(E7:E10)=2,IF(AND(ISNUMBER(E8),COUNTIF(E7:E10,E8)=1,E8=MAX(E7:E10)),TRUE,FALSE)))</formula>
    </cfRule>
    <cfRule type="expression" dxfId="1691" priority="89">
      <formula>AND(COUNT(F7:F10)&lt;2,IF(COUNT(D7:D10)=2,IF(AND(ISNUMBER(D8),COUNTIF(D7:D10,D8)=1,D8=MIN(D7:D10)),TRUE,FALSE)))</formula>
    </cfRule>
  </conditionalFormatting>
  <conditionalFormatting sqref="F9">
    <cfRule type="expression" dxfId="1690" priority="84">
      <formula>AND(COUNT(F7:F10)&lt;2,IF(COUNT(E7:E10)=2,IF(AND(ISNUMBER(E9),COUNTIF(E7:E10,E9)=1,E9=MAX(E7:E10)),TRUE,FALSE)))</formula>
    </cfRule>
    <cfRule type="expression" dxfId="1689" priority="88">
      <formula>AND(COUNT(F7:F10)&lt;2,IF(COUNT(D7:D10)=2,IF(AND(ISNUMBER(D9),COUNTIF(D7:D10,D9)=1,D9=MIN(D7:D10)),TRUE,FALSE)))</formula>
    </cfRule>
  </conditionalFormatting>
  <conditionalFormatting sqref="F10">
    <cfRule type="expression" dxfId="1688" priority="83">
      <formula>AND(COUNT(F7:F10)&lt;2,IF(COUNT(E7:E10)=2,IF(AND(ISNUMBER(E10),COUNTIF(E7:E10,E10)=1,E10=MAX(E7:E10)),TRUE,FALSE)))</formula>
    </cfRule>
    <cfRule type="expression" dxfId="1687" priority="87">
      <formula>AND(COUNT(F7:F10)&lt;2,IF(COUNT(D7:D10)=2,IF(AND(ISNUMBER(D10),COUNTIF(D7:D10,D10)=1,D10=MIN(D7:D10)),TRUE,FALSE)))</formula>
    </cfRule>
  </conditionalFormatting>
  <conditionalFormatting sqref="F7:F10">
    <cfRule type="aboveAverage" dxfId="1686" priority="82"/>
  </conditionalFormatting>
  <conditionalFormatting sqref="D7">
    <cfRule type="expression" dxfId="1685" priority="81">
      <formula>AND(COUNT(D7:D10)&lt;2,IF(ISNUMBER(C10),C7&gt;C10))</formula>
    </cfRule>
  </conditionalFormatting>
  <conditionalFormatting sqref="D8">
    <cfRule type="expression" dxfId="1684" priority="80">
      <formula>AND(COUNT(D7:D10)&lt;2,IF(ISNUMBER(C9),C8&gt;C9))</formula>
    </cfRule>
  </conditionalFormatting>
  <conditionalFormatting sqref="D9">
    <cfRule type="expression" dxfId="1683" priority="79">
      <formula>AND(COUNT(D7:D10)&lt;2,IF(ISNUMBER(C8),C9&gt;C8))</formula>
    </cfRule>
  </conditionalFormatting>
  <conditionalFormatting sqref="D10">
    <cfRule type="expression" dxfId="1682" priority="78">
      <formula>AND(COUNT(D7:D10)&lt;2,IF(ISNUMBER(C7),C10&gt;C7))</formula>
    </cfRule>
  </conditionalFormatting>
  <conditionalFormatting sqref="D7:D10">
    <cfRule type="aboveAverage" dxfId="1681" priority="77"/>
  </conditionalFormatting>
  <conditionalFormatting sqref="E16">
    <cfRule type="expression" dxfId="1680" priority="76">
      <formula>AND(COUNT(E13:E16)&lt;2,IF(ISNUMBER(C16),C13&gt;C16))</formula>
    </cfRule>
  </conditionalFormatting>
  <conditionalFormatting sqref="E13">
    <cfRule type="expression" dxfId="1679" priority="75">
      <formula>AND(COUNT(E13:E16)&lt;2,IF(ISNUMBER(C13),C16&gt;C13))</formula>
    </cfRule>
  </conditionalFormatting>
  <conditionalFormatting sqref="E14">
    <cfRule type="expression" dxfId="1678" priority="74">
      <formula>AND(COUNT(E13:E16)&lt;2,IF(ISNUMBER(C14),C15&gt;C14))</formula>
    </cfRule>
  </conditionalFormatting>
  <conditionalFormatting sqref="E15">
    <cfRule type="expression" dxfId="1677" priority="73">
      <formula>AND(COUNT(E13:E16)&lt;2,IF(ISNUMBER(C15),C14&gt;C15))</formula>
    </cfRule>
  </conditionalFormatting>
  <conditionalFormatting sqref="E13:E16">
    <cfRule type="aboveAverage" dxfId="1676" priority="72"/>
  </conditionalFormatting>
  <conditionalFormatting sqref="F13">
    <cfRule type="expression" dxfId="1675" priority="67">
      <formula>AND(COUNT(F13:F16)&lt;2,IF(COUNT(E13:E16)=2,IF(AND(ISNUMBER(E13),COUNTIF(E13:E16,E13)=1,E13=MAX(E13:E16)),TRUE,FALSE)))</formula>
    </cfRule>
    <cfRule type="expression" dxfId="1674" priority="71">
      <formula>AND(COUNT(F13:F16)&lt;2,IF(COUNT(D13:D16)=2,IF(AND(ISNUMBER(D13),COUNTIF(D13:D16,D13)=1,D13=MIN(D13:D16)),TRUE,FALSE)))</formula>
    </cfRule>
  </conditionalFormatting>
  <conditionalFormatting sqref="F14">
    <cfRule type="expression" dxfId="1673" priority="66">
      <formula>AND(COUNT(F13:F16)&lt;2,IF(COUNT(E13:E16)=2,IF(AND(ISNUMBER(E14),COUNTIF(E13:E16,E14)=1,E14=MAX(E13:E16)),TRUE,FALSE)))</formula>
    </cfRule>
    <cfRule type="expression" dxfId="1672" priority="70">
      <formula>AND(COUNT(F13:F16)&lt;2,IF(COUNT(D13:D16)=2,IF(AND(ISNUMBER(D14),COUNTIF(D13:D16,D14)=1,D14=MIN(D13:D16)),TRUE,FALSE)))</formula>
    </cfRule>
  </conditionalFormatting>
  <conditionalFormatting sqref="F15">
    <cfRule type="expression" dxfId="1671" priority="65">
      <formula>AND(COUNT(F13:F16)&lt;2,IF(COUNT(E13:E16)=2,IF(AND(ISNUMBER(E15),COUNTIF(E13:E16,E15)=1,E15=MAX(E13:E16)),TRUE,FALSE)))</formula>
    </cfRule>
    <cfRule type="expression" dxfId="1670" priority="69">
      <formula>AND(COUNT(F13:F16)&lt;2,IF(COUNT(D13:D16)=2,IF(AND(ISNUMBER(D15),COUNTIF(D13:D16,D15)=1,D15=MIN(D13:D16)),TRUE,FALSE)))</formula>
    </cfRule>
  </conditionalFormatting>
  <conditionalFormatting sqref="F16">
    <cfRule type="expression" dxfId="1669" priority="64">
      <formula>AND(COUNT(F13:F16)&lt;2,IF(COUNT(E13:E16)=2,IF(AND(ISNUMBER(E16),COUNTIF(E13:E16,E16)=1,E16=MAX(E13:E16)),TRUE,FALSE)))</formula>
    </cfRule>
    <cfRule type="expression" dxfId="1668" priority="68">
      <formula>AND(COUNT(F13:F16)&lt;2,IF(COUNT(D13:D16)=2,IF(AND(ISNUMBER(D16),COUNTIF(D13:D16,D16)=1,D16=MIN(D13:D16)),TRUE,FALSE)))</formula>
    </cfRule>
  </conditionalFormatting>
  <conditionalFormatting sqref="F13:F16">
    <cfRule type="aboveAverage" dxfId="1667" priority="63"/>
  </conditionalFormatting>
  <conditionalFormatting sqref="D13">
    <cfRule type="expression" dxfId="1666" priority="62">
      <formula>AND(COUNT(D13:D16)&lt;2,IF(ISNUMBER(C16),C13&gt;C16))</formula>
    </cfRule>
  </conditionalFormatting>
  <conditionalFormatting sqref="D14">
    <cfRule type="expression" dxfId="1665" priority="61">
      <formula>AND(COUNT(D13:D16)&lt;2,IF(ISNUMBER(C15),C14&gt;C15))</formula>
    </cfRule>
  </conditionalFormatting>
  <conditionalFormatting sqref="D15">
    <cfRule type="expression" dxfId="1664" priority="60">
      <formula>AND(COUNT(D13:D16)&lt;2,IF(ISNUMBER(C14),C15&gt;C14))</formula>
    </cfRule>
  </conditionalFormatting>
  <conditionalFormatting sqref="D16">
    <cfRule type="expression" dxfId="1663" priority="59">
      <formula>AND(COUNT(D13:D16)&lt;2,IF(ISNUMBER(C13),C16&gt;C13))</formula>
    </cfRule>
  </conditionalFormatting>
  <conditionalFormatting sqref="D13:D16">
    <cfRule type="aboveAverage" dxfId="1662" priority="58"/>
  </conditionalFormatting>
  <conditionalFormatting sqref="E22">
    <cfRule type="expression" dxfId="1661" priority="57">
      <formula>AND(COUNT(E19:E22)&lt;2,IF(ISNUMBER(C22),C19&gt;C22))</formula>
    </cfRule>
  </conditionalFormatting>
  <conditionalFormatting sqref="E19">
    <cfRule type="expression" dxfId="1660" priority="56">
      <formula>AND(COUNT(E19:E22)&lt;2,IF(ISNUMBER(C19),C22&gt;C19))</formula>
    </cfRule>
  </conditionalFormatting>
  <conditionalFormatting sqref="E20">
    <cfRule type="expression" dxfId="1659" priority="55">
      <formula>AND(COUNT(E19:E22)&lt;2,IF(ISNUMBER(C20),C21&gt;C20))</formula>
    </cfRule>
  </conditionalFormatting>
  <conditionalFormatting sqref="E21">
    <cfRule type="expression" dxfId="1658" priority="54">
      <formula>AND(COUNT(E19:E22)&lt;2,IF(ISNUMBER(C21),C20&gt;C21))</formula>
    </cfRule>
  </conditionalFormatting>
  <conditionalFormatting sqref="E19:E22">
    <cfRule type="aboveAverage" dxfId="1657" priority="53"/>
  </conditionalFormatting>
  <conditionalFormatting sqref="F19">
    <cfRule type="expression" dxfId="1656" priority="48">
      <formula>AND(COUNT(F19:F22)&lt;2,IF(COUNT(E19:E22)=2,IF(AND(ISNUMBER(E19),COUNTIF(E19:E22,E19)=1,E19=MAX(E19:E22)),TRUE,FALSE)))</formula>
    </cfRule>
    <cfRule type="expression" dxfId="1655" priority="52">
      <formula>AND(COUNT(F19:F22)&lt;2,IF(COUNT(D19:D22)=2,IF(AND(ISNUMBER(D19),COUNTIF(D19:D22,D19)=1,D19=MIN(D19:D22)),TRUE,FALSE)))</formula>
    </cfRule>
  </conditionalFormatting>
  <conditionalFormatting sqref="F20">
    <cfRule type="expression" dxfId="1654" priority="47">
      <formula>AND(COUNT(F19:F22)&lt;2,IF(COUNT(E19:E22)=2,IF(AND(ISNUMBER(E20),COUNTIF(E19:E22,E20)=1,E20=MAX(E19:E22)),TRUE,FALSE)))</formula>
    </cfRule>
    <cfRule type="expression" dxfId="1653" priority="51">
      <formula>AND(COUNT(F19:F22)&lt;2,IF(COUNT(D19:D22)=2,IF(AND(ISNUMBER(D20),COUNTIF(D19:D22,D20)=1,D20=MIN(D19:D22)),TRUE,FALSE)))</formula>
    </cfRule>
  </conditionalFormatting>
  <conditionalFormatting sqref="F21">
    <cfRule type="expression" dxfId="1652" priority="46">
      <formula>AND(COUNT(F19:F22)&lt;2,IF(COUNT(E19:E22)=2,IF(AND(ISNUMBER(E21),COUNTIF(E19:E22,E21)=1,E21=MAX(E19:E22)),TRUE,FALSE)))</formula>
    </cfRule>
    <cfRule type="expression" dxfId="1651" priority="50">
      <formula>AND(COUNT(F19:F22)&lt;2,IF(COUNT(D19:D22)=2,IF(AND(ISNUMBER(D21),COUNTIF(D19:D22,D21)=1,D21=MIN(D19:D22)),TRUE,FALSE)))</formula>
    </cfRule>
  </conditionalFormatting>
  <conditionalFormatting sqref="F22">
    <cfRule type="expression" dxfId="1650" priority="45">
      <formula>AND(COUNT(F19:F22)&lt;2,IF(COUNT(E19:E22)=2,IF(AND(ISNUMBER(E22),COUNTIF(E19:E22,E22)=1,E22=MAX(E19:E22)),TRUE,FALSE)))</formula>
    </cfRule>
    <cfRule type="expression" dxfId="1649" priority="49">
      <formula>AND(COUNT(F19:F22)&lt;2,IF(COUNT(D19:D22)=2,IF(AND(ISNUMBER(D22),COUNTIF(D19:D22,D22)=1,D22=MIN(D19:D22)),TRUE,FALSE)))</formula>
    </cfRule>
  </conditionalFormatting>
  <conditionalFormatting sqref="F19:F22">
    <cfRule type="aboveAverage" dxfId="1648" priority="44"/>
  </conditionalFormatting>
  <conditionalFormatting sqref="D19">
    <cfRule type="expression" dxfId="1647" priority="43">
      <formula>AND(COUNT(D19:D22)&lt;2,IF(ISNUMBER(C22),C19&gt;C22))</formula>
    </cfRule>
  </conditionalFormatting>
  <conditionalFormatting sqref="D20">
    <cfRule type="expression" dxfId="1646" priority="42">
      <formula>AND(COUNT(D19:D22)&lt;2,IF(ISNUMBER(C21),C20&gt;C21))</formula>
    </cfRule>
  </conditionalFormatting>
  <conditionalFormatting sqref="D21">
    <cfRule type="expression" dxfId="1645" priority="41">
      <formula>AND(COUNT(D19:D22)&lt;2,IF(ISNUMBER(C20),C21&gt;C20))</formula>
    </cfRule>
  </conditionalFormatting>
  <conditionalFormatting sqref="D22">
    <cfRule type="expression" dxfId="1644" priority="40">
      <formula>AND(COUNT(D19:D22)&lt;2,IF(ISNUMBER(C19),C22&gt;C19))</formula>
    </cfRule>
  </conditionalFormatting>
  <conditionalFormatting sqref="D19:D22">
    <cfRule type="aboveAverage" dxfId="1643" priority="39"/>
  </conditionalFormatting>
  <conditionalFormatting sqref="E28">
    <cfRule type="expression" dxfId="1642" priority="38">
      <formula>AND(COUNT(E25:E28)&lt;2,IF(ISNUMBER(C28),C25&gt;C28))</formula>
    </cfRule>
  </conditionalFormatting>
  <conditionalFormatting sqref="E25">
    <cfRule type="expression" dxfId="1641" priority="37">
      <formula>AND(COUNT(E25:E28)&lt;2,IF(ISNUMBER(C25),C28&gt;C25))</formula>
    </cfRule>
  </conditionalFormatting>
  <conditionalFormatting sqref="E26">
    <cfRule type="expression" dxfId="1640" priority="36">
      <formula>AND(COUNT(E25:E28)&lt;2,IF(ISNUMBER(C26),C27&gt;C26))</formula>
    </cfRule>
  </conditionalFormatting>
  <conditionalFormatting sqref="E27">
    <cfRule type="expression" dxfId="1639" priority="35">
      <formula>AND(COUNT(E25:E28)&lt;2,IF(ISNUMBER(C27),C26&gt;C27))</formula>
    </cfRule>
  </conditionalFormatting>
  <conditionalFormatting sqref="E25:E28">
    <cfRule type="aboveAverage" dxfId="1638" priority="34"/>
  </conditionalFormatting>
  <conditionalFormatting sqref="F25">
    <cfRule type="expression" dxfId="1637" priority="29">
      <formula>AND(COUNT(F25:F28)&lt;2,IF(COUNT(E25:E28)=2,IF(AND(ISNUMBER(E25),COUNTIF(E25:E28,E25)=1,E25=MAX(E25:E28)),TRUE,FALSE)))</formula>
    </cfRule>
    <cfRule type="expression" dxfId="1636" priority="33">
      <formula>AND(COUNT(F25:F28)&lt;2,IF(COUNT(D25:D28)=2,IF(AND(ISNUMBER(D25),COUNTIF(D25:D28,D25)=1,D25=MIN(D25:D28)),TRUE,FALSE)))</formula>
    </cfRule>
  </conditionalFormatting>
  <conditionalFormatting sqref="F26">
    <cfRule type="expression" dxfId="1635" priority="28">
      <formula>AND(COUNT(F25:F28)&lt;2,IF(COUNT(E25:E28)=2,IF(AND(ISNUMBER(E26),COUNTIF(E25:E28,E26)=1,E26=MAX(E25:E28)),TRUE,FALSE)))</formula>
    </cfRule>
    <cfRule type="expression" dxfId="1634" priority="32">
      <formula>AND(COUNT(F25:F28)&lt;2,IF(COUNT(D25:D28)=2,IF(AND(ISNUMBER(D26),COUNTIF(D25:D28,D26)=1,D26=MIN(D25:D28)),TRUE,FALSE)))</formula>
    </cfRule>
  </conditionalFormatting>
  <conditionalFormatting sqref="F27">
    <cfRule type="expression" dxfId="1633" priority="27">
      <formula>AND(COUNT(F25:F28)&lt;2,IF(COUNT(E25:E28)=2,IF(AND(ISNUMBER(E27),COUNTIF(E25:E28,E27)=1,E27=MAX(E25:E28)),TRUE,FALSE)))</formula>
    </cfRule>
    <cfRule type="expression" dxfId="1632" priority="31">
      <formula>AND(COUNT(F25:F28)&lt;2,IF(COUNT(D25:D28)=2,IF(AND(ISNUMBER(D27),COUNTIF(D25:D28,D27)=1,D27=MIN(D25:D28)),TRUE,FALSE)))</formula>
    </cfRule>
  </conditionalFormatting>
  <conditionalFormatting sqref="F28">
    <cfRule type="expression" dxfId="1631" priority="26">
      <formula>AND(COUNT(F25:F28)&lt;2,IF(COUNT(E25:E28)=2,IF(AND(ISNUMBER(E28),COUNTIF(E25:E28,E28)=1,E28=MAX(E25:E28)),TRUE,FALSE)))</formula>
    </cfRule>
    <cfRule type="expression" dxfId="1630" priority="30">
      <formula>AND(COUNT(F25:F28)&lt;2,IF(COUNT(D25:D28)=2,IF(AND(ISNUMBER(D28),COUNTIF(D25:D28,D28)=1,D28=MIN(D25:D28)),TRUE,FALSE)))</formula>
    </cfRule>
  </conditionalFormatting>
  <conditionalFormatting sqref="F25:F28">
    <cfRule type="aboveAverage" dxfId="1629" priority="25"/>
  </conditionalFormatting>
  <conditionalFormatting sqref="D25">
    <cfRule type="expression" dxfId="1628" priority="24">
      <formula>AND(COUNT(D25:D28)&lt;2,IF(ISNUMBER(C28),C25&gt;C28))</formula>
    </cfRule>
  </conditionalFormatting>
  <conditionalFormatting sqref="D26">
    <cfRule type="expression" dxfId="1627" priority="23">
      <formula>AND(COUNT(D25:D28)&lt;2,IF(ISNUMBER(C27),C26&gt;C27))</formula>
    </cfRule>
  </conditionalFormatting>
  <conditionalFormatting sqref="D27">
    <cfRule type="expression" dxfId="1626" priority="22">
      <formula>AND(COUNT(D25:D28)&lt;2,IF(ISNUMBER(C26),C27&gt;C26))</formula>
    </cfRule>
  </conditionalFormatting>
  <conditionalFormatting sqref="D28">
    <cfRule type="expression" dxfId="1625" priority="21">
      <formula>AND(COUNT(D25:D28)&lt;2,IF(ISNUMBER(C25),C28&gt;C25))</formula>
    </cfRule>
  </conditionalFormatting>
  <conditionalFormatting sqref="D25:D28">
    <cfRule type="aboveAverage" dxfId="1624" priority="20"/>
  </conditionalFormatting>
  <conditionalFormatting sqref="E34">
    <cfRule type="expression" dxfId="1623" priority="19">
      <formula>AND(COUNT(E31:E34)&lt;2,IF(ISNUMBER(C34),C31&gt;C34))</formula>
    </cfRule>
  </conditionalFormatting>
  <conditionalFormatting sqref="E31">
    <cfRule type="expression" dxfId="1622" priority="18">
      <formula>AND(COUNT(E31:E34)&lt;2,IF(ISNUMBER(C31),C34&gt;C31))</formula>
    </cfRule>
  </conditionalFormatting>
  <conditionalFormatting sqref="E32">
    <cfRule type="expression" dxfId="1621" priority="17">
      <formula>AND(COUNT(E31:E34)&lt;2,IF(ISNUMBER(C32),C33&gt;C32))</formula>
    </cfRule>
  </conditionalFormatting>
  <conditionalFormatting sqref="E33">
    <cfRule type="expression" dxfId="1620" priority="16">
      <formula>AND(COUNT(E31:E34)&lt;2,IF(ISNUMBER(C33),C32&gt;C33))</formula>
    </cfRule>
  </conditionalFormatting>
  <conditionalFormatting sqref="E31:E34">
    <cfRule type="aboveAverage" dxfId="1619" priority="15"/>
  </conditionalFormatting>
  <conditionalFormatting sqref="F31">
    <cfRule type="expression" dxfId="1618" priority="10">
      <formula>AND(COUNT(F31:F34)&lt;2,IF(COUNT(E31:E34)=2,IF(AND(ISNUMBER(E31),COUNTIF(E31:E34,E31)=1,E31=MAX(E31:E34)),TRUE,FALSE)))</formula>
    </cfRule>
    <cfRule type="expression" dxfId="1617" priority="14">
      <formula>AND(COUNT(F31:F34)&lt;2,IF(COUNT(D31:D34)=2,IF(AND(ISNUMBER(D31),COUNTIF(D31:D34,D31)=1,D31=MIN(D31:D34)),TRUE,FALSE)))</formula>
    </cfRule>
  </conditionalFormatting>
  <conditionalFormatting sqref="F32">
    <cfRule type="expression" dxfId="1616" priority="9">
      <formula>AND(COUNT(F31:F34)&lt;2,IF(COUNT(E31:E34)=2,IF(AND(ISNUMBER(E32),COUNTIF(E31:E34,E32)=1,E32=MAX(E31:E34)),TRUE,FALSE)))</formula>
    </cfRule>
    <cfRule type="expression" dxfId="1615" priority="13">
      <formula>AND(COUNT(F31:F34)&lt;2,IF(COUNT(D31:D34)=2,IF(AND(ISNUMBER(D32),COUNTIF(D31:D34,D32)=1,D32=MIN(D31:D34)),TRUE,FALSE)))</formula>
    </cfRule>
  </conditionalFormatting>
  <conditionalFormatting sqref="F33">
    <cfRule type="expression" dxfId="1614" priority="8">
      <formula>AND(COUNT(F31:F34)&lt;2,IF(COUNT(E31:E34)=2,IF(AND(ISNUMBER(E33),COUNTIF(E31:E34,E33)=1,E33=MAX(E31:E34)),TRUE,FALSE)))</formula>
    </cfRule>
    <cfRule type="expression" dxfId="1613" priority="12">
      <formula>AND(COUNT(F31:F34)&lt;2,IF(COUNT(D31:D34)=2,IF(AND(ISNUMBER(D33),COUNTIF(D31:D34,D33)=1,D33=MIN(D31:D34)),TRUE,FALSE)))</formula>
    </cfRule>
  </conditionalFormatting>
  <conditionalFormatting sqref="F34">
    <cfRule type="expression" dxfId="1612" priority="7">
      <formula>AND(COUNT(F31:F34)&lt;2,IF(COUNT(E31:E34)=2,IF(AND(ISNUMBER(E34),COUNTIF(E31:E34,E34)=1,E34=MAX(E31:E34)),TRUE,FALSE)))</formula>
    </cfRule>
    <cfRule type="expression" dxfId="1611" priority="11">
      <formula>AND(COUNT(F31:F34)&lt;2,IF(COUNT(D31:D34)=2,IF(AND(ISNUMBER(D34),COUNTIF(D31:D34,D34)=1,D34=MIN(D31:D34)),TRUE,FALSE)))</formula>
    </cfRule>
  </conditionalFormatting>
  <conditionalFormatting sqref="F31:F34">
    <cfRule type="aboveAverage" dxfId="1610" priority="6"/>
  </conditionalFormatting>
  <conditionalFormatting sqref="D31">
    <cfRule type="expression" dxfId="1609" priority="5">
      <formula>AND(COUNT(D31:D34)&lt;2,IF(ISNUMBER(C34),C31&gt;C34))</formula>
    </cfRule>
  </conditionalFormatting>
  <conditionalFormatting sqref="D32">
    <cfRule type="expression" dxfId="1608" priority="4">
      <formula>AND(COUNT(D31:D34)&lt;2,IF(ISNUMBER(C33),C32&gt;C33))</formula>
    </cfRule>
  </conditionalFormatting>
  <conditionalFormatting sqref="D33">
    <cfRule type="expression" dxfId="1607" priority="3">
      <formula>AND(COUNT(D31:D34)&lt;2,IF(ISNUMBER(C32),C33&gt;C32))</formula>
    </cfRule>
  </conditionalFormatting>
  <conditionalFormatting sqref="D34">
    <cfRule type="expression" dxfId="1606" priority="2">
      <formula>AND(COUNT(D31:D34)&lt;2,IF(ISNUMBER(C31),C34&gt;C31))</formula>
    </cfRule>
  </conditionalFormatting>
  <conditionalFormatting sqref="D31:D34">
    <cfRule type="aboveAverage" dxfId="1605" priority="1"/>
  </conditionalFormatting>
  <pageMargins left="0.39370078740157483" right="0.39370078740157483" top="0.78740157480314965" bottom="0.31496062992125984" header="0.59055118110236227" footer="0"/>
  <pageSetup paperSize="9" scale="59" fitToHeight="0" orientation="landscape" verticalDpi="1200" r:id="rId1"/>
  <headerFooter>
    <oddHeader>&amp;R&amp;"Arial,Regular"&amp;9Page &amp;P of &amp;N</oddHeader>
  </headerFooter>
  <rowBreaks count="2" manualBreakCount="2">
    <brk id="34"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0"/>
  <sheetViews>
    <sheetView showGridLines="0" showRowColHeaders="0" zoomScaleNormal="100" workbookViewId="0">
      <pane ySplit="2" topLeftCell="A3" activePane="bottomLeft" state="frozen"/>
      <selection activeCell="E10" sqref="E10"/>
      <selection pane="bottomLeft" activeCell="I1" sqref="I1"/>
    </sheetView>
  </sheetViews>
  <sheetFormatPr defaultRowHeight="12.75" x14ac:dyDescent="0.2"/>
  <cols>
    <col min="1" max="1" width="5.5703125" style="79" customWidth="1"/>
    <col min="2" max="2" width="31.2851562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1" width="9.140625" style="79" customWidth="1"/>
    <col min="12" max="12" width="13.140625" style="79" customWidth="1"/>
    <col min="13" max="16384" width="9.140625" style="79"/>
  </cols>
  <sheetData>
    <row r="1" spans="1:12" x14ac:dyDescent="0.2">
      <c r="A1" s="72" t="str">
        <f>UPPER((Kalend!E10)&amp;" - "&amp;(Kalend!C10)&amp;" - "&amp;(Kalend!D10))</f>
        <v>3 - EESTI REITINGUVÕISTLUS - DUO</v>
      </c>
      <c r="E1" s="41" t="str">
        <f>HYPERLINK("#'Kalend'!I1","Kalender")</f>
        <v>Kalender</v>
      </c>
      <c r="G1" s="41" t="str">
        <f>HYPERLINK("#Üldreiting!W1","Reiting")</f>
        <v>Reiting</v>
      </c>
    </row>
    <row r="2" spans="1:12" x14ac:dyDescent="0.2">
      <c r="A2" s="79" t="str">
        <f>"Toimumisaeg: "&amp;(Kalend!A10)&amp;" kell "&amp;(Kalend!B10)</f>
        <v>Toimumisaeg: P, 26.11.2017 kell 10:00</v>
      </c>
    </row>
    <row r="3" spans="1:12" x14ac:dyDescent="0.2">
      <c r="A3" s="79" t="str">
        <f>"Toimumiskoht: "&amp;(Kalend!F10)</f>
        <v>Toimumiskoht: Tallinn, Algi 38</v>
      </c>
    </row>
    <row r="4" spans="1:12" x14ac:dyDescent="0.2">
      <c r="A4" s="79" t="str">
        <f>"Korraldaja: "&amp;(Kalend!G10)</f>
        <v>Korraldaja: EPKL</v>
      </c>
    </row>
    <row r="6" spans="1:12" s="30" customFormat="1" x14ac:dyDescent="0.2">
      <c r="A6" s="296" t="s">
        <v>291</v>
      </c>
      <c r="B6" s="351"/>
      <c r="C6" s="31" t="s">
        <v>232</v>
      </c>
      <c r="D6" s="296" t="s">
        <v>61</v>
      </c>
      <c r="E6" s="296" t="s">
        <v>62</v>
      </c>
      <c r="F6" s="31" t="s">
        <v>63</v>
      </c>
      <c r="G6" s="31" t="s">
        <v>19</v>
      </c>
      <c r="H6" s="79"/>
      <c r="I6" s="79"/>
      <c r="J6" s="79"/>
      <c r="K6" s="79"/>
      <c r="L6" s="79"/>
    </row>
    <row r="7" spans="1:12" s="30" customFormat="1" x14ac:dyDescent="0.2">
      <c r="A7" s="296">
        <v>1</v>
      </c>
      <c r="B7" s="186" t="s">
        <v>280</v>
      </c>
      <c r="C7" s="124">
        <f>IF(B10="-",13,"")</f>
        <v>13</v>
      </c>
      <c r="D7" s="124">
        <v>13</v>
      </c>
      <c r="E7" s="32"/>
      <c r="F7" s="314"/>
      <c r="G7" s="32" t="str">
        <f>IF(AND(COUNT(F7:F10)=2,F7=MAX(F7:F10),COUNT(C7:F7)=3),A6&amp;"2",IF(AND(COUNT(E7:E10)=2,ISNUMBER(E7),E7=MIN(E7:E10),D7="",F7=""),A6&amp;"4",IF(AND(COUNT(D7:D10)=2,D7=MAX(D7:D10),E7="",F7=""),A6&amp;"1",IF(COUNT(F7:F10)=2,A6&amp;"3",""))))</f>
        <v>A1</v>
      </c>
      <c r="H7" s="341"/>
      <c r="I7" s="79"/>
      <c r="K7" s="79"/>
      <c r="L7" s="79"/>
    </row>
    <row r="8" spans="1:12" s="30" customFormat="1" x14ac:dyDescent="0.2">
      <c r="A8" s="296">
        <v>2</v>
      </c>
      <c r="B8" s="122" t="s">
        <v>281</v>
      </c>
      <c r="C8" s="336">
        <v>13</v>
      </c>
      <c r="D8" s="124">
        <v>0</v>
      </c>
      <c r="E8" s="32" t="str">
        <f>IF(AND(B10="-",ISNUMBER(C8),C8&lt;C9),13,"")</f>
        <v/>
      </c>
      <c r="F8" s="314">
        <v>11</v>
      </c>
      <c r="G8" s="32" t="str">
        <f>IF(AND(COUNT(F7:F10)=2,F8=MAX(F7:F10),COUNT(C8:F8)=3),A6&amp;"2",IF(AND(COUNT(E7:E10)=2,ISNUMBER(E8),E8=MIN(E7:E10),D8="",F8=""),A6&amp;"4",IF(AND(COUNT(D7:D10)=2,D8=MAX(D7:D10),E8="",F8=""),A6&amp;"1",IF(COUNT(F7:F10)=2,A6&amp;"3",""))))</f>
        <v>A3</v>
      </c>
      <c r="H8" s="341"/>
      <c r="I8" s="79"/>
      <c r="J8" s="79"/>
      <c r="K8" s="79"/>
      <c r="L8" s="79"/>
    </row>
    <row r="9" spans="1:12" s="30" customFormat="1" x14ac:dyDescent="0.2">
      <c r="A9" s="296">
        <v>3</v>
      </c>
      <c r="B9" s="122" t="s">
        <v>89</v>
      </c>
      <c r="C9" s="336">
        <v>7</v>
      </c>
      <c r="D9" s="32"/>
      <c r="E9" s="32">
        <f>IF(AND(B10="-",ISNUMBER(C9),C9&lt;C8),13,"")</f>
        <v>13</v>
      </c>
      <c r="F9" s="314">
        <v>13</v>
      </c>
      <c r="G9" s="32" t="str">
        <f>IF(AND(COUNT(F7:F10)=2,F9=MAX(F7:F10),COUNT(C9:F9)=3),A6&amp;"2",IF(AND(COUNT(E7:E10)=2,ISNUMBER(E9),E9=MIN(E7:E10),D9="",F9=""),A6&amp;"4",IF(AND(COUNT(D7:D10)=2,D9=MAX(D7:D10),E9="",F9=""),A6&amp;"1",IF(COUNT(F7:F10)=2,A6&amp;"3",""))))</f>
        <v>A2</v>
      </c>
      <c r="H9" s="341"/>
      <c r="I9" s="79"/>
      <c r="J9" s="79"/>
      <c r="K9" s="79"/>
      <c r="L9" s="79"/>
    </row>
    <row r="10" spans="1:12" s="30" customFormat="1" x14ac:dyDescent="0.2">
      <c r="A10" s="296">
        <v>4</v>
      </c>
      <c r="B10" s="123" t="s">
        <v>81</v>
      </c>
      <c r="C10" s="124">
        <f>IF(B10="-",0,"")</f>
        <v>0</v>
      </c>
      <c r="D10" s="124"/>
      <c r="E10" s="32">
        <f>IF(B10="-",0,"")</f>
        <v>0</v>
      </c>
      <c r="F10" s="314"/>
      <c r="G10" s="32" t="str">
        <f>IF(AND(COUNT(F7:F10)=2,F10=MAX(F7:F10),COUNT(C10:F10)=3),A6&amp;"2",IF(AND(COUNT(E7:E10)=2,ISNUMBER(E10),E10=MIN(E7:E10),D10="",F10=""),A6&amp;"4",IF(AND(COUNT(D7:D10)=2,D10=MAX(D7:D10),E10="",F10=""),A6&amp;"1",IF(COUNT(F7:F10)=2,A6&amp;"3",""))))</f>
        <v>A4</v>
      </c>
      <c r="H10" s="341"/>
      <c r="I10" s="79"/>
      <c r="J10" s="79"/>
      <c r="K10" s="79"/>
      <c r="L10" s="79"/>
    </row>
    <row r="11" spans="1:12" x14ac:dyDescent="0.2">
      <c r="B11" s="353" t="s">
        <v>81</v>
      </c>
      <c r="G11" s="353" t="s">
        <v>81</v>
      </c>
      <c r="H11" s="341"/>
    </row>
    <row r="12" spans="1:12" s="30" customFormat="1" x14ac:dyDescent="0.2">
      <c r="A12" s="296" t="s">
        <v>275</v>
      </c>
      <c r="B12" s="452">
        <v>0.5</v>
      </c>
      <c r="C12" s="31" t="s">
        <v>232</v>
      </c>
      <c r="D12" s="296" t="s">
        <v>61</v>
      </c>
      <c r="E12" s="296" t="s">
        <v>62</v>
      </c>
      <c r="F12" s="31" t="s">
        <v>63</v>
      </c>
      <c r="G12" s="31" t="s">
        <v>19</v>
      </c>
      <c r="H12" s="341"/>
      <c r="I12" s="79"/>
      <c r="J12" s="79"/>
      <c r="K12" s="79"/>
      <c r="L12" s="79"/>
    </row>
    <row r="13" spans="1:12" s="30" customFormat="1" x14ac:dyDescent="0.2">
      <c r="A13" s="296">
        <v>1</v>
      </c>
      <c r="B13" s="186" t="s">
        <v>282</v>
      </c>
      <c r="C13" s="124">
        <f>IF(B16="-",13,"")</f>
        <v>13</v>
      </c>
      <c r="D13" s="124">
        <v>6</v>
      </c>
      <c r="E13" s="32"/>
      <c r="F13" s="314">
        <v>8</v>
      </c>
      <c r="G13" s="32" t="str">
        <f>IF(AND(COUNT(F13:F16)=2,F13=MAX(F13:F16),COUNT(C13:F13)=3),A12&amp;"2",IF(AND(COUNT(E13:E16)=2,ISNUMBER(E13),E13=MIN(E13:E16),D13="",F13=""),A12&amp;"4",IF(AND(COUNT(D13:D16)=2,D13=MAX(D13:D16),E13="",F13=""),A12&amp;"1",IF(COUNT(F13:F16)=2,A12&amp;"3",""))))</f>
        <v>B3</v>
      </c>
      <c r="H13" s="341"/>
      <c r="I13" s="79"/>
      <c r="J13" s="79"/>
      <c r="K13" s="79"/>
      <c r="L13" s="79"/>
    </row>
    <row r="14" spans="1:12" s="30" customFormat="1" x14ac:dyDescent="0.2">
      <c r="A14" s="296">
        <v>2</v>
      </c>
      <c r="B14" s="122" t="s">
        <v>173</v>
      </c>
      <c r="C14" s="336">
        <v>5</v>
      </c>
      <c r="D14" s="124"/>
      <c r="E14" s="32">
        <f>IF(AND(B16="-",ISNUMBER(C14),C14&lt;C15),13,"")</f>
        <v>13</v>
      </c>
      <c r="F14" s="314">
        <v>13</v>
      </c>
      <c r="G14" s="32" t="str">
        <f>IF(AND(COUNT(F13:F16)=2,F14=MAX(F13:F16),COUNT(C14:F14)=3),A12&amp;"2",IF(AND(COUNT(E13:E16)=2,ISNUMBER(E14),E14=MIN(E13:E16),D14="",F14=""),A12&amp;"4",IF(AND(COUNT(D13:D16)=2,D14=MAX(D13:D16),E14="",F14=""),A12&amp;"1",IF(COUNT(F13:F16)=2,A12&amp;"3",""))))</f>
        <v>B2</v>
      </c>
      <c r="H14" s="341"/>
      <c r="I14" s="79"/>
      <c r="J14" s="79"/>
      <c r="K14" s="79"/>
      <c r="L14" s="79"/>
    </row>
    <row r="15" spans="1:12" s="30" customFormat="1" x14ac:dyDescent="0.2">
      <c r="A15" s="296">
        <v>3</v>
      </c>
      <c r="B15" s="122" t="s">
        <v>283</v>
      </c>
      <c r="C15" s="336">
        <v>13</v>
      </c>
      <c r="D15" s="32">
        <v>13</v>
      </c>
      <c r="E15" s="32" t="str">
        <f>IF(AND(B16="-",ISNUMBER(C15),C15&lt;C14),13,"")</f>
        <v/>
      </c>
      <c r="F15" s="314"/>
      <c r="G15" s="32" t="str">
        <f>IF(AND(COUNT(F13:F16)=2,F15=MAX(F13:F16),COUNT(C15:F15)=3),A12&amp;"2",IF(AND(COUNT(E13:E16)=2,ISNUMBER(E15),E15=MIN(E13:E16),D15="",F15=""),A12&amp;"4",IF(AND(COUNT(D13:D16)=2,D15=MAX(D13:D16),E15="",F15=""),A12&amp;"1",IF(COUNT(F13:F16)=2,A12&amp;"3",""))))</f>
        <v>B1</v>
      </c>
      <c r="H15" s="341"/>
      <c r="I15" s="79"/>
      <c r="J15" s="79"/>
      <c r="K15" s="79"/>
      <c r="L15" s="79"/>
    </row>
    <row r="16" spans="1:12" s="30" customFormat="1" x14ac:dyDescent="0.2">
      <c r="A16" s="296">
        <v>4</v>
      </c>
      <c r="B16" s="123" t="s">
        <v>81</v>
      </c>
      <c r="C16" s="124">
        <f>IF(B16="-",0,"")</f>
        <v>0</v>
      </c>
      <c r="D16" s="124"/>
      <c r="E16" s="32">
        <f>IF(B16="-",0,"")</f>
        <v>0</v>
      </c>
      <c r="F16" s="314"/>
      <c r="G16" s="32" t="str">
        <f>IF(AND(COUNT(F13:F16)=2,F16=MAX(F13:F16),COUNT(C16:F16)=3),A12&amp;"2",IF(AND(COUNT(E13:E16)=2,ISNUMBER(E16),E16=MIN(E13:E16),D16="",F16=""),A12&amp;"4",IF(AND(COUNT(D13:D16)=2,D16=MAX(D13:D16),E16="",F16=""),A12&amp;"1",IF(COUNT(F13:F16)=2,A12&amp;"3",""))))</f>
        <v>B4</v>
      </c>
      <c r="H16" s="341"/>
      <c r="I16" s="79"/>
      <c r="J16" s="79"/>
      <c r="K16" s="79"/>
      <c r="L16" s="79"/>
    </row>
    <row r="17" spans="1:12" x14ac:dyDescent="0.2">
      <c r="H17" s="341"/>
    </row>
    <row r="18" spans="1:12" s="30" customFormat="1" x14ac:dyDescent="0.2">
      <c r="A18" s="296" t="s">
        <v>292</v>
      </c>
      <c r="B18" s="351"/>
      <c r="C18" s="31" t="s">
        <v>232</v>
      </c>
      <c r="D18" s="296" t="s">
        <v>61</v>
      </c>
      <c r="E18" s="296" t="s">
        <v>62</v>
      </c>
      <c r="F18" s="31" t="s">
        <v>63</v>
      </c>
      <c r="G18" s="31" t="s">
        <v>19</v>
      </c>
      <c r="H18" s="341"/>
      <c r="I18" s="79"/>
      <c r="J18" s="79"/>
      <c r="K18" s="79"/>
      <c r="L18" s="79"/>
    </row>
    <row r="19" spans="1:12" s="30" customFormat="1" x14ac:dyDescent="0.2">
      <c r="A19" s="296">
        <v>1</v>
      </c>
      <c r="B19" s="186" t="s">
        <v>284</v>
      </c>
      <c r="C19" s="124">
        <v>8</v>
      </c>
      <c r="D19" s="124"/>
      <c r="E19" s="32">
        <v>3</v>
      </c>
      <c r="F19" s="314"/>
      <c r="G19" s="32" t="str">
        <f>IF(AND(COUNT(F19:F22)=2,F19=MAX(F19:F22),COUNT(C19:F19)=3),A18&amp;"2",IF(AND(COUNT(E19:E22)=2,ISNUMBER(E19),E19=MIN(E19:E22),D19="",F19=""),A18&amp;"4",IF(AND(COUNT(D19:D22)=2,D19=MAX(D19:D22),E19="",F19=""),A18&amp;"1",IF(COUNT(F19:F22)=2,A18&amp;"3",""))))</f>
        <v>C4</v>
      </c>
      <c r="H19" s="341"/>
      <c r="I19" s="79"/>
      <c r="J19" s="79"/>
      <c r="K19" s="79"/>
      <c r="L19" s="79"/>
    </row>
    <row r="20" spans="1:12" s="30" customFormat="1" x14ac:dyDescent="0.2">
      <c r="A20" s="296">
        <v>2</v>
      </c>
      <c r="B20" s="122" t="s">
        <v>80</v>
      </c>
      <c r="C20" s="336">
        <v>13</v>
      </c>
      <c r="D20" s="124">
        <v>13</v>
      </c>
      <c r="E20" s="32" t="str">
        <f>IF(AND(B22="-",ISNUMBER(C20),C20&lt;C21),13,"")</f>
        <v/>
      </c>
      <c r="F20" s="314"/>
      <c r="G20" s="32" t="str">
        <f>IF(AND(COUNT(F19:F22)=2,F20=MAX(F19:F22),COUNT(C20:F20)=3),A18&amp;"2",IF(AND(COUNT(E19:E22)=2,ISNUMBER(E20),E20=MIN(E19:E22),D20="",F20=""),A18&amp;"4",IF(AND(COUNT(D19:D22)=2,D20=MAX(D19:D22),E20="",F20=""),A18&amp;"1",IF(COUNT(F19:F22)=2,A18&amp;"3",""))))</f>
        <v>C1</v>
      </c>
      <c r="H20" s="341"/>
      <c r="I20" s="79"/>
      <c r="J20" s="79"/>
      <c r="K20" s="79"/>
      <c r="L20" s="79"/>
    </row>
    <row r="21" spans="1:12" s="30" customFormat="1" x14ac:dyDescent="0.2">
      <c r="A21" s="296">
        <v>3</v>
      </c>
      <c r="B21" s="122" t="s">
        <v>220</v>
      </c>
      <c r="C21" s="336">
        <v>6</v>
      </c>
      <c r="D21" s="32"/>
      <c r="E21" s="32">
        <v>13</v>
      </c>
      <c r="F21" s="314">
        <v>0</v>
      </c>
      <c r="G21" s="32" t="str">
        <f>IF(AND(COUNT(F19:F22)=2,F21=MAX(F19:F22),COUNT(C21:F21)=3),A18&amp;"2",IF(AND(COUNT(E19:E22)=2,ISNUMBER(E21),E21=MIN(E19:E22),D21="",F21=""),A18&amp;"4",IF(AND(COUNT(D19:D22)=2,D21=MAX(D19:D22),E21="",F21=""),A18&amp;"1",IF(COUNT(F19:F22)=2,A18&amp;"3",""))))</f>
        <v>C3</v>
      </c>
      <c r="H21" s="341"/>
      <c r="I21" s="79"/>
      <c r="J21" s="79"/>
      <c r="K21" s="79"/>
      <c r="L21" s="79"/>
    </row>
    <row r="22" spans="1:12" s="30" customFormat="1" x14ac:dyDescent="0.2">
      <c r="A22" s="296">
        <v>4</v>
      </c>
      <c r="B22" s="123" t="s">
        <v>285</v>
      </c>
      <c r="C22" s="124">
        <v>13</v>
      </c>
      <c r="D22" s="124">
        <v>6</v>
      </c>
      <c r="E22" s="32" t="str">
        <f>IF(B22="-",0,"")</f>
        <v/>
      </c>
      <c r="F22" s="314">
        <v>13</v>
      </c>
      <c r="G22" s="32" t="str">
        <f>IF(AND(COUNT(F19:F22)=2,F22=MAX(F19:F22),COUNT(C22:F22)=3),A18&amp;"2",IF(AND(COUNT(E19:E22)=2,ISNUMBER(E22),E22=MIN(E19:E22),D22="",F22=""),A18&amp;"4",IF(AND(COUNT(D19:D22)=2,D22=MAX(D19:D22),E22="",F22=""),A18&amp;"1",IF(COUNT(F19:F22)=2,A18&amp;"3",""))))</f>
        <v>C2</v>
      </c>
      <c r="H22" s="341"/>
      <c r="I22" s="79"/>
      <c r="J22" s="79"/>
      <c r="K22" s="79"/>
      <c r="L22" s="79"/>
    </row>
    <row r="23" spans="1:12" x14ac:dyDescent="0.2">
      <c r="H23" s="341"/>
    </row>
    <row r="24" spans="1:12" s="30" customFormat="1" x14ac:dyDescent="0.2">
      <c r="A24" s="296" t="s">
        <v>293</v>
      </c>
      <c r="B24" s="351"/>
      <c r="C24" s="31" t="s">
        <v>232</v>
      </c>
      <c r="D24" s="296" t="s">
        <v>61</v>
      </c>
      <c r="E24" s="296" t="s">
        <v>62</v>
      </c>
      <c r="F24" s="31" t="s">
        <v>63</v>
      </c>
      <c r="G24" s="31" t="s">
        <v>19</v>
      </c>
      <c r="H24" s="341"/>
      <c r="I24" s="79"/>
      <c r="J24" s="79"/>
      <c r="K24" s="79"/>
      <c r="L24" s="79"/>
    </row>
    <row r="25" spans="1:12" s="30" customFormat="1" x14ac:dyDescent="0.2">
      <c r="A25" s="296">
        <v>1</v>
      </c>
      <c r="B25" s="186" t="s">
        <v>176</v>
      </c>
      <c r="C25" s="124">
        <f>IF(B28="-",13,"")</f>
        <v>13</v>
      </c>
      <c r="D25" s="124">
        <v>13</v>
      </c>
      <c r="E25" s="32"/>
      <c r="F25" s="314"/>
      <c r="G25" s="32" t="str">
        <f>IF(AND(COUNT(F25:F28)=2,F25=MAX(F25:F28),COUNT(C25:F25)=3),A24&amp;"2",IF(AND(COUNT(E25:E28)=2,ISNUMBER(E25),E25=MIN(E25:E28),D25="",F25=""),A24&amp;"4",IF(AND(COUNT(D25:D28)=2,D25=MAX(D25:D28),E25="",F25=""),A24&amp;"1",IF(COUNT(F25:F28)=2,A24&amp;"3",""))))</f>
        <v>D1</v>
      </c>
      <c r="H25" s="341"/>
      <c r="I25" s="79"/>
      <c r="J25" s="79"/>
      <c r="K25" s="79"/>
      <c r="L25" s="79"/>
    </row>
    <row r="26" spans="1:12" s="30" customFormat="1" x14ac:dyDescent="0.2">
      <c r="A26" s="296">
        <v>2</v>
      </c>
      <c r="B26" s="122" t="s">
        <v>175</v>
      </c>
      <c r="C26" s="336">
        <v>13</v>
      </c>
      <c r="D26" s="124">
        <v>11</v>
      </c>
      <c r="E26" s="32" t="str">
        <f>IF(AND(B28="-",ISNUMBER(C26),C26&lt;C27),13,"")</f>
        <v/>
      </c>
      <c r="F26" s="314">
        <v>10</v>
      </c>
      <c r="G26" s="32" t="str">
        <f>IF(AND(COUNT(F25:F28)=2,F26=MAX(F25:F28),COUNT(C26:F26)=3),A24&amp;"2",IF(AND(COUNT(E25:E28)=2,ISNUMBER(E26),E26=MIN(E25:E28),D26="",F26=""),A24&amp;"4",IF(AND(COUNT(D25:D28)=2,D26=MAX(D25:D28),E26="",F26=""),A24&amp;"1",IF(COUNT(F25:F28)=2,A24&amp;"3",""))))</f>
        <v>D3</v>
      </c>
      <c r="H26" s="341"/>
      <c r="I26" s="79"/>
      <c r="J26" s="79"/>
      <c r="K26" s="79"/>
      <c r="L26" s="79"/>
    </row>
    <row r="27" spans="1:12" s="30" customFormat="1" x14ac:dyDescent="0.2">
      <c r="A27" s="296">
        <v>3</v>
      </c>
      <c r="B27" s="122" t="s">
        <v>286</v>
      </c>
      <c r="C27" s="336">
        <v>10</v>
      </c>
      <c r="D27" s="32"/>
      <c r="E27" s="32">
        <f>IF(AND(B28="-",ISNUMBER(C27),C27&lt;C26),13,"")</f>
        <v>13</v>
      </c>
      <c r="F27" s="314">
        <v>13</v>
      </c>
      <c r="G27" s="32" t="str">
        <f>IF(AND(COUNT(F25:F28)=2,F27=MAX(F25:F28),COUNT(C27:F27)=3),A24&amp;"2",IF(AND(COUNT(E25:E28)=2,ISNUMBER(E27),E27=MIN(E25:E28),D27="",F27=""),A24&amp;"4",IF(AND(COUNT(D25:D28)=2,D27=MAX(D25:D28),E27="",F27=""),A24&amp;"1",IF(COUNT(F25:F28)=2,A24&amp;"3",""))))</f>
        <v>D2</v>
      </c>
      <c r="H27" s="341"/>
      <c r="I27" s="79"/>
      <c r="J27" s="79"/>
      <c r="K27" s="79"/>
      <c r="L27" s="79"/>
    </row>
    <row r="28" spans="1:12" s="30" customFormat="1" x14ac:dyDescent="0.2">
      <c r="A28" s="296">
        <v>4</v>
      </c>
      <c r="B28" s="123" t="s">
        <v>81</v>
      </c>
      <c r="C28" s="124">
        <f>IF(B28="-",0,"")</f>
        <v>0</v>
      </c>
      <c r="D28" s="124"/>
      <c r="E28" s="32">
        <f>IF(B28="-",0,"")</f>
        <v>0</v>
      </c>
      <c r="F28" s="314"/>
      <c r="G28" s="32" t="str">
        <f>IF(AND(COUNT(F25:F28)=2,F28=MAX(F25:F28),COUNT(C28:F28)=3),A24&amp;"2",IF(AND(COUNT(E25:E28)=2,ISNUMBER(E28),E28=MIN(E25:E28),D28="",F28=""),A24&amp;"4",IF(AND(COUNT(D25:D28)=2,D28=MAX(D25:D28),E28="",F28=""),A24&amp;"1",IF(COUNT(F25:F28)=2,A24&amp;"3",""))))</f>
        <v>D4</v>
      </c>
      <c r="H28" s="341"/>
      <c r="I28" s="79"/>
      <c r="J28" s="79"/>
      <c r="K28" s="79"/>
      <c r="L28" s="79"/>
    </row>
    <row r="29" spans="1:12" x14ac:dyDescent="0.2">
      <c r="H29" s="341"/>
    </row>
    <row r="30" spans="1:12" s="30" customFormat="1" x14ac:dyDescent="0.2">
      <c r="A30" s="296" t="s">
        <v>276</v>
      </c>
      <c r="B30" s="351"/>
      <c r="C30" s="31" t="s">
        <v>232</v>
      </c>
      <c r="D30" s="296" t="s">
        <v>61</v>
      </c>
      <c r="E30" s="296" t="s">
        <v>62</v>
      </c>
      <c r="F30" s="31" t="s">
        <v>63</v>
      </c>
      <c r="G30" s="31" t="s">
        <v>19</v>
      </c>
      <c r="H30" s="341"/>
      <c r="I30" s="79"/>
      <c r="J30" s="79"/>
      <c r="K30" s="79"/>
      <c r="L30" s="79"/>
    </row>
    <row r="31" spans="1:12" s="30" customFormat="1" x14ac:dyDescent="0.2">
      <c r="A31" s="296">
        <v>1</v>
      </c>
      <c r="B31" s="186" t="s">
        <v>287</v>
      </c>
      <c r="C31" s="124">
        <v>13</v>
      </c>
      <c r="D31" s="124">
        <v>13</v>
      </c>
      <c r="E31" s="32"/>
      <c r="F31" s="314"/>
      <c r="G31" s="32" t="str">
        <f>IF(AND(COUNT(F31:F34)=2,F31=MAX(F31:F34),COUNT(C31:F31)=3),A30&amp;"2",IF(AND(COUNT(E31:E34)=2,ISNUMBER(E31),E31=MIN(E31:E34),D31="",F31=""),A30&amp;"4",IF(AND(COUNT(D31:D34)=2,D31=MAX(D31:D34),E31="",F31=""),A30&amp;"1",IF(COUNT(F31:F34)=2,A30&amp;"3",""))))</f>
        <v>E1</v>
      </c>
      <c r="H31" s="341"/>
      <c r="I31" s="79"/>
      <c r="J31" s="79"/>
      <c r="K31" s="79"/>
      <c r="L31" s="79"/>
    </row>
    <row r="32" spans="1:12" s="30" customFormat="1" x14ac:dyDescent="0.2">
      <c r="A32" s="296">
        <v>2</v>
      </c>
      <c r="B32" s="122" t="s">
        <v>183</v>
      </c>
      <c r="C32" s="336">
        <v>11</v>
      </c>
      <c r="D32" s="124"/>
      <c r="E32" s="32">
        <v>6</v>
      </c>
      <c r="F32" s="314"/>
      <c r="G32" s="32" t="str">
        <f>IF(AND(COUNT(F31:F34)=2,F32=MAX(F31:F34),COUNT(C32:F32)=3),A30&amp;"2",IF(AND(COUNT(E31:E34)=2,ISNUMBER(E32),E32=MIN(E31:E34),D32="",F32=""),A30&amp;"4",IF(AND(COUNT(D31:D34)=2,D32=MAX(D31:D34),E32="",F32=""),A30&amp;"1",IF(COUNT(F31:F34)=2,A30&amp;"3",""))))</f>
        <v>E4</v>
      </c>
      <c r="H32" s="341"/>
      <c r="I32" s="79"/>
      <c r="J32" s="79"/>
      <c r="K32" s="79"/>
      <c r="L32" s="79"/>
    </row>
    <row r="33" spans="1:12" s="30" customFormat="1" x14ac:dyDescent="0.2">
      <c r="A33" s="296">
        <v>3</v>
      </c>
      <c r="B33" s="122" t="s">
        <v>288</v>
      </c>
      <c r="C33" s="336">
        <v>13</v>
      </c>
      <c r="D33" s="32">
        <v>5</v>
      </c>
      <c r="E33" s="32" t="str">
        <f>IF(AND(B34="-",ISNUMBER(C33),C33&lt;C32),13,"")</f>
        <v/>
      </c>
      <c r="F33" s="314">
        <v>13</v>
      </c>
      <c r="G33" s="32" t="str">
        <f>IF(AND(COUNT(F31:F34)=2,F33=MAX(F31:F34),COUNT(C33:F33)=3),A30&amp;"2",IF(AND(COUNT(E31:E34)=2,ISNUMBER(E33),E33=MIN(E31:E34),D33="",F33=""),A30&amp;"4",IF(AND(COUNT(D31:D34)=2,D33=MAX(D31:D34),E33="",F33=""),A30&amp;"1",IF(COUNT(F31:F34)=2,A30&amp;"3",""))))</f>
        <v>E2</v>
      </c>
      <c r="H33" s="341"/>
      <c r="I33" s="79"/>
      <c r="J33" s="79"/>
      <c r="K33" s="79"/>
      <c r="L33" s="79"/>
    </row>
    <row r="34" spans="1:12" s="30" customFormat="1" x14ac:dyDescent="0.2">
      <c r="A34" s="296">
        <v>4</v>
      </c>
      <c r="B34" s="123" t="s">
        <v>289</v>
      </c>
      <c r="C34" s="124">
        <v>11</v>
      </c>
      <c r="D34" s="124"/>
      <c r="E34" s="32">
        <v>13</v>
      </c>
      <c r="F34" s="314">
        <v>5</v>
      </c>
      <c r="G34" s="32" t="str">
        <f>IF(AND(COUNT(F31:F34)=2,F34=MAX(F31:F34),COUNT(C34:F34)=3),A30&amp;"2",IF(AND(COUNT(E31:E34)=2,ISNUMBER(E34),E34=MIN(E31:E34),D34="",F34=""),A30&amp;"4",IF(AND(COUNT(D31:D34)=2,D34=MAX(D31:D34),E34="",F34=""),A30&amp;"1",IF(COUNT(F31:F34)=2,A30&amp;"3",""))))</f>
        <v>E3</v>
      </c>
      <c r="H34" s="341"/>
      <c r="I34" s="79"/>
      <c r="J34" s="79"/>
      <c r="K34" s="79"/>
      <c r="L34" s="79"/>
    </row>
    <row r="35" spans="1:12" x14ac:dyDescent="0.2">
      <c r="H35" s="341"/>
    </row>
    <row r="36" spans="1:12" s="30" customFormat="1" x14ac:dyDescent="0.2">
      <c r="A36" s="296" t="s">
        <v>294</v>
      </c>
      <c r="B36" s="452">
        <v>0.5</v>
      </c>
      <c r="C36" s="31" t="s">
        <v>232</v>
      </c>
      <c r="D36" s="296" t="s">
        <v>61</v>
      </c>
      <c r="E36" s="296" t="s">
        <v>62</v>
      </c>
      <c r="F36" s="31" t="s">
        <v>63</v>
      </c>
      <c r="G36" s="31" t="s">
        <v>19</v>
      </c>
      <c r="H36" s="341"/>
      <c r="I36" s="79"/>
      <c r="J36" s="79"/>
      <c r="K36" s="79"/>
      <c r="L36" s="79"/>
    </row>
    <row r="37" spans="1:12" s="30" customFormat="1" x14ac:dyDescent="0.2">
      <c r="A37" s="296">
        <v>1</v>
      </c>
      <c r="B37" s="186" t="s">
        <v>174</v>
      </c>
      <c r="C37" s="124">
        <f>IF(B40="-",13,"")</f>
        <v>13</v>
      </c>
      <c r="D37" s="124">
        <v>13</v>
      </c>
      <c r="E37" s="32"/>
      <c r="F37" s="314"/>
      <c r="G37" s="32" t="str">
        <f>IF(AND(COUNT(F37:F40)=2,F37=MAX(F37:F40),COUNT(C37:F37)=3),A36&amp;"2",IF(AND(COUNT(E37:E40)=2,ISNUMBER(E37),E37=MIN(E37:E40),D37="",F37=""),A36&amp;"4",IF(AND(COUNT(D37:D40)=2,D37=MAX(D37:D40),E37="",F37=""),A36&amp;"1",IF(COUNT(F37:F40)=2,A36&amp;"3",""))))</f>
        <v>F1</v>
      </c>
      <c r="H37" s="341"/>
      <c r="I37" s="79"/>
      <c r="J37" s="79"/>
      <c r="K37" s="79"/>
      <c r="L37" s="79"/>
    </row>
    <row r="38" spans="1:12" s="30" customFormat="1" x14ac:dyDescent="0.2">
      <c r="A38" s="296">
        <v>2</v>
      </c>
      <c r="B38" s="122" t="s">
        <v>88</v>
      </c>
      <c r="C38" s="336">
        <v>13</v>
      </c>
      <c r="D38" s="124">
        <v>7</v>
      </c>
      <c r="E38" s="32" t="str">
        <f>IF(AND(B40="-",ISNUMBER(C38),C38&lt;C39),13,"")</f>
        <v/>
      </c>
      <c r="F38" s="314">
        <v>13</v>
      </c>
      <c r="G38" s="32" t="str">
        <f>IF(AND(COUNT(F37:F40)=2,F38=MAX(F37:F40),COUNT(C38:F38)=3),A36&amp;"2",IF(AND(COUNT(E37:E40)=2,ISNUMBER(E38),E38=MIN(E37:E40),D38="",F38=""),A36&amp;"4",IF(AND(COUNT(D37:D40)=2,D38=MAX(D37:D40),E38="",F38=""),A36&amp;"1",IF(COUNT(F37:F40)=2,A36&amp;"3",""))))</f>
        <v>F2</v>
      </c>
      <c r="H38" s="341"/>
      <c r="I38" s="79"/>
      <c r="J38" s="79"/>
      <c r="K38" s="79"/>
      <c r="L38" s="79"/>
    </row>
    <row r="39" spans="1:12" s="30" customFormat="1" x14ac:dyDescent="0.2">
      <c r="A39" s="296">
        <v>3</v>
      </c>
      <c r="B39" s="122" t="s">
        <v>290</v>
      </c>
      <c r="C39" s="336">
        <v>0</v>
      </c>
      <c r="D39" s="32"/>
      <c r="E39" s="32">
        <f>IF(AND(B40="-",ISNUMBER(C39),C39&lt;C38),13,"")</f>
        <v>13</v>
      </c>
      <c r="F39" s="314">
        <v>9</v>
      </c>
      <c r="G39" s="32" t="str">
        <f>IF(AND(COUNT(F37:F40)=2,F39=MAX(F37:F40),COUNT(C39:F39)=3),A36&amp;"2",IF(AND(COUNT(E37:E40)=2,ISNUMBER(E39),E39=MIN(E37:E40),D39="",F39=""),A36&amp;"4",IF(AND(COUNT(D37:D40)=2,D39=MAX(D37:D40),E39="",F39=""),A36&amp;"1",IF(COUNT(F37:F40)=2,A36&amp;"3",""))))</f>
        <v>F3</v>
      </c>
      <c r="H39" s="341"/>
      <c r="I39" s="79"/>
      <c r="J39" s="79"/>
      <c r="K39" s="79"/>
      <c r="L39" s="79"/>
    </row>
    <row r="40" spans="1:12" s="30" customFormat="1" x14ac:dyDescent="0.2">
      <c r="A40" s="296">
        <v>4</v>
      </c>
      <c r="B40" s="123" t="s">
        <v>81</v>
      </c>
      <c r="C40" s="124">
        <f>IF(B40="-",0,"")</f>
        <v>0</v>
      </c>
      <c r="D40" s="124"/>
      <c r="E40" s="32">
        <f>IF(B40="-",0,"")</f>
        <v>0</v>
      </c>
      <c r="F40" s="314"/>
      <c r="G40" s="32" t="str">
        <f>IF(AND(COUNT(F37:F40)=2,F40=MAX(F37:F40),COUNT(C40:F40)=3),A36&amp;"2",IF(AND(COUNT(E37:E40)=2,ISNUMBER(E40),E40=MIN(E37:E40),D40="",F40=""),A36&amp;"4",IF(AND(COUNT(D37:D40)=2,D40=MAX(D37:D40),E40="",F40=""),A36&amp;"1",IF(COUNT(F37:F40)=2,A36&amp;"3",""))))</f>
        <v>F4</v>
      </c>
      <c r="H40" s="341"/>
      <c r="I40" s="79"/>
      <c r="J40" s="79"/>
      <c r="K40" s="79"/>
      <c r="L40" s="79"/>
    </row>
    <row r="41" spans="1:12" s="42" customFormat="1" x14ac:dyDescent="0.2">
      <c r="A41" s="60" t="s">
        <v>90</v>
      </c>
      <c r="B41" s="45"/>
      <c r="C41" s="35"/>
      <c r="D41" s="35"/>
      <c r="E41" s="35"/>
      <c r="F41" s="36"/>
      <c r="G41" s="37"/>
    </row>
    <row r="42" spans="1:12" s="42" customFormat="1" x14ac:dyDescent="0.2"/>
    <row r="43" spans="1:12" s="42" customFormat="1" x14ac:dyDescent="0.2">
      <c r="A43" s="61" t="s">
        <v>74</v>
      </c>
      <c r="B43" s="310" t="str">
        <f>IFERROR(INDEX(B$7:B$40,MATCH(A43,G$7:G$40,0)),"")</f>
        <v>Mihkel Palk, Tiit Palk</v>
      </c>
      <c r="C43" s="81">
        <v>9</v>
      </c>
    </row>
    <row r="44" spans="1:12" s="42" customFormat="1" x14ac:dyDescent="0.2">
      <c r="A44" s="43"/>
      <c r="B44" s="311"/>
      <c r="C44" s="126" t="str">
        <f>IF(COUNT(C43,C45)=2,IF(C43&gt;C45,B43,B45),"")</f>
        <v>Triin Gretel Tauk, Vahur Raudsepp</v>
      </c>
      <c r="E44" s="81">
        <v>8</v>
      </c>
    </row>
    <row r="45" spans="1:12" s="42" customFormat="1" x14ac:dyDescent="0.2">
      <c r="A45" s="43" t="s">
        <v>93</v>
      </c>
      <c r="B45" s="312" t="str">
        <f>IFERROR(INDEX(B$7:B$40,MATCH(A45,G$7:G$40,0)),"")</f>
        <v>Triin Gretel Tauk, Vahur Raudsepp</v>
      </c>
      <c r="C45" s="63">
        <v>13</v>
      </c>
      <c r="D45" s="345"/>
    </row>
    <row r="46" spans="1:12" s="42" customFormat="1" x14ac:dyDescent="0.2">
      <c r="A46" s="360"/>
      <c r="B46" s="313"/>
      <c r="D46" s="46"/>
      <c r="E46" s="126" t="str">
        <f>IF(COUNT(E44,E48)=2,IF(E44&gt;E48,C44,C48),"")</f>
        <v>Andres Veski, Svetlana Veski</v>
      </c>
      <c r="G46" s="81">
        <v>4</v>
      </c>
    </row>
    <row r="47" spans="1:12" s="42" customFormat="1" x14ac:dyDescent="0.2">
      <c r="A47" s="360" t="s">
        <v>92</v>
      </c>
      <c r="B47" s="310" t="str">
        <f>IFERROR(INDEX(B$7:B$40,MATCH(A47,G$7:G$40,0)),"")</f>
        <v>Aigi Orro, Kalle Orro</v>
      </c>
      <c r="C47" s="81">
        <v>12</v>
      </c>
      <c r="D47" s="46"/>
      <c r="E47" s="343"/>
      <c r="F47" s="345"/>
    </row>
    <row r="48" spans="1:12" s="42" customFormat="1" x14ac:dyDescent="0.2">
      <c r="A48" s="360"/>
      <c r="B48" s="311"/>
      <c r="C48" s="126" t="str">
        <f>IF(COUNT(C47,C49)=2,IF(C47&gt;C49,B47,B49),"")</f>
        <v>Andres Veski, Svetlana Veski</v>
      </c>
      <c r="D48" s="50"/>
      <c r="E48" s="63">
        <v>13</v>
      </c>
      <c r="F48" s="46"/>
    </row>
    <row r="49" spans="1:11" s="42" customFormat="1" x14ac:dyDescent="0.2">
      <c r="A49" s="360" t="s">
        <v>68</v>
      </c>
      <c r="B49" s="312" t="str">
        <f>IFERROR(INDEX(B$7:B$40,MATCH(A49,G$7:G$40,0)),"")</f>
        <v>Andres Veski, Svetlana Veski</v>
      </c>
      <c r="C49" s="63">
        <v>13</v>
      </c>
      <c r="E49" s="45"/>
      <c r="F49" s="46"/>
    </row>
    <row r="50" spans="1:11" s="42" customFormat="1" x14ac:dyDescent="0.2">
      <c r="A50" s="370"/>
      <c r="B50" s="313"/>
      <c r="E50" s="45"/>
      <c r="F50" s="46"/>
      <c r="G50" s="42" t="str">
        <f>IF(COUNT(G46,G54)=2,IF(G46&gt;G54,E46,E54),"")</f>
        <v>Eve Oidsalu, Thibaut Sergeï Mathon</v>
      </c>
      <c r="I50" s="81">
        <v>8</v>
      </c>
    </row>
    <row r="51" spans="1:11" s="42" customFormat="1" x14ac:dyDescent="0.2">
      <c r="A51" s="61" t="s">
        <v>72</v>
      </c>
      <c r="B51" s="310" t="str">
        <f>IFERROR(INDEX(B$7:B$40,MATCH(A51,G$7:G$40,0)),"")</f>
        <v>Alari Keedus, Ülo Piik</v>
      </c>
      <c r="C51" s="81">
        <v>1</v>
      </c>
      <c r="F51" s="46"/>
      <c r="G51" s="343"/>
      <c r="H51" s="345"/>
    </row>
    <row r="52" spans="1:11" s="42" customFormat="1" x14ac:dyDescent="0.2">
      <c r="A52" s="360"/>
      <c r="B52" s="311"/>
      <c r="C52" s="126" t="str">
        <f>IF(COUNT(C51,C53)=2,IF(C51&gt;C53,B51,B53),"")</f>
        <v>Kadri Arunurm, Kalju Olmre</v>
      </c>
      <c r="E52" s="81">
        <v>1</v>
      </c>
      <c r="F52" s="46"/>
      <c r="G52" s="45"/>
      <c r="H52" s="46"/>
    </row>
    <row r="53" spans="1:11" s="42" customFormat="1" x14ac:dyDescent="0.2">
      <c r="A53" s="360" t="s">
        <v>94</v>
      </c>
      <c r="B53" s="312" t="str">
        <f>IFERROR(INDEX(B$7:B$40,MATCH(A53,G$7:G$40,0)),"")</f>
        <v>Kadri Arunurm, Kalju Olmre</v>
      </c>
      <c r="C53" s="63">
        <v>13</v>
      </c>
      <c r="D53" s="345"/>
      <c r="F53" s="46"/>
      <c r="G53" s="45"/>
      <c r="H53" s="46"/>
    </row>
    <row r="54" spans="1:11" s="42" customFormat="1" x14ac:dyDescent="0.2">
      <c r="A54" s="360"/>
      <c r="B54" s="313"/>
      <c r="D54" s="46"/>
      <c r="E54" s="126" t="str">
        <f>IF(COUNT(E52,E56)=2,IF(E52&gt;E56,C52,C56),"")</f>
        <v>Eve Oidsalu, Thibaut Sergeï Mathon</v>
      </c>
      <c r="F54" s="50"/>
      <c r="G54" s="63">
        <v>13</v>
      </c>
      <c r="H54" s="46"/>
    </row>
    <row r="55" spans="1:11" s="42" customFormat="1" x14ac:dyDescent="0.2">
      <c r="A55" s="360" t="s">
        <v>67</v>
      </c>
      <c r="B55" s="310" t="str">
        <f>IFERROR(INDEX(B$7:B$40,MATCH(A55,G$7:G$40,0)),"")</f>
        <v>Eve Oidsalu, Thibaut Sergeï Mathon</v>
      </c>
      <c r="C55" s="81">
        <f>IF(B55="-",0,IF(B57="-",13,""))</f>
        <v>13</v>
      </c>
      <c r="D55" s="46"/>
      <c r="E55" s="343"/>
      <c r="F55" s="45"/>
      <c r="G55" s="45"/>
      <c r="H55" s="46"/>
    </row>
    <row r="56" spans="1:11" s="42" customFormat="1" x14ac:dyDescent="0.2">
      <c r="A56" s="360"/>
      <c r="B56" s="311"/>
      <c r="C56" s="126" t="str">
        <f>IF(COUNT(C55,C57)=2,IF(C55&gt;C57,B55,B57),"")</f>
        <v>Eve Oidsalu, Thibaut Sergeï Mathon</v>
      </c>
      <c r="D56" s="50"/>
      <c r="E56" s="63">
        <v>13</v>
      </c>
      <c r="G56" s="45"/>
      <c r="H56" s="46"/>
    </row>
    <row r="57" spans="1:11" s="42" customFormat="1" x14ac:dyDescent="0.2">
      <c r="A57" s="360" t="s">
        <v>81</v>
      </c>
      <c r="B57" s="312" t="str">
        <f>IFERROR(INDEX(B$7:B$40,MATCH(A57,G$7:G$40,0)),"")</f>
        <v>-</v>
      </c>
      <c r="C57" s="63">
        <f>IF(B57="-",0,IF(B55="-",13,""))</f>
        <v>0</v>
      </c>
      <c r="E57" s="45"/>
      <c r="F57" s="45"/>
      <c r="G57" s="45"/>
      <c r="H57" s="46"/>
    </row>
    <row r="58" spans="1:11" s="42" customFormat="1" ht="13.5" thickBot="1" x14ac:dyDescent="0.25">
      <c r="A58" s="370"/>
      <c r="B58" s="313"/>
      <c r="G58" s="45"/>
      <c r="H58" s="46"/>
      <c r="J58" s="224" t="str">
        <f>IF(COUNT(I50,I66)=2,IF(I50&gt;I66,G50,G66),"")</f>
        <v>Hardo Sokk, Peep Puiestik</v>
      </c>
    </row>
    <row r="59" spans="1:11" s="42" customFormat="1" x14ac:dyDescent="0.2">
      <c r="A59" s="61" t="s">
        <v>71</v>
      </c>
      <c r="B59" s="310" t="str">
        <f>IFERROR(INDEX(B$7:B$40,MATCH(A59,G$7:G$40,0)),"")</f>
        <v>Kaarel Mikk, Mihkel Filipenko</v>
      </c>
      <c r="C59" s="81">
        <v>3</v>
      </c>
      <c r="G59" s="45"/>
      <c r="H59" s="46"/>
      <c r="I59" s="48"/>
      <c r="J59" s="62" t="s">
        <v>277</v>
      </c>
      <c r="K59" s="49"/>
    </row>
    <row r="60" spans="1:11" s="42" customFormat="1" x14ac:dyDescent="0.2">
      <c r="A60" s="360"/>
      <c r="B60" s="311"/>
      <c r="C60" s="126" t="str">
        <f>IF(COUNT(C59,C61)=2,IF(C59&gt;C61,B59,B61),"")</f>
        <v>Margus Berkmann, Veiko Proos</v>
      </c>
      <c r="E60" s="81">
        <v>11</v>
      </c>
      <c r="G60" s="45"/>
      <c r="H60" s="46"/>
    </row>
    <row r="61" spans="1:11" s="42" customFormat="1" x14ac:dyDescent="0.2">
      <c r="A61" s="360" t="s">
        <v>70</v>
      </c>
      <c r="B61" s="312" t="str">
        <f>IFERROR(INDEX(B$7:B$40,MATCH(A61,G$7:G$40,0)),"")</f>
        <v>Margus Berkmann, Veiko Proos</v>
      </c>
      <c r="C61" s="63">
        <v>13</v>
      </c>
      <c r="D61" s="345"/>
      <c r="G61" s="45"/>
      <c r="H61" s="46"/>
    </row>
    <row r="62" spans="1:11" s="42" customFormat="1" x14ac:dyDescent="0.2">
      <c r="A62" s="360"/>
      <c r="B62" s="313"/>
      <c r="D62" s="46"/>
      <c r="E62" s="126" t="str">
        <f>IF(COUNT(E60,E64)=2,IF(E60&gt;E64,C60,C64),"")</f>
        <v>Hardo Sokk, Peep Puiestik</v>
      </c>
      <c r="G62" s="51">
        <v>13</v>
      </c>
      <c r="H62" s="46"/>
    </row>
    <row r="63" spans="1:11" s="42" customFormat="1" x14ac:dyDescent="0.2">
      <c r="A63" s="360" t="s">
        <v>69</v>
      </c>
      <c r="B63" s="310" t="str">
        <f>IFERROR(INDEX(B$7:B$40,MATCH(A63,G$7:G$40,0)),"")</f>
        <v>Hardo Sokk, Peep Puiestik</v>
      </c>
      <c r="C63" s="81">
        <f>IF(B63="-",0,IF(B65="-",13,""))</f>
        <v>13</v>
      </c>
      <c r="D63" s="46"/>
      <c r="E63" s="343"/>
      <c r="F63" s="345"/>
      <c r="G63" s="45"/>
      <c r="H63" s="46"/>
    </row>
    <row r="64" spans="1:11" s="42" customFormat="1" x14ac:dyDescent="0.2">
      <c r="A64" s="360"/>
      <c r="B64" s="311"/>
      <c r="C64" s="126" t="str">
        <f>IF(COUNT(C63,C65)=2,IF(C63&gt;C65,B63,B65),"")</f>
        <v>Hardo Sokk, Peep Puiestik</v>
      </c>
      <c r="D64" s="50"/>
      <c r="E64" s="63">
        <v>13</v>
      </c>
      <c r="F64" s="46"/>
      <c r="G64" s="45"/>
      <c r="H64" s="46"/>
    </row>
    <row r="65" spans="1:11" s="42" customFormat="1" x14ac:dyDescent="0.2">
      <c r="A65" s="360" t="s">
        <v>81</v>
      </c>
      <c r="B65" s="312" t="str">
        <f>IFERROR(INDEX(B$7:B$40,MATCH(A65,G$7:G$40,0)),"")</f>
        <v>-</v>
      </c>
      <c r="C65" s="63">
        <f>IF(B65="-",0,IF(B63="-",13,""))</f>
        <v>0</v>
      </c>
      <c r="E65" s="45"/>
      <c r="F65" s="46"/>
      <c r="G65" s="45"/>
      <c r="H65" s="46"/>
    </row>
    <row r="66" spans="1:11" s="42" customFormat="1" x14ac:dyDescent="0.2">
      <c r="A66" s="370"/>
      <c r="B66" s="313"/>
      <c r="E66" s="45"/>
      <c r="F66" s="46"/>
      <c r="G66" s="344" t="str">
        <f>IF(COUNT(G62,G70)=2,IF(G62&gt;G70,E62,E70),"")</f>
        <v>Hardo Sokk, Peep Puiestik</v>
      </c>
      <c r="H66" s="50"/>
      <c r="I66" s="63">
        <v>13</v>
      </c>
    </row>
    <row r="67" spans="1:11" s="42" customFormat="1" ht="13.5" thickBot="1" x14ac:dyDescent="0.25">
      <c r="A67" s="61" t="s">
        <v>91</v>
      </c>
      <c r="B67" s="310" t="str">
        <f>IFERROR(INDEX(B$7:B$40,MATCH(A67,G$7:G$40,0)),"")</f>
        <v>Andero Kelu, Kaido Kopel</v>
      </c>
      <c r="C67" s="81">
        <f>IF(B67="-",0,IF(B69="-",13,""))</f>
        <v>13</v>
      </c>
      <c r="F67" s="46"/>
      <c r="G67" s="342"/>
      <c r="J67" s="224" t="str">
        <f>IF(COUNT(I50,I66)=2,IF(I50&lt;I66,G50,G66),"")</f>
        <v>Eve Oidsalu, Thibaut Sergeï Mathon</v>
      </c>
      <c r="K67" s="47"/>
    </row>
    <row r="68" spans="1:11" s="42" customFormat="1" x14ac:dyDescent="0.2">
      <c r="A68" s="360"/>
      <c r="B68" s="311"/>
      <c r="C68" s="126" t="str">
        <f>IF(COUNT(C67,C69)=2,IF(C67&gt;C69,B67,B69),"")</f>
        <v>Andero Kelu, Kaido Kopel</v>
      </c>
      <c r="E68" s="81">
        <v>13</v>
      </c>
      <c r="F68" s="46"/>
      <c r="G68" s="45"/>
      <c r="J68" s="62" t="s">
        <v>278</v>
      </c>
      <c r="K68" s="45"/>
    </row>
    <row r="69" spans="1:11" s="42" customFormat="1" x14ac:dyDescent="0.2">
      <c r="A69" s="360" t="s">
        <v>81</v>
      </c>
      <c r="B69" s="312" t="str">
        <f>IFERROR(INDEX(B$7:B$40,MATCH(A69,G$7:G$40,0)),"")</f>
        <v>-</v>
      </c>
      <c r="C69" s="63">
        <f>IF(B69="-",0,IF(B67="-",13,""))</f>
        <v>0</v>
      </c>
      <c r="D69" s="345"/>
      <c r="F69" s="46"/>
      <c r="G69" s="45"/>
    </row>
    <row r="70" spans="1:11" s="42" customFormat="1" x14ac:dyDescent="0.2">
      <c r="A70" s="360"/>
      <c r="B70" s="313"/>
      <c r="D70" s="46"/>
      <c r="E70" s="126" t="str">
        <f>IF(COUNT(E68,E72)=2,IF(E68&gt;E72,C68,C72),"")</f>
        <v>Andero Kelu, Kaido Kopel</v>
      </c>
      <c r="F70" s="50"/>
      <c r="G70" s="63">
        <v>10</v>
      </c>
    </row>
    <row r="71" spans="1:11" s="42" customFormat="1" x14ac:dyDescent="0.2">
      <c r="A71" s="360" t="s">
        <v>73</v>
      </c>
      <c r="B71" s="310" t="str">
        <f>IFERROR(INDEX(B$7:B$40,MATCH(A71,G$7:G$40,0)),"")</f>
        <v>Ivar Viljaste, Sirje Viljaste</v>
      </c>
      <c r="C71" s="81">
        <f>IF(B71="-",0,IF(B73="-",13,""))</f>
        <v>13</v>
      </c>
      <c r="D71" s="46"/>
      <c r="E71" s="343"/>
      <c r="F71" s="45"/>
      <c r="G71" s="45"/>
    </row>
    <row r="72" spans="1:11" s="42" customFormat="1" x14ac:dyDescent="0.2">
      <c r="A72" s="360"/>
      <c r="B72" s="311"/>
      <c r="C72" s="126" t="str">
        <f>IF(COUNT(C71,C73)=2,IF(C71&gt;C73,B71,B73),"")</f>
        <v>Ivar Viljaste, Sirje Viljaste</v>
      </c>
      <c r="D72" s="50"/>
      <c r="E72" s="63">
        <v>11</v>
      </c>
      <c r="G72" s="45" t="str">
        <f>IF(COUNT(G46,G54)=2,IF(G46&lt;G54,E46,E54),"")</f>
        <v>Andres Veski, Svetlana Veski</v>
      </c>
      <c r="I72" s="81">
        <v>0</v>
      </c>
    </row>
    <row r="73" spans="1:11" s="42" customFormat="1" ht="13.5" thickBot="1" x14ac:dyDescent="0.25">
      <c r="A73" s="360" t="s">
        <v>81</v>
      </c>
      <c r="B73" s="312" t="str">
        <f>IFERROR(INDEX(B$7:B$40,MATCH(A73,G$7:G$40,0)),"")</f>
        <v>-</v>
      </c>
      <c r="C73" s="63">
        <f>IF(B73="-",0,IF(B71="-",13,""))</f>
        <v>0</v>
      </c>
      <c r="E73" s="45"/>
      <c r="F73" s="45"/>
      <c r="G73" s="309"/>
      <c r="H73" s="345"/>
      <c r="I73" s="47"/>
      <c r="J73" s="224" t="str">
        <f>IF(COUNT(I72,I74)=2,IF(I72&gt;I74,G72,G74),"")</f>
        <v>Andero Kelu, Kaido Kopel</v>
      </c>
      <c r="K73" s="47"/>
    </row>
    <row r="74" spans="1:11" s="42" customFormat="1" x14ac:dyDescent="0.2">
      <c r="A74" s="313"/>
      <c r="F74" s="45"/>
      <c r="G74" s="127" t="str">
        <f>IF(COUNT(G62,G70)=2,IF(G62&lt;G70,E62,E70),"")</f>
        <v>Andero Kelu, Kaido Kopel</v>
      </c>
      <c r="H74" s="50"/>
      <c r="I74" s="63">
        <v>13</v>
      </c>
      <c r="J74" s="53" t="s">
        <v>279</v>
      </c>
      <c r="K74" s="45"/>
    </row>
    <row r="75" spans="1:11" s="42" customFormat="1" x14ac:dyDescent="0.2">
      <c r="A75" s="313"/>
      <c r="F75" s="45"/>
      <c r="J75" s="45"/>
      <c r="K75" s="45"/>
    </row>
    <row r="76" spans="1:11" s="42" customFormat="1" ht="13.5" thickBot="1" x14ac:dyDescent="0.25">
      <c r="A76" s="313"/>
      <c r="F76" s="45"/>
      <c r="G76" s="45"/>
      <c r="H76" s="45"/>
      <c r="J76" s="224" t="str">
        <f>IF(COUNT(I72,I74)=2,IF(I72&lt;I74,G72,G74),"")</f>
        <v>Andres Veski, Svetlana Veski</v>
      </c>
      <c r="K76" s="47"/>
    </row>
    <row r="77" spans="1:11" s="42" customFormat="1" x14ac:dyDescent="0.2">
      <c r="A77" s="313"/>
      <c r="G77" s="45"/>
      <c r="H77" s="45"/>
      <c r="J77" s="52" t="s">
        <v>75</v>
      </c>
    </row>
    <row r="78" spans="1:11" s="42" customFormat="1" x14ac:dyDescent="0.2">
      <c r="A78" s="313"/>
      <c r="G78" s="45"/>
      <c r="H78" s="45"/>
      <c r="J78" s="52"/>
    </row>
    <row r="79" spans="1:11" s="42" customFormat="1" x14ac:dyDescent="0.2">
      <c r="A79" s="371" t="s">
        <v>95</v>
      </c>
      <c r="G79" s="45"/>
      <c r="H79" s="45"/>
      <c r="J79" s="52"/>
    </row>
    <row r="80" spans="1:11" s="42" customFormat="1" x14ac:dyDescent="0.2">
      <c r="A80" s="372"/>
      <c r="G80" s="45"/>
      <c r="H80" s="45"/>
      <c r="J80" s="52"/>
    </row>
    <row r="81" spans="1:11" s="42" customFormat="1" x14ac:dyDescent="0.2">
      <c r="A81" s="313"/>
      <c r="E81" s="127" t="str">
        <f>IF(COUNT(E44,E48)=2,IF(E44&lt;E48,C44,C48),"")</f>
        <v>Triin Gretel Tauk, Vahur Raudsepp</v>
      </c>
      <c r="G81" s="81">
        <v>5</v>
      </c>
      <c r="H81" s="81"/>
      <c r="I81" s="81"/>
    </row>
    <row r="82" spans="1:11" s="42" customFormat="1" x14ac:dyDescent="0.2">
      <c r="A82" s="313"/>
      <c r="E82" s="65"/>
      <c r="F82" s="66"/>
      <c r="G82" s="126" t="str">
        <f>IF(COUNT(G81,G83)=2,IF(G81&gt;G83,E81,E83),"")</f>
        <v>Kadri Arunurm, Kalju Olmre</v>
      </c>
      <c r="I82" s="81">
        <v>13</v>
      </c>
    </row>
    <row r="83" spans="1:11" s="42" customFormat="1" x14ac:dyDescent="0.2">
      <c r="A83" s="313"/>
      <c r="E83" s="127" t="str">
        <f>IF(COUNT(E52,E56)=2,IF(E52&lt;E56,C52,C56),"")</f>
        <v>Kadri Arunurm, Kalju Olmre</v>
      </c>
      <c r="F83" s="67"/>
      <c r="G83" s="63">
        <v>13</v>
      </c>
      <c r="H83" s="66"/>
      <c r="I83" s="81"/>
    </row>
    <row r="84" spans="1:11" s="42" customFormat="1" ht="13.5" thickBot="1" x14ac:dyDescent="0.25">
      <c r="A84" s="313"/>
      <c r="E84" s="81"/>
      <c r="F84" s="81"/>
      <c r="G84" s="51"/>
      <c r="H84" s="68"/>
      <c r="I84" s="81"/>
      <c r="J84" s="224" t="str">
        <f>IF(COUNT(I82,I86)=2,IF(I82&gt;I86,G82,G86),"")</f>
        <v>Kadri Arunurm, Kalju Olmre</v>
      </c>
    </row>
    <row r="85" spans="1:11" s="42" customFormat="1" x14ac:dyDescent="0.2">
      <c r="A85" s="313"/>
      <c r="E85" s="348" t="str">
        <f>IF(COUNT(E60,E64)=2,IF(E60&lt;E64,C60,C64),"")</f>
        <v>Margus Berkmann, Veiko Proos</v>
      </c>
      <c r="F85" s="81"/>
      <c r="G85" s="81">
        <v>0</v>
      </c>
      <c r="H85" s="68"/>
      <c r="I85" s="69"/>
      <c r="J85" s="62" t="s">
        <v>76</v>
      </c>
      <c r="K85" s="49"/>
    </row>
    <row r="86" spans="1:11" s="42" customFormat="1" x14ac:dyDescent="0.2">
      <c r="A86" s="313"/>
      <c r="E86" s="65"/>
      <c r="F86" s="66"/>
      <c r="G86" s="126" t="str">
        <f>IF(COUNT(G85,G87)=2,IF(G85&gt;G87,E85,E87),"")</f>
        <v>Ivar Viljaste, Sirje Viljaste</v>
      </c>
      <c r="H86" s="50"/>
      <c r="I86" s="63">
        <v>9</v>
      </c>
    </row>
    <row r="87" spans="1:11" s="42" customFormat="1" ht="13.5" thickBot="1" x14ac:dyDescent="0.25">
      <c r="A87" s="313"/>
      <c r="E87" s="127" t="str">
        <f>IF(COUNT(E68,E72)=2,IF(E68&lt;E72,C68,C72),"")</f>
        <v>Ivar Viljaste, Sirje Viljaste</v>
      </c>
      <c r="F87" s="67"/>
      <c r="G87" s="63">
        <v>13</v>
      </c>
      <c r="H87" s="81"/>
      <c r="I87" s="51"/>
      <c r="J87" s="224" t="str">
        <f>IF(COUNT(I82,I86)=2,IF(I82&lt;I86,G82,G86),"")</f>
        <v>Ivar Viljaste, Sirje Viljaste</v>
      </c>
      <c r="K87" s="47"/>
    </row>
    <row r="88" spans="1:11" s="42" customFormat="1" x14ac:dyDescent="0.2">
      <c r="A88" s="313"/>
      <c r="E88" s="81"/>
      <c r="F88" s="81"/>
      <c r="G88" s="81"/>
      <c r="H88" s="81"/>
      <c r="I88" s="51"/>
      <c r="J88" s="62" t="s">
        <v>77</v>
      </c>
      <c r="K88" s="45"/>
    </row>
    <row r="89" spans="1:11" s="42" customFormat="1" x14ac:dyDescent="0.2">
      <c r="E89" s="81"/>
      <c r="F89" s="51"/>
      <c r="G89" s="223" t="str">
        <f>IF(COUNT(G81,G83)=2,IF(G81&lt;G83,E81,E83),"")</f>
        <v>Triin Gretel Tauk, Vahur Raudsepp</v>
      </c>
      <c r="I89" s="81">
        <v>13</v>
      </c>
      <c r="J89" s="45"/>
      <c r="K89" s="45"/>
    </row>
    <row r="90" spans="1:11" s="42" customFormat="1" ht="13.5" thickBot="1" x14ac:dyDescent="0.25">
      <c r="E90" s="81"/>
      <c r="F90" s="51"/>
      <c r="G90" s="309"/>
      <c r="H90" s="44"/>
      <c r="I90" s="47"/>
      <c r="J90" s="224" t="str">
        <f>IF(COUNT(I89,I91)=2,IF(I89&gt;I91,G89,G91),"")</f>
        <v>Triin Gretel Tauk, Vahur Raudsepp</v>
      </c>
      <c r="K90" s="47"/>
    </row>
    <row r="91" spans="1:11" s="42" customFormat="1" x14ac:dyDescent="0.2">
      <c r="E91" s="81"/>
      <c r="F91" s="51"/>
      <c r="G91" s="348" t="str">
        <f>IF(COUNT(G85,G87)=2,IF(G85&lt;G87,E85,E87),"")</f>
        <v>Margus Berkmann, Veiko Proos</v>
      </c>
      <c r="H91" s="349"/>
      <c r="I91" s="63">
        <v>0</v>
      </c>
      <c r="J91" s="53" t="s">
        <v>78</v>
      </c>
      <c r="K91" s="45"/>
    </row>
    <row r="92" spans="1:11" s="42" customFormat="1" x14ac:dyDescent="0.2">
      <c r="F92" s="45"/>
      <c r="J92" s="45"/>
      <c r="K92" s="45"/>
    </row>
    <row r="93" spans="1:11" s="42" customFormat="1" ht="13.5" thickBot="1" x14ac:dyDescent="0.25">
      <c r="G93" s="45"/>
      <c r="H93" s="45"/>
      <c r="J93" s="316" t="str">
        <f>IF(COUNT(I89,I91)=2,IF(I89&lt;I91,G89,G91),"")</f>
        <v>Margus Berkmann, Veiko Proos</v>
      </c>
      <c r="K93" s="47"/>
    </row>
    <row r="94" spans="1:11" s="42" customFormat="1" x14ac:dyDescent="0.2">
      <c r="G94" s="45"/>
      <c r="H94" s="45"/>
      <c r="J94" s="53" t="s">
        <v>79</v>
      </c>
    </row>
    <row r="95" spans="1:11" s="82" customFormat="1" hidden="1" x14ac:dyDescent="0.2"/>
    <row r="96" spans="1:11"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1" hidden="1" x14ac:dyDescent="0.2"/>
    <row r="290" spans="1:11" hidden="1" x14ac:dyDescent="0.2"/>
    <row r="291" spans="1:11" hidden="1" x14ac:dyDescent="0.2"/>
    <row r="292" spans="1:11" hidden="1" x14ac:dyDescent="0.2"/>
    <row r="293" spans="1:11" hidden="1" x14ac:dyDescent="0.2"/>
    <row r="294" spans="1:11" hidden="1" x14ac:dyDescent="0.2"/>
    <row r="295" spans="1:11" hidden="1" x14ac:dyDescent="0.2"/>
    <row r="296" spans="1:11" hidden="1" x14ac:dyDescent="0.2"/>
    <row r="297" spans="1:11" hidden="1" x14ac:dyDescent="0.2"/>
    <row r="298" spans="1:11" hidden="1" x14ac:dyDescent="0.2">
      <c r="D298" s="78"/>
      <c r="K298" s="78"/>
    </row>
    <row r="299" spans="1:11" x14ac:dyDescent="0.2">
      <c r="C299" s="319" t="s">
        <v>577</v>
      </c>
      <c r="D299" s="78"/>
      <c r="K299" s="78"/>
    </row>
    <row r="300" spans="1:11" x14ac:dyDescent="0.2">
      <c r="A300" s="54">
        <v>1</v>
      </c>
      <c r="B300" s="55" t="str">
        <f t="shared" ref="B300:B306" si="0">IFERROR(INDEX(J$58:J$93,MATCH(A300&amp;". koht",J$59:J$94,0)),"")</f>
        <v>Hardo Sokk, Peep Puiestik</v>
      </c>
      <c r="C300" s="79">
        <v>20</v>
      </c>
      <c r="D300" s="78"/>
      <c r="K300" s="78"/>
    </row>
    <row r="301" spans="1:11" x14ac:dyDescent="0.2">
      <c r="A301" s="54">
        <v>2</v>
      </c>
      <c r="B301" s="56" t="str">
        <f t="shared" si="0"/>
        <v>Eve Oidsalu, Thibaut Sergeï Mathon</v>
      </c>
      <c r="C301" s="79">
        <v>16</v>
      </c>
      <c r="D301" s="78"/>
      <c r="K301" s="78"/>
    </row>
    <row r="302" spans="1:11" x14ac:dyDescent="0.2">
      <c r="A302" s="54">
        <v>3</v>
      </c>
      <c r="B302" s="57" t="str">
        <f t="shared" si="0"/>
        <v>Andero Kelu, Kaido Kopel</v>
      </c>
      <c r="C302" s="79">
        <v>12</v>
      </c>
      <c r="D302" s="78"/>
      <c r="K302" s="78"/>
    </row>
    <row r="303" spans="1:11" x14ac:dyDescent="0.2">
      <c r="A303" s="54">
        <v>4</v>
      </c>
      <c r="B303" s="58" t="str">
        <f t="shared" si="0"/>
        <v>Andres Veski, Svetlana Veski</v>
      </c>
      <c r="C303" s="79">
        <v>9</v>
      </c>
      <c r="D303" s="78"/>
      <c r="K303" s="78"/>
    </row>
    <row r="304" spans="1:11" x14ac:dyDescent="0.2">
      <c r="A304" s="54">
        <v>5</v>
      </c>
      <c r="B304" s="58" t="str">
        <f t="shared" si="0"/>
        <v>Kadri Arunurm, Kalju Olmre</v>
      </c>
      <c r="C304" s="79">
        <v>7</v>
      </c>
      <c r="D304" s="78"/>
      <c r="K304" s="78"/>
    </row>
    <row r="305" spans="1:11" x14ac:dyDescent="0.2">
      <c r="A305" s="54">
        <v>6</v>
      </c>
      <c r="B305" s="58" t="str">
        <f t="shared" si="0"/>
        <v>Ivar Viljaste, Sirje Viljaste</v>
      </c>
      <c r="C305" s="79">
        <v>5</v>
      </c>
      <c r="D305" s="78"/>
      <c r="K305" s="78"/>
    </row>
    <row r="306" spans="1:11" x14ac:dyDescent="0.2">
      <c r="A306" s="54">
        <v>7</v>
      </c>
      <c r="B306" s="58" t="str">
        <f t="shared" si="0"/>
        <v>Triin Gretel Tauk, Vahur Raudsepp</v>
      </c>
      <c r="C306" s="79">
        <v>4</v>
      </c>
      <c r="D306" s="78"/>
      <c r="K306" s="78"/>
    </row>
    <row r="307" spans="1:11" x14ac:dyDescent="0.2">
      <c r="A307" s="59" t="s">
        <v>297</v>
      </c>
      <c r="B307" s="58" t="s">
        <v>174</v>
      </c>
      <c r="C307" s="322">
        <v>1.5</v>
      </c>
      <c r="D307" s="78"/>
      <c r="K307" s="78"/>
    </row>
    <row r="308" spans="1:11" x14ac:dyDescent="0.2">
      <c r="A308" s="59" t="s">
        <v>297</v>
      </c>
      <c r="B308" s="122" t="s">
        <v>286</v>
      </c>
      <c r="C308" s="322">
        <v>1.5</v>
      </c>
      <c r="D308" s="78"/>
      <c r="K308" s="78"/>
    </row>
    <row r="309" spans="1:11" x14ac:dyDescent="0.2">
      <c r="A309" s="59" t="s">
        <v>297</v>
      </c>
      <c r="B309" s="122" t="s">
        <v>89</v>
      </c>
      <c r="C309" s="322">
        <v>1.5</v>
      </c>
      <c r="D309" s="78"/>
      <c r="K309" s="78"/>
    </row>
    <row r="310" spans="1:11" x14ac:dyDescent="0.2">
      <c r="A310" s="59" t="s">
        <v>297</v>
      </c>
      <c r="B310" s="122" t="s">
        <v>283</v>
      </c>
      <c r="C310" s="322">
        <v>1.5</v>
      </c>
      <c r="D310" s="78"/>
      <c r="K310" s="78"/>
    </row>
    <row r="311" spans="1:11" x14ac:dyDescent="0.2">
      <c r="A311" s="59" t="s">
        <v>298</v>
      </c>
      <c r="B311" s="122" t="s">
        <v>183</v>
      </c>
      <c r="C311" s="79">
        <v>1</v>
      </c>
      <c r="D311" s="78"/>
      <c r="K311" s="78"/>
    </row>
    <row r="312" spans="1:11" x14ac:dyDescent="0.2">
      <c r="A312" s="59" t="s">
        <v>298</v>
      </c>
      <c r="B312" s="122" t="s">
        <v>220</v>
      </c>
      <c r="C312" s="79">
        <v>1</v>
      </c>
      <c r="D312" s="78"/>
      <c r="K312" s="78"/>
    </row>
    <row r="313" spans="1:11" x14ac:dyDescent="0.2">
      <c r="A313" s="59" t="s">
        <v>298</v>
      </c>
      <c r="B313" s="186" t="s">
        <v>282</v>
      </c>
      <c r="C313" s="79">
        <v>1</v>
      </c>
      <c r="D313" s="78"/>
      <c r="K313" s="78"/>
    </row>
    <row r="314" spans="1:11" x14ac:dyDescent="0.2">
      <c r="A314" s="59" t="s">
        <v>298</v>
      </c>
      <c r="B314" s="122" t="s">
        <v>290</v>
      </c>
      <c r="C314" s="79">
        <v>1</v>
      </c>
      <c r="D314" s="78"/>
      <c r="K314" s="78"/>
    </row>
    <row r="315" spans="1:11" x14ac:dyDescent="0.2">
      <c r="A315" s="59" t="s">
        <v>298</v>
      </c>
      <c r="B315" s="122" t="s">
        <v>281</v>
      </c>
      <c r="C315" s="79">
        <v>1</v>
      </c>
      <c r="D315" s="78"/>
      <c r="K315" s="78"/>
    </row>
    <row r="316" spans="1:11" x14ac:dyDescent="0.2">
      <c r="A316" s="59" t="s">
        <v>298</v>
      </c>
      <c r="B316" s="123" t="s">
        <v>289</v>
      </c>
      <c r="C316" s="79">
        <v>1</v>
      </c>
      <c r="D316" s="78"/>
      <c r="K316" s="78"/>
    </row>
    <row r="317" spans="1:11" x14ac:dyDescent="0.2">
      <c r="A317" s="59" t="s">
        <v>298</v>
      </c>
      <c r="B317" s="186" t="s">
        <v>284</v>
      </c>
      <c r="C317" s="79">
        <v>1</v>
      </c>
      <c r="D317" s="78"/>
      <c r="K317" s="78"/>
    </row>
    <row r="318" spans="1:11" x14ac:dyDescent="0.2">
      <c r="A318" s="59" t="s">
        <v>298</v>
      </c>
      <c r="B318" s="122" t="s">
        <v>175</v>
      </c>
      <c r="C318" s="79">
        <v>1</v>
      </c>
      <c r="D318" s="78"/>
      <c r="K318" s="78"/>
    </row>
    <row r="319" spans="1:11" x14ac:dyDescent="0.2">
      <c r="A319" s="59" t="s">
        <v>299</v>
      </c>
      <c r="B319" s="352" t="s">
        <v>285</v>
      </c>
      <c r="C319" s="321">
        <v>0</v>
      </c>
      <c r="D319" s="78"/>
      <c r="K319" s="78"/>
    </row>
    <row r="320" spans="1:11" x14ac:dyDescent="0.2">
      <c r="D320" s="78"/>
      <c r="E320" s="78"/>
      <c r="F320" s="78"/>
      <c r="G320" s="78"/>
      <c r="H320" s="78"/>
      <c r="I320" s="78"/>
      <c r="J320" s="78"/>
      <c r="K320" s="78"/>
    </row>
  </sheetData>
  <conditionalFormatting sqref="B10">
    <cfRule type="duplicateValues" dxfId="1604" priority="540"/>
  </conditionalFormatting>
  <conditionalFormatting sqref="B7:B9">
    <cfRule type="duplicateValues" dxfId="1603" priority="511"/>
  </conditionalFormatting>
  <conditionalFormatting sqref="B13:B15">
    <cfRule type="duplicateValues" dxfId="1602" priority="481"/>
  </conditionalFormatting>
  <conditionalFormatting sqref="B16">
    <cfRule type="duplicateValues" dxfId="1601" priority="480"/>
  </conditionalFormatting>
  <conditionalFormatting sqref="B19:B21">
    <cfRule type="duplicateValues" dxfId="1600" priority="450"/>
  </conditionalFormatting>
  <conditionalFormatting sqref="B22">
    <cfRule type="duplicateValues" dxfId="1599" priority="449"/>
  </conditionalFormatting>
  <conditionalFormatting sqref="B25:B27">
    <cfRule type="duplicateValues" dxfId="1598" priority="419"/>
  </conditionalFormatting>
  <conditionalFormatting sqref="B28">
    <cfRule type="duplicateValues" dxfId="1597" priority="418"/>
  </conditionalFormatting>
  <conditionalFormatting sqref="B31:B33">
    <cfRule type="duplicateValues" dxfId="1596" priority="388"/>
  </conditionalFormatting>
  <conditionalFormatting sqref="B34">
    <cfRule type="duplicateValues" dxfId="1595" priority="387"/>
  </conditionalFormatting>
  <conditionalFormatting sqref="B37:B40">
    <cfRule type="duplicateValues" dxfId="1594" priority="357"/>
  </conditionalFormatting>
  <conditionalFormatting sqref="B300:B319">
    <cfRule type="containsBlanks" dxfId="1593" priority="286">
      <formula>LEN(TRIM(B300))=0</formula>
    </cfRule>
    <cfRule type="duplicateValues" dxfId="1592" priority="323"/>
  </conditionalFormatting>
  <conditionalFormatting sqref="A43:A73">
    <cfRule type="cellIs" dxfId="1591" priority="285" operator="equal">
      <formula>"-"</formula>
    </cfRule>
    <cfRule type="duplicateValues" dxfId="1590" priority="317"/>
  </conditionalFormatting>
  <conditionalFormatting sqref="G81 G83">
    <cfRule type="aboveAverage" dxfId="1589" priority="316"/>
  </conditionalFormatting>
  <conditionalFormatting sqref="G85 G87">
    <cfRule type="aboveAverage" dxfId="1588" priority="315"/>
  </conditionalFormatting>
  <conditionalFormatting sqref="I82 I86">
    <cfRule type="aboveAverage" dxfId="1587" priority="314"/>
  </conditionalFormatting>
  <conditionalFormatting sqref="I89 I91">
    <cfRule type="aboveAverage" dxfId="1586" priority="313"/>
  </conditionalFormatting>
  <conditionalFormatting sqref="G81 G83 G85 G87 I82 I86 I89 I91">
    <cfRule type="containsBlanks" dxfId="1585" priority="312">
      <formula>LEN(TRIM(G81))=0</formula>
    </cfRule>
  </conditionalFormatting>
  <conditionalFormatting sqref="C43 C45">
    <cfRule type="aboveAverage" dxfId="1584" priority="311"/>
  </conditionalFormatting>
  <conditionalFormatting sqref="C47 C49">
    <cfRule type="aboveAverage" dxfId="1583" priority="310"/>
  </conditionalFormatting>
  <conditionalFormatting sqref="E44 E48">
    <cfRule type="aboveAverage" dxfId="1582" priority="309"/>
  </conditionalFormatting>
  <conditionalFormatting sqref="C51 C53">
    <cfRule type="aboveAverage" dxfId="1581" priority="308"/>
  </conditionalFormatting>
  <conditionalFormatting sqref="E52 E56">
    <cfRule type="aboveAverage" dxfId="1580" priority="306"/>
  </conditionalFormatting>
  <conditionalFormatting sqref="G46 G54">
    <cfRule type="aboveAverage" dxfId="1579" priority="305"/>
  </conditionalFormatting>
  <conditionalFormatting sqref="C59 C61">
    <cfRule type="aboveAverage" dxfId="1578" priority="304"/>
  </conditionalFormatting>
  <conditionalFormatting sqref="E60 E64">
    <cfRule type="aboveAverage" dxfId="1577" priority="302"/>
  </conditionalFormatting>
  <conditionalFormatting sqref="E68 E72">
    <cfRule type="aboveAverage" dxfId="1576" priority="299"/>
  </conditionalFormatting>
  <conditionalFormatting sqref="G62 G70">
    <cfRule type="aboveAverage" dxfId="1575" priority="298"/>
  </conditionalFormatting>
  <conditionalFormatting sqref="I50 I66">
    <cfRule type="aboveAverage" dxfId="1574" priority="297"/>
  </conditionalFormatting>
  <conditionalFormatting sqref="I72 I74">
    <cfRule type="aboveAverage" dxfId="1573" priority="296"/>
  </conditionalFormatting>
  <conditionalFormatting sqref="C43 C45 C47 C49 C51 C53 C59 C61 E44 E48 E52 E56 E60 E64 E68 E72 G46 G54 G62 G70 I50 I66 I72 I74">
    <cfRule type="containsBlanks" dxfId="1572" priority="295">
      <formula>LEN(TRIM(C43))=0</formula>
    </cfRule>
  </conditionalFormatting>
  <conditionalFormatting sqref="C55 C57">
    <cfRule type="aboveAverage" dxfId="1571" priority="294"/>
  </conditionalFormatting>
  <conditionalFormatting sqref="C55 C57">
    <cfRule type="containsBlanks" dxfId="1570" priority="293">
      <formula>LEN(TRIM(C55))=0</formula>
    </cfRule>
  </conditionalFormatting>
  <conditionalFormatting sqref="C63 C65">
    <cfRule type="aboveAverage" dxfId="1569" priority="292"/>
  </conditionalFormatting>
  <conditionalFormatting sqref="C63 C65">
    <cfRule type="containsBlanks" dxfId="1568" priority="291">
      <formula>LEN(TRIM(C63))=0</formula>
    </cfRule>
  </conditionalFormatting>
  <conditionalFormatting sqref="C67 C69">
    <cfRule type="aboveAverage" dxfId="1567" priority="290"/>
  </conditionalFormatting>
  <conditionalFormatting sqref="C67 C69">
    <cfRule type="containsBlanks" dxfId="1566" priority="289">
      <formula>LEN(TRIM(C67))=0</formula>
    </cfRule>
  </conditionalFormatting>
  <conditionalFormatting sqref="C71 C73">
    <cfRule type="aboveAverage" dxfId="1565" priority="288"/>
  </conditionalFormatting>
  <conditionalFormatting sqref="C71 C73">
    <cfRule type="containsBlanks" dxfId="1564" priority="287">
      <formula>LEN(TRIM(C71))=0</formula>
    </cfRule>
  </conditionalFormatting>
  <conditionalFormatting sqref="G7:G10">
    <cfRule type="containsText" dxfId="1563" priority="243" operator="containsText" text="2">
      <formula>NOT(ISERROR(SEARCH("2",G7)))</formula>
    </cfRule>
    <cfRule type="containsText" dxfId="1562" priority="244" operator="containsText" text="1">
      <formula>NOT(ISERROR(SEARCH("1",G7)))</formula>
    </cfRule>
  </conditionalFormatting>
  <conditionalFormatting sqref="G10">
    <cfRule type="expression" dxfId="1561" priority="242">
      <formula>B10="-"</formula>
    </cfRule>
  </conditionalFormatting>
  <conditionalFormatting sqref="C7 C10">
    <cfRule type="aboveAverage" dxfId="1560" priority="241"/>
  </conditionalFormatting>
  <conditionalFormatting sqref="C8:C9">
    <cfRule type="aboveAverage" dxfId="1559" priority="240"/>
  </conditionalFormatting>
  <conditionalFormatting sqref="G13:G16">
    <cfRule type="containsText" dxfId="1558" priority="219" operator="containsText" text="2">
      <formula>NOT(ISERROR(SEARCH("2",G13)))</formula>
    </cfRule>
    <cfRule type="containsText" dxfId="1557" priority="220" operator="containsText" text="1">
      <formula>NOT(ISERROR(SEARCH("1",G13)))</formula>
    </cfRule>
  </conditionalFormatting>
  <conditionalFormatting sqref="G16">
    <cfRule type="expression" dxfId="1556" priority="218">
      <formula>B16="-"</formula>
    </cfRule>
  </conditionalFormatting>
  <conditionalFormatting sqref="C13 C16">
    <cfRule type="aboveAverage" dxfId="1555" priority="217"/>
  </conditionalFormatting>
  <conditionalFormatting sqref="C14:C15">
    <cfRule type="aboveAverage" dxfId="1554" priority="216"/>
  </conditionalFormatting>
  <conditionalFormatting sqref="G19:G22">
    <cfRule type="containsText" dxfId="1553" priority="195" operator="containsText" text="2">
      <formula>NOT(ISERROR(SEARCH("2",G19)))</formula>
    </cfRule>
    <cfRule type="containsText" dxfId="1552" priority="196" operator="containsText" text="1">
      <formula>NOT(ISERROR(SEARCH("1",G19)))</formula>
    </cfRule>
  </conditionalFormatting>
  <conditionalFormatting sqref="G22">
    <cfRule type="expression" dxfId="1551" priority="194">
      <formula>B22="-"</formula>
    </cfRule>
  </conditionalFormatting>
  <conditionalFormatting sqref="C19 C22">
    <cfRule type="aboveAverage" dxfId="1550" priority="193"/>
  </conditionalFormatting>
  <conditionalFormatting sqref="C20:C21">
    <cfRule type="aboveAverage" dxfId="1549" priority="192"/>
  </conditionalFormatting>
  <conditionalFormatting sqref="G25:G28">
    <cfRule type="containsText" dxfId="1548" priority="171" operator="containsText" text="2">
      <formula>NOT(ISERROR(SEARCH("2",G25)))</formula>
    </cfRule>
    <cfRule type="containsText" dxfId="1547" priority="172" operator="containsText" text="1">
      <formula>NOT(ISERROR(SEARCH("1",G25)))</formula>
    </cfRule>
  </conditionalFormatting>
  <conditionalFormatting sqref="G28">
    <cfRule type="expression" dxfId="1546" priority="170">
      <formula>B28="-"</formula>
    </cfRule>
  </conditionalFormatting>
  <conditionalFormatting sqref="C25 C28">
    <cfRule type="aboveAverage" dxfId="1545" priority="169"/>
  </conditionalFormatting>
  <conditionalFormatting sqref="C26:C27">
    <cfRule type="aboveAverage" dxfId="1544" priority="168"/>
  </conditionalFormatting>
  <conditionalFormatting sqref="G31:G34">
    <cfRule type="containsText" dxfId="1543" priority="147" operator="containsText" text="2">
      <formula>NOT(ISERROR(SEARCH("2",G31)))</formula>
    </cfRule>
    <cfRule type="containsText" dxfId="1542" priority="148" operator="containsText" text="1">
      <formula>NOT(ISERROR(SEARCH("1",G31)))</formula>
    </cfRule>
  </conditionalFormatting>
  <conditionalFormatting sqref="G34">
    <cfRule type="expression" dxfId="1541" priority="146">
      <formula>B34="-"</formula>
    </cfRule>
  </conditionalFormatting>
  <conditionalFormatting sqref="C31 C34">
    <cfRule type="aboveAverage" dxfId="1540" priority="145"/>
  </conditionalFormatting>
  <conditionalFormatting sqref="C32:C33">
    <cfRule type="aboveAverage" dxfId="1539" priority="144"/>
  </conditionalFormatting>
  <conditionalFormatting sqref="G37:G40">
    <cfRule type="containsText" dxfId="1538" priority="123" operator="containsText" text="2">
      <formula>NOT(ISERROR(SEARCH("2",G37)))</formula>
    </cfRule>
    <cfRule type="containsText" dxfId="1537" priority="124" operator="containsText" text="1">
      <formula>NOT(ISERROR(SEARCH("1",G37)))</formula>
    </cfRule>
  </conditionalFormatting>
  <conditionalFormatting sqref="G40">
    <cfRule type="expression" dxfId="1536" priority="122">
      <formula>B40="-"</formula>
    </cfRule>
  </conditionalFormatting>
  <conditionalFormatting sqref="C37 C40">
    <cfRule type="aboveAverage" dxfId="1535" priority="121"/>
  </conditionalFormatting>
  <conditionalFormatting sqref="C38:C39">
    <cfRule type="aboveAverage" dxfId="1534" priority="120"/>
  </conditionalFormatting>
  <conditionalFormatting sqref="E10">
    <cfRule type="expression" dxfId="1533" priority="114">
      <formula>AND(COUNT(E7:E10)&lt;2,IF(ISNUMBER(C10),C7&gt;C10))</formula>
    </cfRule>
  </conditionalFormatting>
  <conditionalFormatting sqref="E7">
    <cfRule type="expression" dxfId="1532" priority="113">
      <formula>AND(COUNT(E7:E10)&lt;2,IF(ISNUMBER(C7),C10&gt;C7))</formula>
    </cfRule>
  </conditionalFormatting>
  <conditionalFormatting sqref="E8">
    <cfRule type="expression" dxfId="1531" priority="112">
      <formula>AND(COUNT(E7:E10)&lt;2,IF(ISNUMBER(C8),C9&gt;C8))</formula>
    </cfRule>
  </conditionalFormatting>
  <conditionalFormatting sqref="E9">
    <cfRule type="expression" dxfId="1530" priority="111">
      <formula>AND(COUNT(E7:E10)&lt;2,IF(ISNUMBER(C9),C8&gt;C9))</formula>
    </cfRule>
  </conditionalFormatting>
  <conditionalFormatting sqref="E7:E10">
    <cfRule type="aboveAverage" dxfId="1529" priority="110"/>
  </conditionalFormatting>
  <conditionalFormatting sqref="F7">
    <cfRule type="expression" dxfId="1528" priority="105">
      <formula>AND(COUNT(F7:F10)&lt;2,IF(COUNT(E7:E10)=2,IF(AND(ISNUMBER(E7),COUNTIF(E7:E10,E7)=1,E7=MAX(E7:E10)),TRUE,FALSE)))</formula>
    </cfRule>
    <cfRule type="expression" dxfId="1527" priority="109">
      <formula>AND(COUNT(F7:F10)&lt;2,IF(COUNT(D7:D10)=2,IF(AND(ISNUMBER(D7),COUNTIF(D7:D10,D7)=1,D7=MIN(D7:D10)),TRUE,FALSE)))</formula>
    </cfRule>
  </conditionalFormatting>
  <conditionalFormatting sqref="F8">
    <cfRule type="expression" dxfId="1526" priority="104">
      <formula>AND(COUNT(F7:F10)&lt;2,IF(COUNT(E7:E10)=2,IF(AND(ISNUMBER(E8),COUNTIF(E7:E10,E8)=1,E8=MAX(E7:E10)),TRUE,FALSE)))</formula>
    </cfRule>
    <cfRule type="expression" dxfId="1525" priority="108">
      <formula>AND(COUNT(F7:F10)&lt;2,IF(COUNT(D7:D10)=2,IF(AND(ISNUMBER(D8),COUNTIF(D7:D10,D8)=1,D8=MIN(D7:D10)),TRUE,FALSE)))</formula>
    </cfRule>
  </conditionalFormatting>
  <conditionalFormatting sqref="F9">
    <cfRule type="expression" dxfId="1524" priority="103">
      <formula>AND(COUNT(F7:F10)&lt;2,IF(COUNT(E7:E10)=2,IF(AND(ISNUMBER(E9),COUNTIF(E7:E10,E9)=1,E9=MAX(E7:E10)),TRUE,FALSE)))</formula>
    </cfRule>
    <cfRule type="expression" dxfId="1523" priority="107">
      <formula>AND(COUNT(F7:F10)&lt;2,IF(COUNT(D7:D10)=2,IF(AND(ISNUMBER(D9),COUNTIF(D7:D10,D9)=1,D9=MIN(D7:D10)),TRUE,FALSE)))</formula>
    </cfRule>
  </conditionalFormatting>
  <conditionalFormatting sqref="F10">
    <cfRule type="expression" dxfId="1522" priority="102">
      <formula>AND(COUNT(F7:F10)&lt;2,IF(COUNT(E7:E10)=2,IF(AND(ISNUMBER(E10),COUNTIF(E7:E10,E10)=1,E10=MAX(E7:E10)),TRUE,FALSE)))</formula>
    </cfRule>
    <cfRule type="expression" dxfId="1521" priority="106">
      <formula>AND(COUNT(F7:F10)&lt;2,IF(COUNT(D7:D10)=2,IF(AND(ISNUMBER(D10),COUNTIF(D7:D10,D10)=1,D10=MIN(D7:D10)),TRUE,FALSE)))</formula>
    </cfRule>
  </conditionalFormatting>
  <conditionalFormatting sqref="F7:F10">
    <cfRule type="aboveAverage" dxfId="1520" priority="101"/>
  </conditionalFormatting>
  <conditionalFormatting sqref="D7">
    <cfRule type="expression" dxfId="1519" priority="100">
      <formula>AND(COUNT(D7:D10)&lt;2,IF(ISNUMBER(C10),C7&gt;C10))</formula>
    </cfRule>
  </conditionalFormatting>
  <conditionalFormatting sqref="D8">
    <cfRule type="expression" dxfId="1518" priority="99">
      <formula>AND(COUNT(D7:D10)&lt;2,IF(ISNUMBER(C9),C8&gt;C9))</formula>
    </cfRule>
  </conditionalFormatting>
  <conditionalFormatting sqref="D9">
    <cfRule type="expression" dxfId="1517" priority="98">
      <formula>AND(COUNT(D7:D10)&lt;2,IF(ISNUMBER(C8),C9&gt;C8))</formula>
    </cfRule>
  </conditionalFormatting>
  <conditionalFormatting sqref="D10">
    <cfRule type="expression" dxfId="1516" priority="97">
      <formula>AND(COUNT(D7:D10)&lt;2,IF(ISNUMBER(C7),C10&gt;C7))</formula>
    </cfRule>
  </conditionalFormatting>
  <conditionalFormatting sqref="D7:D10">
    <cfRule type="aboveAverage" dxfId="1515" priority="96"/>
  </conditionalFormatting>
  <conditionalFormatting sqref="E16">
    <cfRule type="expression" dxfId="1514" priority="95">
      <formula>AND(COUNT(E13:E16)&lt;2,IF(ISNUMBER(C16),C13&gt;C16))</formula>
    </cfRule>
  </conditionalFormatting>
  <conditionalFormatting sqref="E13">
    <cfRule type="expression" dxfId="1513" priority="94">
      <formula>AND(COUNT(E13:E16)&lt;2,IF(ISNUMBER(C13),C16&gt;C13))</formula>
    </cfRule>
  </conditionalFormatting>
  <conditionalFormatting sqref="E14">
    <cfRule type="expression" dxfId="1512" priority="93">
      <formula>AND(COUNT(E13:E16)&lt;2,IF(ISNUMBER(C14),C15&gt;C14))</formula>
    </cfRule>
  </conditionalFormatting>
  <conditionalFormatting sqref="E15">
    <cfRule type="expression" dxfId="1511" priority="92">
      <formula>AND(COUNT(E13:E16)&lt;2,IF(ISNUMBER(C15),C14&gt;C15))</formula>
    </cfRule>
  </conditionalFormatting>
  <conditionalFormatting sqref="E13:E16">
    <cfRule type="aboveAverage" dxfId="1510" priority="91"/>
  </conditionalFormatting>
  <conditionalFormatting sqref="F13">
    <cfRule type="expression" dxfId="1509" priority="86">
      <formula>AND(COUNT(F13:F16)&lt;2,IF(COUNT(E13:E16)=2,IF(AND(ISNUMBER(E13),COUNTIF(E13:E16,E13)=1,E13=MAX(E13:E16)),TRUE,FALSE)))</formula>
    </cfRule>
    <cfRule type="expression" dxfId="1508" priority="90">
      <formula>AND(COUNT(F13:F16)&lt;2,IF(COUNT(D13:D16)=2,IF(AND(ISNUMBER(D13),COUNTIF(D13:D16,D13)=1,D13=MIN(D13:D16)),TRUE,FALSE)))</formula>
    </cfRule>
  </conditionalFormatting>
  <conditionalFormatting sqref="F14">
    <cfRule type="expression" dxfId="1507" priority="85">
      <formula>AND(COUNT(F13:F16)&lt;2,IF(COUNT(E13:E16)=2,IF(AND(ISNUMBER(E14),COUNTIF(E13:E16,E14)=1,E14=MAX(E13:E16)),TRUE,FALSE)))</formula>
    </cfRule>
    <cfRule type="expression" dxfId="1506" priority="89">
      <formula>AND(COUNT(F13:F16)&lt;2,IF(COUNT(D13:D16)=2,IF(AND(ISNUMBER(D14),COUNTIF(D13:D16,D14)=1,D14=MIN(D13:D16)),TRUE,FALSE)))</formula>
    </cfRule>
  </conditionalFormatting>
  <conditionalFormatting sqref="F15">
    <cfRule type="expression" dxfId="1505" priority="84">
      <formula>AND(COUNT(F13:F16)&lt;2,IF(COUNT(E13:E16)=2,IF(AND(ISNUMBER(E15),COUNTIF(E13:E16,E15)=1,E15=MAX(E13:E16)),TRUE,FALSE)))</formula>
    </cfRule>
    <cfRule type="expression" dxfId="1504" priority="88">
      <formula>AND(COUNT(F13:F16)&lt;2,IF(COUNT(D13:D16)=2,IF(AND(ISNUMBER(D15),COUNTIF(D13:D16,D15)=1,D15=MIN(D13:D16)),TRUE,FALSE)))</formula>
    </cfRule>
  </conditionalFormatting>
  <conditionalFormatting sqref="F16">
    <cfRule type="expression" dxfId="1503" priority="83">
      <formula>AND(COUNT(F13:F16)&lt;2,IF(COUNT(E13:E16)=2,IF(AND(ISNUMBER(E16),COUNTIF(E13:E16,E16)=1,E16=MAX(E13:E16)),TRUE,FALSE)))</formula>
    </cfRule>
    <cfRule type="expression" dxfId="1502" priority="87">
      <formula>AND(COUNT(F13:F16)&lt;2,IF(COUNT(D13:D16)=2,IF(AND(ISNUMBER(D16),COUNTIF(D13:D16,D16)=1,D16=MIN(D13:D16)),TRUE,FALSE)))</formula>
    </cfRule>
  </conditionalFormatting>
  <conditionalFormatting sqref="F13:F16">
    <cfRule type="aboveAverage" dxfId="1501" priority="82"/>
  </conditionalFormatting>
  <conditionalFormatting sqref="D13">
    <cfRule type="expression" dxfId="1500" priority="81">
      <formula>AND(COUNT(D13:D16)&lt;2,IF(ISNUMBER(C16),C13&gt;C16))</formula>
    </cfRule>
  </conditionalFormatting>
  <conditionalFormatting sqref="D14">
    <cfRule type="expression" dxfId="1499" priority="80">
      <formula>AND(COUNT(D13:D16)&lt;2,IF(ISNUMBER(C15),C14&gt;C15))</formula>
    </cfRule>
  </conditionalFormatting>
  <conditionalFormatting sqref="D15">
    <cfRule type="expression" dxfId="1498" priority="79">
      <formula>AND(COUNT(D13:D16)&lt;2,IF(ISNUMBER(C14),C15&gt;C14))</formula>
    </cfRule>
  </conditionalFormatting>
  <conditionalFormatting sqref="D16">
    <cfRule type="expression" dxfId="1497" priority="78">
      <formula>AND(COUNT(D13:D16)&lt;2,IF(ISNUMBER(C13),C16&gt;C13))</formula>
    </cfRule>
  </conditionalFormatting>
  <conditionalFormatting sqref="D13:D16">
    <cfRule type="aboveAverage" dxfId="1496" priority="77"/>
  </conditionalFormatting>
  <conditionalFormatting sqref="E22">
    <cfRule type="expression" dxfId="1495" priority="76">
      <formula>AND(COUNT(E19:E22)&lt;2,IF(ISNUMBER(C22),C19&gt;C22))</formula>
    </cfRule>
  </conditionalFormatting>
  <conditionalFormatting sqref="E19">
    <cfRule type="expression" dxfId="1494" priority="75">
      <formula>AND(COUNT(E19:E22)&lt;2,IF(ISNUMBER(C19),C22&gt;C19))</formula>
    </cfRule>
  </conditionalFormatting>
  <conditionalFormatting sqref="E20">
    <cfRule type="expression" dxfId="1493" priority="74">
      <formula>AND(COUNT(E19:E22)&lt;2,IF(ISNUMBER(C20),C21&gt;C20))</formula>
    </cfRule>
  </conditionalFormatting>
  <conditionalFormatting sqref="E21">
    <cfRule type="expression" dxfId="1492" priority="73">
      <formula>AND(COUNT(E19:E22)&lt;2,IF(ISNUMBER(C21),C20&gt;C21))</formula>
    </cfRule>
  </conditionalFormatting>
  <conditionalFormatting sqref="E19:E22">
    <cfRule type="aboveAverage" dxfId="1491" priority="72"/>
  </conditionalFormatting>
  <conditionalFormatting sqref="F19">
    <cfRule type="expression" dxfId="1490" priority="67">
      <formula>AND(COUNT(F19:F22)&lt;2,IF(COUNT(E19:E22)=2,IF(AND(ISNUMBER(E19),COUNTIF(E19:E22,E19)=1,E19=MAX(E19:E22)),TRUE,FALSE)))</formula>
    </cfRule>
    <cfRule type="expression" dxfId="1489" priority="71">
      <formula>AND(COUNT(F19:F22)&lt;2,IF(COUNT(D19:D22)=2,IF(AND(ISNUMBER(D19),COUNTIF(D19:D22,D19)=1,D19=MIN(D19:D22)),TRUE,FALSE)))</formula>
    </cfRule>
  </conditionalFormatting>
  <conditionalFormatting sqref="F20">
    <cfRule type="expression" dxfId="1488" priority="66">
      <formula>AND(COUNT(F19:F22)&lt;2,IF(COUNT(E19:E22)=2,IF(AND(ISNUMBER(E20),COUNTIF(E19:E22,E20)=1,E20=MAX(E19:E22)),TRUE,FALSE)))</formula>
    </cfRule>
    <cfRule type="expression" dxfId="1487" priority="70">
      <formula>AND(COUNT(F19:F22)&lt;2,IF(COUNT(D19:D22)=2,IF(AND(ISNUMBER(D20),COUNTIF(D19:D22,D20)=1,D20=MIN(D19:D22)),TRUE,FALSE)))</formula>
    </cfRule>
  </conditionalFormatting>
  <conditionalFormatting sqref="F21">
    <cfRule type="expression" dxfId="1486" priority="65">
      <formula>AND(COUNT(F19:F22)&lt;2,IF(COUNT(E19:E22)=2,IF(AND(ISNUMBER(E21),COUNTIF(E19:E22,E21)=1,E21=MAX(E19:E22)),TRUE,FALSE)))</formula>
    </cfRule>
    <cfRule type="expression" dxfId="1485" priority="69">
      <formula>AND(COUNT(F19:F22)&lt;2,IF(COUNT(D19:D22)=2,IF(AND(ISNUMBER(D21),COUNTIF(D19:D22,D21)=1,D21=MIN(D19:D22)),TRUE,FALSE)))</formula>
    </cfRule>
  </conditionalFormatting>
  <conditionalFormatting sqref="F22">
    <cfRule type="expression" dxfId="1484" priority="64">
      <formula>AND(COUNT(F19:F22)&lt;2,IF(COUNT(E19:E22)=2,IF(AND(ISNUMBER(E22),COUNTIF(E19:E22,E22)=1,E22=MAX(E19:E22)),TRUE,FALSE)))</formula>
    </cfRule>
    <cfRule type="expression" dxfId="1483" priority="68">
      <formula>AND(COUNT(F19:F22)&lt;2,IF(COUNT(D19:D22)=2,IF(AND(ISNUMBER(D22),COUNTIF(D19:D22,D22)=1,D22=MIN(D19:D22)),TRUE,FALSE)))</formula>
    </cfRule>
  </conditionalFormatting>
  <conditionalFormatting sqref="F19:F22">
    <cfRule type="aboveAverage" dxfId="1482" priority="63"/>
  </conditionalFormatting>
  <conditionalFormatting sqref="D19">
    <cfRule type="expression" dxfId="1481" priority="62">
      <formula>AND(COUNT(D19:D22)&lt;2,IF(ISNUMBER(C22),C19&gt;C22))</formula>
    </cfRule>
  </conditionalFormatting>
  <conditionalFormatting sqref="D20">
    <cfRule type="expression" dxfId="1480" priority="61">
      <formula>AND(COUNT(D19:D22)&lt;2,IF(ISNUMBER(C21),C20&gt;C21))</formula>
    </cfRule>
  </conditionalFormatting>
  <conditionalFormatting sqref="D21">
    <cfRule type="expression" dxfId="1479" priority="60">
      <formula>AND(COUNT(D19:D22)&lt;2,IF(ISNUMBER(C20),C21&gt;C20))</formula>
    </cfRule>
  </conditionalFormatting>
  <conditionalFormatting sqref="D22">
    <cfRule type="expression" dxfId="1478" priority="59">
      <formula>AND(COUNT(D19:D22)&lt;2,IF(ISNUMBER(C19),C22&gt;C19))</formula>
    </cfRule>
  </conditionalFormatting>
  <conditionalFormatting sqref="D19:D22">
    <cfRule type="aboveAverage" dxfId="1477" priority="58"/>
  </conditionalFormatting>
  <conditionalFormatting sqref="E28">
    <cfRule type="expression" dxfId="1476" priority="57">
      <formula>AND(COUNT(E25:E28)&lt;2,IF(ISNUMBER(C28),C25&gt;C28))</formula>
    </cfRule>
  </conditionalFormatting>
  <conditionalFormatting sqref="E25">
    <cfRule type="expression" dxfId="1475" priority="56">
      <formula>AND(COUNT(E25:E28)&lt;2,IF(ISNUMBER(C25),C28&gt;C25))</formula>
    </cfRule>
  </conditionalFormatting>
  <conditionalFormatting sqref="E26">
    <cfRule type="expression" dxfId="1474" priority="55">
      <formula>AND(COUNT(E25:E28)&lt;2,IF(ISNUMBER(C26),C27&gt;C26))</formula>
    </cfRule>
  </conditionalFormatting>
  <conditionalFormatting sqref="E27">
    <cfRule type="expression" dxfId="1473" priority="54">
      <formula>AND(COUNT(E25:E28)&lt;2,IF(ISNUMBER(C27),C26&gt;C27))</formula>
    </cfRule>
  </conditionalFormatting>
  <conditionalFormatting sqref="E25:E28">
    <cfRule type="aboveAverage" dxfId="1472" priority="53"/>
  </conditionalFormatting>
  <conditionalFormatting sqref="F25">
    <cfRule type="expression" dxfId="1471" priority="48">
      <formula>AND(COUNT(F25:F28)&lt;2,IF(COUNT(E25:E28)=2,IF(AND(ISNUMBER(E25),COUNTIF(E25:E28,E25)=1,E25=MAX(E25:E28)),TRUE,FALSE)))</formula>
    </cfRule>
    <cfRule type="expression" dxfId="1470" priority="52">
      <formula>AND(COUNT(F25:F28)&lt;2,IF(COUNT(D25:D28)=2,IF(AND(ISNUMBER(D25),COUNTIF(D25:D28,D25)=1,D25=MIN(D25:D28)),TRUE,FALSE)))</formula>
    </cfRule>
  </conditionalFormatting>
  <conditionalFormatting sqref="F26">
    <cfRule type="expression" dxfId="1469" priority="47">
      <formula>AND(COUNT(F25:F28)&lt;2,IF(COUNT(E25:E28)=2,IF(AND(ISNUMBER(E26),COUNTIF(E25:E28,E26)=1,E26=MAX(E25:E28)),TRUE,FALSE)))</formula>
    </cfRule>
    <cfRule type="expression" dxfId="1468" priority="51">
      <formula>AND(COUNT(F25:F28)&lt;2,IF(COUNT(D25:D28)=2,IF(AND(ISNUMBER(D26),COUNTIF(D25:D28,D26)=1,D26=MIN(D25:D28)),TRUE,FALSE)))</formula>
    </cfRule>
  </conditionalFormatting>
  <conditionalFormatting sqref="F27">
    <cfRule type="expression" dxfId="1467" priority="46">
      <formula>AND(COUNT(F25:F28)&lt;2,IF(COUNT(E25:E28)=2,IF(AND(ISNUMBER(E27),COUNTIF(E25:E28,E27)=1,E27=MAX(E25:E28)),TRUE,FALSE)))</formula>
    </cfRule>
    <cfRule type="expression" dxfId="1466" priority="50">
      <formula>AND(COUNT(F25:F28)&lt;2,IF(COUNT(D25:D28)=2,IF(AND(ISNUMBER(D27),COUNTIF(D25:D28,D27)=1,D27=MIN(D25:D28)),TRUE,FALSE)))</formula>
    </cfRule>
  </conditionalFormatting>
  <conditionalFormatting sqref="F28">
    <cfRule type="expression" dxfId="1465" priority="45">
      <formula>AND(COUNT(F25:F28)&lt;2,IF(COUNT(E25:E28)=2,IF(AND(ISNUMBER(E28),COUNTIF(E25:E28,E28)=1,E28=MAX(E25:E28)),TRUE,FALSE)))</formula>
    </cfRule>
    <cfRule type="expression" dxfId="1464" priority="49">
      <formula>AND(COUNT(F25:F28)&lt;2,IF(COUNT(D25:D28)=2,IF(AND(ISNUMBER(D28),COUNTIF(D25:D28,D28)=1,D28=MIN(D25:D28)),TRUE,FALSE)))</formula>
    </cfRule>
  </conditionalFormatting>
  <conditionalFormatting sqref="F25:F28">
    <cfRule type="aboveAverage" dxfId="1463" priority="44"/>
  </conditionalFormatting>
  <conditionalFormatting sqref="D25">
    <cfRule type="expression" dxfId="1462" priority="43">
      <formula>AND(COUNT(D25:D28)&lt;2,IF(ISNUMBER(C28),C25&gt;C28))</formula>
    </cfRule>
  </conditionalFormatting>
  <conditionalFormatting sqref="D26">
    <cfRule type="expression" dxfId="1461" priority="42">
      <formula>AND(COUNT(D25:D28)&lt;2,IF(ISNUMBER(C27),C26&gt;C27))</formula>
    </cfRule>
  </conditionalFormatting>
  <conditionalFormatting sqref="D27">
    <cfRule type="expression" dxfId="1460" priority="41">
      <formula>AND(COUNT(D25:D28)&lt;2,IF(ISNUMBER(C26),C27&gt;C26))</formula>
    </cfRule>
  </conditionalFormatting>
  <conditionalFormatting sqref="D28">
    <cfRule type="expression" dxfId="1459" priority="40">
      <formula>AND(COUNT(D25:D28)&lt;2,IF(ISNUMBER(C25),C28&gt;C25))</formula>
    </cfRule>
  </conditionalFormatting>
  <conditionalFormatting sqref="D25:D28">
    <cfRule type="aboveAverage" dxfId="1458" priority="39"/>
  </conditionalFormatting>
  <conditionalFormatting sqref="E34">
    <cfRule type="expression" dxfId="1457" priority="38">
      <formula>AND(COUNT(E31:E34)&lt;2,IF(ISNUMBER(C34),C31&gt;C34))</formula>
    </cfRule>
  </conditionalFormatting>
  <conditionalFormatting sqref="E31">
    <cfRule type="expression" dxfId="1456" priority="37">
      <formula>AND(COUNT(E31:E34)&lt;2,IF(ISNUMBER(C31),C34&gt;C31))</formula>
    </cfRule>
  </conditionalFormatting>
  <conditionalFormatting sqref="E32">
    <cfRule type="expression" dxfId="1455" priority="36">
      <formula>AND(COUNT(E31:E34)&lt;2,IF(ISNUMBER(C32),C33&gt;C32))</formula>
    </cfRule>
  </conditionalFormatting>
  <conditionalFormatting sqref="E33">
    <cfRule type="expression" dxfId="1454" priority="35">
      <formula>AND(COUNT(E31:E34)&lt;2,IF(ISNUMBER(C33),C32&gt;C33))</formula>
    </cfRule>
  </conditionalFormatting>
  <conditionalFormatting sqref="E31:E34">
    <cfRule type="aboveAverage" dxfId="1453" priority="34"/>
  </conditionalFormatting>
  <conditionalFormatting sqref="F31">
    <cfRule type="expression" dxfId="1452" priority="29">
      <formula>AND(COUNT(F31:F34)&lt;2,IF(COUNT(E31:E34)=2,IF(AND(ISNUMBER(E31),COUNTIF(E31:E34,E31)=1,E31=MAX(E31:E34)),TRUE,FALSE)))</formula>
    </cfRule>
    <cfRule type="expression" dxfId="1451" priority="33">
      <formula>AND(COUNT(F31:F34)&lt;2,IF(COUNT(D31:D34)=2,IF(AND(ISNUMBER(D31),COUNTIF(D31:D34,D31)=1,D31=MIN(D31:D34)),TRUE,FALSE)))</formula>
    </cfRule>
  </conditionalFormatting>
  <conditionalFormatting sqref="F32">
    <cfRule type="expression" dxfId="1450" priority="28">
      <formula>AND(COUNT(F31:F34)&lt;2,IF(COUNT(E31:E34)=2,IF(AND(ISNUMBER(E32),COUNTIF(E31:E34,E32)=1,E32=MAX(E31:E34)),TRUE,FALSE)))</formula>
    </cfRule>
    <cfRule type="expression" dxfId="1449" priority="32">
      <formula>AND(COUNT(F31:F34)&lt;2,IF(COUNT(D31:D34)=2,IF(AND(ISNUMBER(D32),COUNTIF(D31:D34,D32)=1,D32=MIN(D31:D34)),TRUE,FALSE)))</formula>
    </cfRule>
  </conditionalFormatting>
  <conditionalFormatting sqref="F33">
    <cfRule type="expression" dxfId="1448" priority="27">
      <formula>AND(COUNT(F31:F34)&lt;2,IF(COUNT(E31:E34)=2,IF(AND(ISNUMBER(E33),COUNTIF(E31:E34,E33)=1,E33=MAX(E31:E34)),TRUE,FALSE)))</formula>
    </cfRule>
    <cfRule type="expression" dxfId="1447" priority="31">
      <formula>AND(COUNT(F31:F34)&lt;2,IF(COUNT(D31:D34)=2,IF(AND(ISNUMBER(D33),COUNTIF(D31:D34,D33)=1,D33=MIN(D31:D34)),TRUE,FALSE)))</formula>
    </cfRule>
  </conditionalFormatting>
  <conditionalFormatting sqref="F34">
    <cfRule type="expression" dxfId="1446" priority="26">
      <formula>AND(COUNT(F31:F34)&lt;2,IF(COUNT(E31:E34)=2,IF(AND(ISNUMBER(E34),COUNTIF(E31:E34,E34)=1,E34=MAX(E31:E34)),TRUE,FALSE)))</formula>
    </cfRule>
    <cfRule type="expression" dxfId="1445" priority="30">
      <formula>AND(COUNT(F31:F34)&lt;2,IF(COUNT(D31:D34)=2,IF(AND(ISNUMBER(D34),COUNTIF(D31:D34,D34)=1,D34=MIN(D31:D34)),TRUE,FALSE)))</formula>
    </cfRule>
  </conditionalFormatting>
  <conditionalFormatting sqref="F31:F34">
    <cfRule type="aboveAverage" dxfId="1444" priority="25"/>
  </conditionalFormatting>
  <conditionalFormatting sqref="D31">
    <cfRule type="expression" dxfId="1443" priority="24">
      <formula>AND(COUNT(D31:D34)&lt;2,IF(ISNUMBER(C34),C31&gt;C34))</formula>
    </cfRule>
  </conditionalFormatting>
  <conditionalFormatting sqref="D32">
    <cfRule type="expression" dxfId="1442" priority="23">
      <formula>AND(COUNT(D31:D34)&lt;2,IF(ISNUMBER(C33),C32&gt;C33))</formula>
    </cfRule>
  </conditionalFormatting>
  <conditionalFormatting sqref="D33">
    <cfRule type="expression" dxfId="1441" priority="22">
      <formula>AND(COUNT(D31:D34)&lt;2,IF(ISNUMBER(C32),C33&gt;C32))</formula>
    </cfRule>
  </conditionalFormatting>
  <conditionalFormatting sqref="D34">
    <cfRule type="expression" dxfId="1440" priority="21">
      <formula>AND(COUNT(D31:D34)&lt;2,IF(ISNUMBER(C31),C34&gt;C31))</formula>
    </cfRule>
  </conditionalFormatting>
  <conditionalFormatting sqref="D31:D34">
    <cfRule type="aboveAverage" dxfId="1439" priority="20"/>
  </conditionalFormatting>
  <conditionalFormatting sqref="E40">
    <cfRule type="expression" dxfId="1438" priority="19">
      <formula>AND(COUNT(E37:E40)&lt;2,IF(ISNUMBER(C40),C37&gt;C40))</formula>
    </cfRule>
  </conditionalFormatting>
  <conditionalFormatting sqref="E37">
    <cfRule type="expression" dxfId="1437" priority="18">
      <formula>AND(COUNT(E37:E40)&lt;2,IF(ISNUMBER(C37),C40&gt;C37))</formula>
    </cfRule>
  </conditionalFormatting>
  <conditionalFormatting sqref="E38">
    <cfRule type="expression" dxfId="1436" priority="17">
      <formula>AND(COUNT(E37:E40)&lt;2,IF(ISNUMBER(C38),C39&gt;C38))</formula>
    </cfRule>
  </conditionalFormatting>
  <conditionalFormatting sqref="E39">
    <cfRule type="expression" dxfId="1435" priority="16">
      <formula>AND(COUNT(E37:E40)&lt;2,IF(ISNUMBER(C39),C38&gt;C39))</formula>
    </cfRule>
  </conditionalFormatting>
  <conditionalFormatting sqref="E37:E40">
    <cfRule type="aboveAverage" dxfId="1434" priority="15"/>
  </conditionalFormatting>
  <conditionalFormatting sqref="F37">
    <cfRule type="expression" dxfId="1433" priority="10">
      <formula>AND(COUNT(F37:F40)&lt;2,IF(COUNT(E37:E40)=2,IF(AND(ISNUMBER(E37),COUNTIF(E37:E40,E37)=1,E37=MAX(E37:E40)),TRUE,FALSE)))</formula>
    </cfRule>
    <cfRule type="expression" dxfId="1432" priority="14">
      <formula>AND(COUNT(F37:F40)&lt;2,IF(COUNT(D37:D40)=2,IF(AND(ISNUMBER(D37),COUNTIF(D37:D40,D37)=1,D37=MIN(D37:D40)),TRUE,FALSE)))</formula>
    </cfRule>
  </conditionalFormatting>
  <conditionalFormatting sqref="F38">
    <cfRule type="expression" dxfId="1431" priority="9">
      <formula>AND(COUNT(F37:F40)&lt;2,IF(COUNT(E37:E40)=2,IF(AND(ISNUMBER(E38),COUNTIF(E37:E40,E38)=1,E38=MAX(E37:E40)),TRUE,FALSE)))</formula>
    </cfRule>
    <cfRule type="expression" dxfId="1430" priority="13">
      <formula>AND(COUNT(F37:F40)&lt;2,IF(COUNT(D37:D40)=2,IF(AND(ISNUMBER(D38),COUNTIF(D37:D40,D38)=1,D38=MIN(D37:D40)),TRUE,FALSE)))</formula>
    </cfRule>
  </conditionalFormatting>
  <conditionalFormatting sqref="F39">
    <cfRule type="expression" dxfId="1429" priority="8">
      <formula>AND(COUNT(F37:F40)&lt;2,IF(COUNT(E37:E40)=2,IF(AND(ISNUMBER(E39),COUNTIF(E37:E40,E39)=1,E39=MAX(E37:E40)),TRUE,FALSE)))</formula>
    </cfRule>
    <cfRule type="expression" dxfId="1428" priority="12">
      <formula>AND(COUNT(F37:F40)&lt;2,IF(COUNT(D37:D40)=2,IF(AND(ISNUMBER(D39),COUNTIF(D37:D40,D39)=1,D39=MIN(D37:D40)),TRUE,FALSE)))</formula>
    </cfRule>
  </conditionalFormatting>
  <conditionalFormatting sqref="F40">
    <cfRule type="expression" dxfId="1427" priority="7">
      <formula>AND(COUNT(F37:F40)&lt;2,IF(COUNT(E37:E40)=2,IF(AND(ISNUMBER(E40),COUNTIF(E37:E40,E40)=1,E40=MAX(E37:E40)),TRUE,FALSE)))</formula>
    </cfRule>
    <cfRule type="expression" dxfId="1426" priority="11">
      <formula>AND(COUNT(F37:F40)&lt;2,IF(COUNT(D37:D40)=2,IF(AND(ISNUMBER(D40),COUNTIF(D37:D40,D40)=1,D40=MIN(D37:D40)),TRUE,FALSE)))</formula>
    </cfRule>
  </conditionalFormatting>
  <conditionalFormatting sqref="F37:F40">
    <cfRule type="aboveAverage" dxfId="1425" priority="6"/>
  </conditionalFormatting>
  <conditionalFormatting sqref="D37">
    <cfRule type="expression" dxfId="1424" priority="5">
      <formula>AND(COUNT(D37:D40)&lt;2,IF(ISNUMBER(C40),C37&gt;C40))</formula>
    </cfRule>
  </conditionalFormatting>
  <conditionalFormatting sqref="D38">
    <cfRule type="expression" dxfId="1423" priority="4">
      <formula>AND(COUNT(D37:D40)&lt;2,IF(ISNUMBER(C39),C38&gt;C39))</formula>
    </cfRule>
  </conditionalFormatting>
  <conditionalFormatting sqref="D39">
    <cfRule type="expression" dxfId="1422" priority="3">
      <formula>AND(COUNT(D37:D40)&lt;2,IF(ISNUMBER(C38),C39&gt;C38))</formula>
    </cfRule>
  </conditionalFormatting>
  <conditionalFormatting sqref="D40">
    <cfRule type="expression" dxfId="1421" priority="2">
      <formula>AND(COUNT(D37:D40)&lt;2,IF(ISNUMBER(C37),C40&gt;C37))</formula>
    </cfRule>
  </conditionalFormatting>
  <conditionalFormatting sqref="D37:D40">
    <cfRule type="aboveAverage" dxfId="1420"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7"/>
  <sheetViews>
    <sheetView showGridLines="0" showRowColHeaders="0" zoomScaleNormal="100" workbookViewId="0">
      <pane ySplit="2" topLeftCell="A3" activePane="bottomLeft" state="frozen"/>
      <selection activeCell="E10" sqref="E10"/>
      <selection pane="bottomLeft" activeCell="H1" sqref="H1"/>
    </sheetView>
  </sheetViews>
  <sheetFormatPr defaultRowHeight="12.75" x14ac:dyDescent="0.2"/>
  <cols>
    <col min="1" max="1" width="5.5703125" style="79" customWidth="1"/>
    <col min="2" max="2" width="34.8554687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2" width="9.140625" style="79" customWidth="1"/>
    <col min="13" max="16384" width="9.140625" style="79"/>
  </cols>
  <sheetData>
    <row r="1" spans="1:13" x14ac:dyDescent="0.2">
      <c r="A1" s="72" t="str">
        <f>UPPER((Kalend!E13)&amp;" - "&amp;(Kalend!C13)&amp;" - "&amp;(Kalend!D13))</f>
        <v>4 - EESTI SISE-MV - SEGADUO</v>
      </c>
      <c r="D1" s="41" t="str">
        <f>HYPERLINK("#'Kalend'!I1","Kalender")</f>
        <v>Kalender</v>
      </c>
      <c r="F1" s="41" t="str">
        <f>HYPERLINK("#Üldreiting!W1","Reiting")</f>
        <v>Reiting</v>
      </c>
    </row>
    <row r="2" spans="1:13" x14ac:dyDescent="0.2">
      <c r="A2" s="79" t="str">
        <f>"Toimumisaeg: "&amp;(Kalend!A13)&amp;" kell "&amp;(Kalend!B13)</f>
        <v>Toimumisaeg: P, 10.12.2017 kell 10:00</v>
      </c>
    </row>
    <row r="3" spans="1:13" x14ac:dyDescent="0.2">
      <c r="A3" s="79" t="str">
        <f>"Toimumiskoht: "&amp;(Kalend!F13)</f>
        <v>Toimumiskoht: Tallinn, Algi 38</v>
      </c>
    </row>
    <row r="4" spans="1:13" x14ac:dyDescent="0.2">
      <c r="A4" s="79" t="str">
        <f>"Korraldaja: "&amp;(Kalend!G13)</f>
        <v>Korraldaja: EPKL</v>
      </c>
    </row>
    <row r="6" spans="1:13" s="30" customFormat="1" x14ac:dyDescent="0.2">
      <c r="A6" s="296" t="s">
        <v>291</v>
      </c>
      <c r="B6" s="351"/>
      <c r="C6" s="31" t="s">
        <v>232</v>
      </c>
      <c r="D6" s="296" t="s">
        <v>61</v>
      </c>
      <c r="E6" s="296" t="s">
        <v>62</v>
      </c>
      <c r="F6" s="31" t="s">
        <v>63</v>
      </c>
      <c r="G6" s="31" t="s">
        <v>19</v>
      </c>
      <c r="H6" s="79"/>
      <c r="I6" s="79"/>
      <c r="J6" s="79"/>
      <c r="K6" s="79"/>
      <c r="L6" s="79"/>
    </row>
    <row r="7" spans="1:13" s="30" customFormat="1" x14ac:dyDescent="0.2">
      <c r="A7" s="296">
        <v>1</v>
      </c>
      <c r="B7" s="27" t="s">
        <v>80</v>
      </c>
      <c r="C7" s="124">
        <f>IF(B10="-",13,"")</f>
        <v>13</v>
      </c>
      <c r="D7" s="124">
        <v>13</v>
      </c>
      <c r="E7" s="32"/>
      <c r="F7" s="314"/>
      <c r="G7" s="32" t="str">
        <f>IF(AND(COUNT(F7:F10)=2,F7=MAX(F7:F10),COUNT(C7:F7)=3),A6&amp;"2",IF(AND(COUNT(E7:E10)=2,ISNUMBER(E7),E7=MIN(E7:E10),D7="",F7=""),A6&amp;"4",IF(AND(COUNT(D7:D10)=2,D7=MAX(D7:D10),E7="",F7=""),A6&amp;"1",IF(COUNT(F7:F10)=2,A6&amp;"3",""))))</f>
        <v>A1</v>
      </c>
      <c r="H7" s="79"/>
      <c r="I7" s="79"/>
      <c r="J7" s="79"/>
      <c r="K7" s="79"/>
      <c r="L7" s="79"/>
    </row>
    <row r="8" spans="1:13" s="30" customFormat="1" x14ac:dyDescent="0.2">
      <c r="A8" s="296">
        <v>2</v>
      </c>
      <c r="B8" s="358" t="s">
        <v>173</v>
      </c>
      <c r="C8" s="336">
        <v>11</v>
      </c>
      <c r="D8" s="124"/>
      <c r="E8" s="32">
        <f>IF(AND(B10="-",ISNUMBER(C8),C8&lt;C9),13,"")</f>
        <v>13</v>
      </c>
      <c r="F8" s="314">
        <v>8</v>
      </c>
      <c r="G8" s="32" t="str">
        <f>IF(AND(COUNT(F7:F10)=2,F8=MAX(F7:F10),COUNT(C8:F8)=3),A6&amp;"2",IF(AND(COUNT(E7:E10)=2,ISNUMBER(E8),E8=MIN(E7:E10),D8="",F8=""),A6&amp;"4",IF(AND(COUNT(D7:D10)=2,D8=MAX(D7:D10),E8="",F8=""),A6&amp;"1",IF(COUNT(F7:F10)=2,A6&amp;"3",""))))</f>
        <v>A3</v>
      </c>
      <c r="H8" s="79"/>
      <c r="I8" s="79"/>
      <c r="J8" s="79"/>
      <c r="K8" s="79"/>
      <c r="L8" s="79"/>
    </row>
    <row r="9" spans="1:13" s="30" customFormat="1" x14ac:dyDescent="0.2">
      <c r="A9" s="296">
        <v>3</v>
      </c>
      <c r="B9" s="122" t="s">
        <v>582</v>
      </c>
      <c r="C9" s="336">
        <v>13</v>
      </c>
      <c r="D9" s="32">
        <v>6</v>
      </c>
      <c r="E9" s="32" t="str">
        <f>IF(AND(B10="-",ISNUMBER(C9),C9&lt;C8),13,"")</f>
        <v/>
      </c>
      <c r="F9" s="314">
        <v>13</v>
      </c>
      <c r="G9" s="32" t="str">
        <f>IF(AND(COUNT(F7:F10)=2,F9=MAX(F7:F10),COUNT(C9:F9)=3),A6&amp;"2",IF(AND(COUNT(E7:E10)=2,ISNUMBER(E9),E9=MIN(E7:E10),D9="",F9=""),A6&amp;"4",IF(AND(COUNT(D7:D10)=2,D9=MAX(D7:D10),E9="",F9=""),A6&amp;"1",IF(COUNT(F7:F10)=2,A6&amp;"3",""))))</f>
        <v>A2</v>
      </c>
      <c r="H9" s="79"/>
      <c r="I9" s="79"/>
      <c r="J9" s="79"/>
      <c r="K9" s="79"/>
      <c r="L9" s="79"/>
    </row>
    <row r="10" spans="1:13" s="30" customFormat="1" x14ac:dyDescent="0.2">
      <c r="A10" s="296">
        <v>4</v>
      </c>
      <c r="B10" s="123" t="s">
        <v>81</v>
      </c>
      <c r="C10" s="124">
        <f>IF(B10="-",0,"")</f>
        <v>0</v>
      </c>
      <c r="D10" s="124"/>
      <c r="E10" s="32">
        <f>IF(B10="-",0,"")</f>
        <v>0</v>
      </c>
      <c r="F10" s="314"/>
      <c r="G10" s="32" t="str">
        <f>IF(AND(COUNT(F7:F10)=2,F10=MAX(F7:F10),COUNT(C10:F10)=3),A6&amp;"2",IF(AND(COUNT(E7:E10)=2,ISNUMBER(E10),E10=MIN(E7:E10),D10="",F10=""),A6&amp;"4",IF(AND(COUNT(D7:D10)=2,D10=MAX(D7:D10),E10="",F10=""),A6&amp;"1",IF(COUNT(F7:F10)=2,A6&amp;"3",""))))</f>
        <v>A4</v>
      </c>
      <c r="H10" s="79"/>
      <c r="I10" s="79"/>
      <c r="J10" s="79"/>
      <c r="K10" s="79"/>
      <c r="L10" s="79"/>
    </row>
    <row r="11" spans="1:13" x14ac:dyDescent="0.2">
      <c r="B11" s="353" t="s">
        <v>81</v>
      </c>
      <c r="G11" s="353" t="s">
        <v>81</v>
      </c>
      <c r="M11" s="30"/>
    </row>
    <row r="12" spans="1:13" s="30" customFormat="1" x14ac:dyDescent="0.2">
      <c r="A12" s="296" t="s">
        <v>275</v>
      </c>
      <c r="B12" s="351"/>
      <c r="C12" s="31" t="s">
        <v>232</v>
      </c>
      <c r="D12" s="296" t="s">
        <v>61</v>
      </c>
      <c r="E12" s="296" t="s">
        <v>62</v>
      </c>
      <c r="F12" s="31" t="s">
        <v>63</v>
      </c>
      <c r="G12" s="31" t="s">
        <v>19</v>
      </c>
      <c r="H12" s="79"/>
      <c r="I12" s="79"/>
      <c r="J12" s="79"/>
      <c r="K12" s="79"/>
      <c r="L12" s="79"/>
    </row>
    <row r="13" spans="1:13" s="30" customFormat="1" x14ac:dyDescent="0.2">
      <c r="A13" s="296">
        <v>1</v>
      </c>
      <c r="B13" s="186" t="s">
        <v>583</v>
      </c>
      <c r="C13" s="124">
        <f>IF(B16="-",13,"")</f>
        <v>13</v>
      </c>
      <c r="D13" s="124">
        <v>7</v>
      </c>
      <c r="E13" s="32"/>
      <c r="F13" s="314">
        <v>8</v>
      </c>
      <c r="G13" s="32" t="str">
        <f>IF(AND(COUNT(F13:F16)=2,F13=MAX(F13:F16),COUNT(C13:F13)=3),A12&amp;"2",IF(AND(COUNT(E13:E16)=2,ISNUMBER(E13),E13=MIN(E13:E16),D13="",F13=""),A12&amp;"4",IF(AND(COUNT(D13:D16)=2,D13=MAX(D13:D16),E13="",F13=""),A12&amp;"1",IF(COUNT(F13:F16)=2,A12&amp;"3",""))))</f>
        <v>B3</v>
      </c>
      <c r="H13" s="79"/>
      <c r="I13" s="79"/>
      <c r="J13" s="79"/>
      <c r="K13" s="79"/>
      <c r="L13" s="79"/>
    </row>
    <row r="14" spans="1:13" s="30" customFormat="1" x14ac:dyDescent="0.2">
      <c r="A14" s="296">
        <v>2</v>
      </c>
      <c r="B14" s="122" t="s">
        <v>88</v>
      </c>
      <c r="C14" s="336">
        <v>13</v>
      </c>
      <c r="D14" s="124">
        <v>13</v>
      </c>
      <c r="E14" s="32" t="str">
        <f>IF(AND(B16="-",ISNUMBER(C14),C14&lt;C15),13,"")</f>
        <v/>
      </c>
      <c r="F14" s="314"/>
      <c r="G14" s="32" t="str">
        <f>IF(AND(COUNT(F13:F16)=2,F14=MAX(F13:F16),COUNT(C14:F14)=3),A12&amp;"2",IF(AND(COUNT(E13:E16)=2,ISNUMBER(E14),E14=MIN(E13:E16),D14="",F14=""),A12&amp;"4",IF(AND(COUNT(D13:D16)=2,D14=MAX(D13:D16),E14="",F14=""),A12&amp;"1",IF(COUNT(F13:F16)=2,A12&amp;"3",""))))</f>
        <v>B1</v>
      </c>
      <c r="H14" s="79"/>
      <c r="I14" s="79"/>
      <c r="J14" s="79"/>
      <c r="K14" s="79"/>
      <c r="L14" s="79"/>
    </row>
    <row r="15" spans="1:13" s="30" customFormat="1" x14ac:dyDescent="0.2">
      <c r="A15" s="296">
        <v>3</v>
      </c>
      <c r="B15" s="122" t="s">
        <v>289</v>
      </c>
      <c r="C15" s="336">
        <v>6</v>
      </c>
      <c r="D15" s="32"/>
      <c r="E15" s="32">
        <f>IF(AND(B16="-",ISNUMBER(C15),C15&lt;C14),13,"")</f>
        <v>13</v>
      </c>
      <c r="F15" s="314">
        <v>13</v>
      </c>
      <c r="G15" s="32" t="str">
        <f>IF(AND(COUNT(F13:F16)=2,F15=MAX(F13:F16),COUNT(C15:F15)=3),A12&amp;"2",IF(AND(COUNT(E13:E16)=2,ISNUMBER(E15),E15=MIN(E13:E16),D15="",F15=""),A12&amp;"4",IF(AND(COUNT(D13:D16)=2,D15=MAX(D13:D16),E15="",F15=""),A12&amp;"1",IF(COUNT(F13:F16)=2,A12&amp;"3",""))))</f>
        <v>B2</v>
      </c>
      <c r="H15" s="79"/>
      <c r="I15" s="79"/>
      <c r="J15" s="79"/>
      <c r="K15" s="79"/>
      <c r="L15" s="79"/>
    </row>
    <row r="16" spans="1:13" s="30" customFormat="1" x14ac:dyDescent="0.2">
      <c r="A16" s="296">
        <v>4</v>
      </c>
      <c r="B16" s="123" t="s">
        <v>81</v>
      </c>
      <c r="C16" s="124">
        <f>IF(B16="-",0,"")</f>
        <v>0</v>
      </c>
      <c r="D16" s="124"/>
      <c r="E16" s="32">
        <f>IF(B16="-",0,"")</f>
        <v>0</v>
      </c>
      <c r="F16" s="314"/>
      <c r="G16" s="32" t="str">
        <f>IF(AND(COUNT(F13:F16)=2,F16=MAX(F13:F16),COUNT(C16:F16)=3),A12&amp;"2",IF(AND(COUNT(E13:E16)=2,ISNUMBER(E16),E16=MIN(E13:E16),D16="",F16=""),A12&amp;"4",IF(AND(COUNT(D13:D16)=2,D16=MAX(D13:D16),E16="",F16=""),A12&amp;"1",IF(COUNT(F13:F16)=2,A12&amp;"3",""))))</f>
        <v>B4</v>
      </c>
      <c r="H16" s="79"/>
      <c r="I16" s="79"/>
      <c r="J16" s="79"/>
      <c r="K16" s="79"/>
      <c r="L16" s="79"/>
    </row>
    <row r="17" spans="1:13" x14ac:dyDescent="0.2">
      <c r="M17" s="30"/>
    </row>
    <row r="18" spans="1:13" s="30" customFormat="1" x14ac:dyDescent="0.2">
      <c r="A18" s="296" t="s">
        <v>292</v>
      </c>
      <c r="B18" s="351"/>
      <c r="C18" s="31" t="s">
        <v>232</v>
      </c>
      <c r="D18" s="296" t="s">
        <v>61</v>
      </c>
      <c r="E18" s="296" t="s">
        <v>62</v>
      </c>
      <c r="F18" s="31" t="s">
        <v>63</v>
      </c>
      <c r="G18" s="31" t="s">
        <v>19</v>
      </c>
      <c r="H18" s="79"/>
      <c r="I18" s="79"/>
      <c r="J18" s="79"/>
      <c r="K18" s="79"/>
      <c r="L18" s="79"/>
    </row>
    <row r="19" spans="1:13" s="30" customFormat="1" x14ac:dyDescent="0.2">
      <c r="A19" s="296">
        <v>1</v>
      </c>
      <c r="B19" s="186" t="s">
        <v>174</v>
      </c>
      <c r="C19" s="124">
        <f>IF(B22="-",13,"")</f>
        <v>13</v>
      </c>
      <c r="D19" s="124">
        <v>9</v>
      </c>
      <c r="E19" s="32"/>
      <c r="F19" s="314">
        <v>13</v>
      </c>
      <c r="G19" s="32" t="str">
        <f>IF(AND(COUNT(F19:F22)=2,F19=MAX(F19:F22),COUNT(C19:F19)=3),A18&amp;"2",IF(AND(COUNT(E19:E22)=2,ISNUMBER(E19),E19=MIN(E19:E22),D19="",F19=""),A18&amp;"4",IF(AND(COUNT(D19:D22)=2,D19=MAX(D19:D22),E19="",F19=""),A18&amp;"1",IF(COUNT(F19:F22)=2,A18&amp;"3",""))))</f>
        <v>C2</v>
      </c>
      <c r="H19" s="79"/>
      <c r="I19" s="79"/>
      <c r="J19" s="79"/>
      <c r="K19" s="79"/>
      <c r="L19" s="79"/>
    </row>
    <row r="20" spans="1:13" s="30" customFormat="1" x14ac:dyDescent="0.2">
      <c r="A20" s="296">
        <v>2</v>
      </c>
      <c r="B20" s="122" t="s">
        <v>595</v>
      </c>
      <c r="C20" s="336">
        <v>13</v>
      </c>
      <c r="D20" s="124">
        <v>13</v>
      </c>
      <c r="E20" s="32"/>
      <c r="F20" s="314"/>
      <c r="G20" s="32" t="str">
        <f>IF(AND(COUNT(F19:F22)=2,F20=MAX(F19:F22),COUNT(C20:F20)=3),A18&amp;"2",IF(AND(COUNT(E19:E22)=2,ISNUMBER(E20),E20=MIN(E19:E22),D20="",F20=""),A18&amp;"4",IF(AND(COUNT(D19:D22)=2,D20=MAX(D19:D22),E20="",F20=""),A18&amp;"1",IF(COUNT(F19:F22)=2,A18&amp;"3",""))))</f>
        <v>C1</v>
      </c>
      <c r="H20" s="79"/>
      <c r="I20" s="79"/>
      <c r="J20" s="79"/>
      <c r="K20" s="79"/>
      <c r="L20" s="79"/>
    </row>
    <row r="21" spans="1:13" s="30" customFormat="1" x14ac:dyDescent="0.2">
      <c r="A21" s="296">
        <v>3</v>
      </c>
      <c r="B21" s="122" t="s">
        <v>584</v>
      </c>
      <c r="C21" s="336">
        <v>2</v>
      </c>
      <c r="D21" s="32"/>
      <c r="E21" s="32">
        <v>13</v>
      </c>
      <c r="F21" s="314">
        <v>12</v>
      </c>
      <c r="G21" s="32" t="str">
        <f>IF(AND(COUNT(F19:F22)=2,F21=MAX(F19:F22),COUNT(C21:F21)=3),A18&amp;"2",IF(AND(COUNT(E19:E22)=2,ISNUMBER(E21),E21=MIN(E19:E22),D21="",F21=""),A18&amp;"4",IF(AND(COUNT(D19:D22)=2,D21=MAX(D19:D22),E21="",F21=""),A18&amp;"1",IF(COUNT(F19:F22)=2,A18&amp;"3",""))))</f>
        <v>C3</v>
      </c>
      <c r="H21" s="79"/>
      <c r="I21" s="79"/>
      <c r="J21" s="79"/>
      <c r="K21" s="79"/>
      <c r="L21" s="79"/>
    </row>
    <row r="22" spans="1:13" s="30" customFormat="1" x14ac:dyDescent="0.2">
      <c r="A22" s="296">
        <v>4</v>
      </c>
      <c r="B22" s="123" t="s">
        <v>81</v>
      </c>
      <c r="C22" s="124">
        <f>IF(B22="-",0,"")</f>
        <v>0</v>
      </c>
      <c r="D22" s="124"/>
      <c r="E22" s="32">
        <f>IF(B22="-",0,"")</f>
        <v>0</v>
      </c>
      <c r="F22" s="314"/>
      <c r="G22" s="32" t="str">
        <f>IF(AND(COUNT(F19:F22)=2,F22=MAX(F19:F22),COUNT(C22:F22)=3),A18&amp;"2",IF(AND(COUNT(E19:E22)=2,ISNUMBER(E22),E22=MIN(E19:E22),D22="",F22=""),A18&amp;"4",IF(AND(COUNT(D19:D22)=2,D22=MAX(D19:D22),E22="",F22=""),A18&amp;"1",IF(COUNT(F19:F22)=2,A18&amp;"3",""))))</f>
        <v>C4</v>
      </c>
      <c r="H22" s="79"/>
      <c r="I22" s="79"/>
      <c r="J22" s="79"/>
      <c r="K22" s="79"/>
      <c r="L22" s="79"/>
    </row>
    <row r="23" spans="1:13" x14ac:dyDescent="0.2">
      <c r="M23" s="30"/>
    </row>
    <row r="24" spans="1:13" s="30" customFormat="1" x14ac:dyDescent="0.2">
      <c r="A24" s="296" t="s">
        <v>293</v>
      </c>
      <c r="B24" s="351"/>
      <c r="C24" s="31" t="s">
        <v>232</v>
      </c>
      <c r="D24" s="296" t="s">
        <v>61</v>
      </c>
      <c r="E24" s="296" t="s">
        <v>62</v>
      </c>
      <c r="F24" s="31" t="s">
        <v>63</v>
      </c>
      <c r="G24" s="31" t="s">
        <v>19</v>
      </c>
      <c r="H24" s="79"/>
      <c r="I24" s="79"/>
      <c r="J24" s="79"/>
      <c r="K24" s="79"/>
      <c r="L24" s="79"/>
    </row>
    <row r="25" spans="1:13" s="30" customFormat="1" x14ac:dyDescent="0.2">
      <c r="A25" s="296">
        <v>1</v>
      </c>
      <c r="B25" s="186" t="s">
        <v>585</v>
      </c>
      <c r="C25" s="124">
        <f>IF(B28="-",13,"")</f>
        <v>13</v>
      </c>
      <c r="D25" s="124">
        <v>10</v>
      </c>
      <c r="E25" s="32"/>
      <c r="F25" s="314">
        <v>13</v>
      </c>
      <c r="G25" s="32" t="str">
        <f>IF(AND(COUNT(F25:F28)=2,F25=MAX(F25:F28),COUNT(C25:F25)=3),A24&amp;"2",IF(AND(COUNT(E25:E28)=2,ISNUMBER(E25),E25=MIN(E25:E28),D25="",F25=""),A24&amp;"4",IF(AND(COUNT(D25:D28)=2,D25=MAX(D25:D28),E25="",F25=""),A24&amp;"1",IF(COUNT(F25:F28)=2,A24&amp;"3",""))))</f>
        <v>D2</v>
      </c>
      <c r="H25" s="79"/>
      <c r="I25" s="79"/>
      <c r="J25" s="79"/>
      <c r="K25" s="79"/>
      <c r="L25" s="79"/>
    </row>
    <row r="26" spans="1:13" s="30" customFormat="1" x14ac:dyDescent="0.2">
      <c r="A26" s="296">
        <v>2</v>
      </c>
      <c r="B26" s="122" t="s">
        <v>586</v>
      </c>
      <c r="C26" s="336">
        <v>13</v>
      </c>
      <c r="D26" s="124">
        <v>13</v>
      </c>
      <c r="E26" s="32" t="str">
        <f>IF(AND(B28="-",ISNUMBER(C26),C26&lt;C27),13,"")</f>
        <v/>
      </c>
      <c r="F26" s="314"/>
      <c r="G26" s="32" t="str">
        <f>IF(AND(COUNT(F25:F28)=2,F26=MAX(F25:F28),COUNT(C26:F26)=3),A24&amp;"2",IF(AND(COUNT(E25:E28)=2,ISNUMBER(E26),E26=MIN(E25:E28),D26="",F26=""),A24&amp;"4",IF(AND(COUNT(D25:D28)=2,D26=MAX(D25:D28),E26="",F26=""),A24&amp;"1",IF(COUNT(F25:F28)=2,A24&amp;"3",""))))</f>
        <v>D1</v>
      </c>
      <c r="H26" s="79"/>
      <c r="I26" s="79"/>
      <c r="J26" s="79"/>
      <c r="K26" s="79"/>
      <c r="L26" s="79"/>
    </row>
    <row r="27" spans="1:13" s="30" customFormat="1" x14ac:dyDescent="0.2">
      <c r="A27" s="296">
        <v>3</v>
      </c>
      <c r="B27" s="122" t="s">
        <v>587</v>
      </c>
      <c r="C27" s="336">
        <v>6</v>
      </c>
      <c r="D27" s="32"/>
      <c r="E27" s="32">
        <f>IF(AND(B28="-",ISNUMBER(C27),C27&lt;C26),13,"")</f>
        <v>13</v>
      </c>
      <c r="F27" s="314">
        <v>1</v>
      </c>
      <c r="G27" s="32" t="str">
        <f>IF(AND(COUNT(F25:F28)=2,F27=MAX(F25:F28),COUNT(C27:F27)=3),A24&amp;"2",IF(AND(COUNT(E25:E28)=2,ISNUMBER(E27),E27=MIN(E25:E28),D27="",F27=""),A24&amp;"4",IF(AND(COUNT(D25:D28)=2,D27=MAX(D25:D28),E27="",F27=""),A24&amp;"1",IF(COUNT(F25:F28)=2,A24&amp;"3",""))))</f>
        <v>D3</v>
      </c>
      <c r="H27" s="79"/>
      <c r="I27" s="79"/>
      <c r="J27" s="79"/>
      <c r="K27" s="79"/>
      <c r="L27" s="79"/>
    </row>
    <row r="28" spans="1:13" s="30" customFormat="1" x14ac:dyDescent="0.2">
      <c r="A28" s="296">
        <v>4</v>
      </c>
      <c r="B28" s="123" t="s">
        <v>81</v>
      </c>
      <c r="C28" s="124">
        <f>IF(B28="-",0,"")</f>
        <v>0</v>
      </c>
      <c r="D28" s="124"/>
      <c r="E28" s="32">
        <f>IF(B28="-",0,"")</f>
        <v>0</v>
      </c>
      <c r="F28" s="314"/>
      <c r="G28" s="32" t="str">
        <f>IF(AND(COUNT(F25:F28)=2,F28=MAX(F25:F28),COUNT(C28:F28)=3),A24&amp;"2",IF(AND(COUNT(E25:E28)=2,ISNUMBER(E28),E28=MIN(E25:E28),D28="",F28=""),A24&amp;"4",IF(AND(COUNT(D25:D28)=2,D28=MAX(D25:D28),E28="",F28=""),A24&amp;"1",IF(COUNT(F25:F28)=2,A24&amp;"3",""))))</f>
        <v>D4</v>
      </c>
      <c r="H28" s="79"/>
      <c r="I28" s="79"/>
      <c r="J28" s="79"/>
      <c r="K28" s="79"/>
      <c r="L28" s="79"/>
    </row>
    <row r="29" spans="1:13" x14ac:dyDescent="0.2">
      <c r="M29" s="30"/>
    </row>
    <row r="30" spans="1:13" s="30" customFormat="1" x14ac:dyDescent="0.2">
      <c r="A30" s="296" t="s">
        <v>276</v>
      </c>
      <c r="B30" s="351"/>
      <c r="C30" s="31" t="s">
        <v>232</v>
      </c>
      <c r="D30" s="296" t="s">
        <v>61</v>
      </c>
      <c r="E30" s="296" t="s">
        <v>62</v>
      </c>
      <c r="F30" s="31" t="s">
        <v>63</v>
      </c>
      <c r="G30" s="31" t="s">
        <v>19</v>
      </c>
      <c r="H30" s="79"/>
      <c r="I30" s="79"/>
      <c r="J30" s="79"/>
      <c r="K30" s="79"/>
      <c r="L30" s="79"/>
    </row>
    <row r="31" spans="1:13" s="30" customFormat="1" x14ac:dyDescent="0.2">
      <c r="A31" s="296">
        <v>1</v>
      </c>
      <c r="B31" s="186" t="s">
        <v>588</v>
      </c>
      <c r="C31" s="124">
        <f>IF(B34="-",13,"")</f>
        <v>13</v>
      </c>
      <c r="D31" s="124">
        <v>13</v>
      </c>
      <c r="E31" s="32"/>
      <c r="F31" s="314"/>
      <c r="G31" s="32" t="str">
        <f>IF(AND(COUNT(F31:F34)=2,F31=MAX(F31:F34),COUNT(C31:F31)=3),A30&amp;"2",IF(AND(COUNT(E31:E34)=2,ISNUMBER(E31),E31=MIN(E31:E34),D31="",F31=""),A30&amp;"4",IF(AND(COUNT(D31:D34)=2,D31=MAX(D31:D34),E31="",F31=""),A30&amp;"1",IF(COUNT(F31:F34)=2,A30&amp;"3",""))))</f>
        <v>E1</v>
      </c>
      <c r="H31" s="79"/>
      <c r="I31" s="79"/>
      <c r="J31" s="79"/>
      <c r="K31" s="79"/>
      <c r="L31" s="79"/>
    </row>
    <row r="32" spans="1:13" s="30" customFormat="1" x14ac:dyDescent="0.2">
      <c r="A32" s="296">
        <v>2</v>
      </c>
      <c r="B32" s="122" t="s">
        <v>589</v>
      </c>
      <c r="C32" s="336">
        <v>7</v>
      </c>
      <c r="D32" s="124"/>
      <c r="E32" s="32">
        <f>IF(AND(B34="-",ISNUMBER(C32),C32&lt;C33),13,"")</f>
        <v>13</v>
      </c>
      <c r="F32" s="314">
        <v>13</v>
      </c>
      <c r="G32" s="32" t="str">
        <f>IF(AND(COUNT(F31:F34)=2,F32=MAX(F31:F34),COUNT(C32:F32)=3),A30&amp;"2",IF(AND(COUNT(E31:E34)=2,ISNUMBER(E32),E32=MIN(E31:E34),D32="",F32=""),A30&amp;"4",IF(AND(COUNT(D31:D34)=2,D32=MAX(D31:D34),E32="",F32=""),A30&amp;"1",IF(COUNT(F31:F34)=2,A30&amp;"3",""))))</f>
        <v>E2</v>
      </c>
      <c r="H32" s="79"/>
      <c r="I32" s="79"/>
      <c r="J32" s="79"/>
      <c r="K32" s="79"/>
      <c r="L32" s="79"/>
    </row>
    <row r="33" spans="1:13" s="30" customFormat="1" x14ac:dyDescent="0.2">
      <c r="A33" s="296">
        <v>3</v>
      </c>
      <c r="B33" s="122" t="s">
        <v>590</v>
      </c>
      <c r="C33" s="336">
        <v>13</v>
      </c>
      <c r="D33" s="32">
        <v>7</v>
      </c>
      <c r="E33" s="32" t="str">
        <f>IF(AND(B34="-",ISNUMBER(C33),C33&lt;C32),13,"")</f>
        <v/>
      </c>
      <c r="F33" s="314">
        <v>6</v>
      </c>
      <c r="G33" s="32" t="str">
        <f>IF(AND(COUNT(F31:F34)=2,F33=MAX(F31:F34),COUNT(C33:F33)=3),A30&amp;"2",IF(AND(COUNT(E31:E34)=2,ISNUMBER(E33),E33=MIN(E31:E34),D33="",F33=""),A30&amp;"4",IF(AND(COUNT(D31:D34)=2,D33=MAX(D31:D34),E33="",F33=""),A30&amp;"1",IF(COUNT(F31:F34)=2,A30&amp;"3",""))))</f>
        <v>E3</v>
      </c>
      <c r="H33" s="79"/>
      <c r="I33" s="79"/>
      <c r="J33" s="79"/>
      <c r="K33" s="79"/>
      <c r="L33" s="79"/>
    </row>
    <row r="34" spans="1:13" s="30" customFormat="1" x14ac:dyDescent="0.2">
      <c r="A34" s="296">
        <v>4</v>
      </c>
      <c r="B34" s="123" t="s">
        <v>81</v>
      </c>
      <c r="C34" s="124">
        <f>IF(B34="-",0,"")</f>
        <v>0</v>
      </c>
      <c r="D34" s="124"/>
      <c r="E34" s="32">
        <f>IF(B34="-",0,"")</f>
        <v>0</v>
      </c>
      <c r="F34" s="314"/>
      <c r="G34" s="32" t="str">
        <f>IF(AND(COUNT(F31:F34)=2,F34=MAX(F31:F34),COUNT(C34:F34)=3),A30&amp;"2",IF(AND(COUNT(E31:E34)=2,ISNUMBER(E34),E34=MIN(E31:E34),D34="",F34=""),A30&amp;"4",IF(AND(COUNT(D31:D34)=2,D34=MAX(D31:D34),E34="",F34=""),A30&amp;"1",IF(COUNT(F31:F34)=2,A30&amp;"3",""))))</f>
        <v>E4</v>
      </c>
      <c r="H34" s="79"/>
      <c r="I34" s="79"/>
      <c r="J34" s="79"/>
      <c r="K34" s="79"/>
      <c r="L34" s="79"/>
    </row>
    <row r="35" spans="1:13" x14ac:dyDescent="0.2">
      <c r="M35" s="30"/>
    </row>
    <row r="36" spans="1:13" s="30" customFormat="1" x14ac:dyDescent="0.2">
      <c r="A36" s="296" t="s">
        <v>294</v>
      </c>
      <c r="B36" s="351"/>
      <c r="C36" s="31" t="s">
        <v>232</v>
      </c>
      <c r="D36" s="296" t="s">
        <v>61</v>
      </c>
      <c r="E36" s="296" t="s">
        <v>62</v>
      </c>
      <c r="F36" s="31" t="s">
        <v>63</v>
      </c>
      <c r="G36" s="31" t="s">
        <v>19</v>
      </c>
      <c r="H36" s="79"/>
      <c r="I36" s="79"/>
      <c r="J36" s="79"/>
      <c r="K36" s="79"/>
      <c r="L36" s="79"/>
    </row>
    <row r="37" spans="1:13" s="30" customFormat="1" x14ac:dyDescent="0.2">
      <c r="A37" s="296">
        <v>1</v>
      </c>
      <c r="B37" s="186" t="s">
        <v>591</v>
      </c>
      <c r="C37" s="124">
        <f>IF(B40="-",13,"")</f>
        <v>13</v>
      </c>
      <c r="D37" s="124">
        <v>13</v>
      </c>
      <c r="E37" s="32"/>
      <c r="F37" s="314"/>
      <c r="G37" s="32" t="str">
        <f>IF(AND(COUNT(F37:F40)=2,F37=MAX(F37:F40),COUNT(C37:F37)=3),A36&amp;"2",IF(AND(COUNT(E37:E40)=2,ISNUMBER(E37),E37=MIN(E37:E40),D37="",F37=""),A36&amp;"4",IF(AND(COUNT(D37:D40)=2,D37=MAX(D37:D40),E37="",F37=""),A36&amp;"1",IF(COUNT(F37:F40)=2,A36&amp;"3",""))))</f>
        <v>F1</v>
      </c>
      <c r="H37" s="79"/>
      <c r="I37" s="79"/>
      <c r="J37" s="79"/>
      <c r="K37" s="79"/>
      <c r="L37" s="79"/>
    </row>
    <row r="38" spans="1:13" s="30" customFormat="1" x14ac:dyDescent="0.2">
      <c r="A38" s="296">
        <v>2</v>
      </c>
      <c r="B38" s="122" t="s">
        <v>544</v>
      </c>
      <c r="C38" s="336">
        <v>13</v>
      </c>
      <c r="D38" s="124">
        <v>4</v>
      </c>
      <c r="E38" s="32" t="str">
        <f>IF(AND(B40="-",ISNUMBER(C38),C38&lt;C39),13,"")</f>
        <v/>
      </c>
      <c r="F38" s="314">
        <v>6</v>
      </c>
      <c r="G38" s="32" t="str">
        <f>IF(AND(COUNT(F37:F40)=2,F38=MAX(F37:F40),COUNT(C38:F38)=3),A36&amp;"2",IF(AND(COUNT(E37:E40)=2,ISNUMBER(E38),E38=MIN(E37:E40),D38="",F38=""),A36&amp;"4",IF(AND(COUNT(D37:D40)=2,D38=MAX(D37:D40),E38="",F38=""),A36&amp;"1",IF(COUNT(F37:F40)=2,A36&amp;"3",""))))</f>
        <v>F3</v>
      </c>
      <c r="H38" s="79"/>
      <c r="I38" s="79"/>
      <c r="J38" s="79"/>
      <c r="K38" s="79"/>
      <c r="L38" s="79"/>
    </row>
    <row r="39" spans="1:13" s="30" customFormat="1" x14ac:dyDescent="0.2">
      <c r="A39" s="296">
        <v>3</v>
      </c>
      <c r="B39" s="122" t="s">
        <v>592</v>
      </c>
      <c r="C39" s="336">
        <v>11</v>
      </c>
      <c r="D39" s="32"/>
      <c r="E39" s="32">
        <f>IF(AND(B40="-",ISNUMBER(C39),C39&lt;C38),13,"")</f>
        <v>13</v>
      </c>
      <c r="F39" s="314">
        <v>13</v>
      </c>
      <c r="G39" s="32" t="str">
        <f>IF(AND(COUNT(F37:F40)=2,F39=MAX(F37:F40),COUNT(C39:F39)=3),A36&amp;"2",IF(AND(COUNT(E37:E40)=2,ISNUMBER(E39),E39=MIN(E37:E40),D39="",F39=""),A36&amp;"4",IF(AND(COUNT(D37:D40)=2,D39=MAX(D37:D40),E39="",F39=""),A36&amp;"1",IF(COUNT(F37:F40)=2,A36&amp;"3",""))))</f>
        <v>F2</v>
      </c>
      <c r="H39" s="79"/>
      <c r="I39" s="79"/>
      <c r="J39" s="79"/>
      <c r="K39" s="79"/>
      <c r="L39" s="79"/>
    </row>
    <row r="40" spans="1:13" s="30" customFormat="1" x14ac:dyDescent="0.2">
      <c r="A40" s="296">
        <v>4</v>
      </c>
      <c r="B40" s="123" t="s">
        <v>81</v>
      </c>
      <c r="C40" s="124">
        <f>IF(B40="-",0,"")</f>
        <v>0</v>
      </c>
      <c r="D40" s="124"/>
      <c r="E40" s="32">
        <f>IF(B40="-",0,"")</f>
        <v>0</v>
      </c>
      <c r="F40" s="314"/>
      <c r="G40" s="32" t="str">
        <f>IF(AND(COUNT(F37:F40)=2,F40=MAX(F37:F40),COUNT(C40:F40)=3),A36&amp;"2",IF(AND(COUNT(E37:E40)=2,ISNUMBER(E40),E40=MIN(E37:E40),D40="",F40=""),A36&amp;"4",IF(AND(COUNT(D37:D40)=2,D40=MAX(D37:D40),E40="",F40=""),A36&amp;"1",IF(COUNT(F37:F40)=2,A36&amp;"3",""))))</f>
        <v>F4</v>
      </c>
      <c r="H40" s="79"/>
      <c r="I40" s="79"/>
      <c r="J40" s="79"/>
      <c r="K40" s="79"/>
      <c r="L40" s="79"/>
    </row>
    <row r="41" spans="1:13" s="30" customFormat="1" x14ac:dyDescent="0.2">
      <c r="A41" s="34"/>
      <c r="B41" s="38"/>
      <c r="C41" s="36"/>
      <c r="D41" s="36"/>
      <c r="E41" s="36"/>
      <c r="F41" s="36"/>
      <c r="G41" s="39"/>
    </row>
    <row r="42" spans="1:13" s="42" customFormat="1" x14ac:dyDescent="0.2">
      <c r="A42" s="60" t="s">
        <v>90</v>
      </c>
      <c r="B42" s="45"/>
      <c r="C42" s="35"/>
      <c r="D42" s="35"/>
      <c r="E42" s="35"/>
      <c r="F42" s="36"/>
      <c r="G42" s="37"/>
    </row>
    <row r="43" spans="1:13" s="42" customFormat="1" x14ac:dyDescent="0.2"/>
    <row r="44" spans="1:13" s="42" customFormat="1" x14ac:dyDescent="0.2">
      <c r="A44" s="61" t="s">
        <v>69</v>
      </c>
      <c r="B44" s="310" t="str">
        <f>IFERROR(INDEX(B$7:B$40,MATCH(A44,G$7:G$40,0)),"")</f>
        <v>Ivar Viljaste, Sirje Viljaste</v>
      </c>
      <c r="C44" s="81">
        <f>IF(B44="-",0,IF(B46="-",13,""))</f>
        <v>13</v>
      </c>
    </row>
    <row r="45" spans="1:13" s="42" customFormat="1" x14ac:dyDescent="0.2">
      <c r="A45" s="43"/>
      <c r="B45" s="311"/>
      <c r="C45" s="126" t="str">
        <f>IF(COUNT(C44,C46)=2,IF(C44&gt;C46,B44,B46),"")</f>
        <v>Ivar Viljaste, Sirje Viljaste</v>
      </c>
      <c r="E45" s="81">
        <v>13</v>
      </c>
    </row>
    <row r="46" spans="1:13" s="42" customFormat="1" x14ac:dyDescent="0.2">
      <c r="A46" s="43" t="s">
        <v>81</v>
      </c>
      <c r="B46" s="312" t="str">
        <f>IFERROR(INDEX(B$7:B$40,MATCH(A46,G$7:G$40,0)),"")</f>
        <v>-</v>
      </c>
      <c r="C46" s="63">
        <f>IF(B46="-",0,IF(B44="-",13,""))</f>
        <v>0</v>
      </c>
      <c r="D46" s="345"/>
    </row>
    <row r="47" spans="1:13" s="42" customFormat="1" x14ac:dyDescent="0.2">
      <c r="A47" s="43"/>
      <c r="B47" s="313"/>
      <c r="D47" s="46"/>
      <c r="E47" s="126" t="str">
        <f>IF(COUNT(E45,E49)=2,IF(E45&gt;E49,C45,C49),"")</f>
        <v>Ivar Viljaste, Sirje Viljaste</v>
      </c>
      <c r="G47" s="81">
        <v>4</v>
      </c>
    </row>
    <row r="48" spans="1:13" s="42" customFormat="1" x14ac:dyDescent="0.2">
      <c r="A48" s="43" t="s">
        <v>67</v>
      </c>
      <c r="B48" s="310" t="str">
        <f>IFERROR(INDEX(B$7:B$40,MATCH(A48,G$7:G$40,0)),"")</f>
        <v>Alari Keedus, Jelena Brakina</v>
      </c>
      <c r="C48" s="81">
        <v>13</v>
      </c>
      <c r="D48" s="46"/>
      <c r="E48" s="343"/>
      <c r="F48" s="345"/>
    </row>
    <row r="49" spans="1:11" s="42" customFormat="1" x14ac:dyDescent="0.2">
      <c r="A49" s="43"/>
      <c r="B49" s="311"/>
      <c r="C49" s="126" t="str">
        <f>IF(COUNT(C48,C50)=2,IF(C48&gt;C50,B48,B50),"")</f>
        <v>Alari Keedus, Jelena Brakina</v>
      </c>
      <c r="D49" s="50"/>
      <c r="E49" s="63">
        <v>2</v>
      </c>
      <c r="F49" s="46"/>
    </row>
    <row r="50" spans="1:11" s="42" customFormat="1" x14ac:dyDescent="0.2">
      <c r="A50" s="43" t="s">
        <v>94</v>
      </c>
      <c r="B50" s="312" t="str">
        <f>IFERROR(INDEX(B$7:B$40,MATCH(A50,G$7:G$40,0)),"")</f>
        <v>Margus Strööm, Marina Vallik</v>
      </c>
      <c r="C50" s="63">
        <v>9</v>
      </c>
      <c r="E50" s="45"/>
      <c r="F50" s="46"/>
    </row>
    <row r="51" spans="1:11" s="42" customFormat="1" x14ac:dyDescent="0.2">
      <c r="A51" s="52"/>
      <c r="B51" s="313"/>
      <c r="E51" s="45"/>
      <c r="F51" s="46"/>
      <c r="G51" s="42" t="str">
        <f>IF(COUNT(G47,G55)=2,IF(G47&gt;G55,E47,E55),"")</f>
        <v>Katri Aavekukk, Margus Berkmann</v>
      </c>
      <c r="I51" s="81">
        <v>13</v>
      </c>
    </row>
    <row r="52" spans="1:11" s="42" customFormat="1" x14ac:dyDescent="0.2">
      <c r="A52" s="61" t="s">
        <v>73</v>
      </c>
      <c r="B52" s="310" t="str">
        <f>IFERROR(INDEX(B$7:B$40,MATCH(A52,G$7:G$40,0)),"")</f>
        <v>Andero Kelu, Merike Aava</v>
      </c>
      <c r="C52" s="81">
        <f>IF(B52="-",0,IF(B54="-",13,""))</f>
        <v>13</v>
      </c>
      <c r="F52" s="46"/>
      <c r="G52" s="343"/>
      <c r="H52" s="345"/>
    </row>
    <row r="53" spans="1:11" s="42" customFormat="1" x14ac:dyDescent="0.2">
      <c r="A53" s="43"/>
      <c r="B53" s="311"/>
      <c r="C53" s="126" t="str">
        <f>IF(COUNT(C52,C54)=2,IF(C52&gt;C54,B52,B54),"")</f>
        <v>Andero Kelu, Merike Aava</v>
      </c>
      <c r="E53" s="81">
        <v>2</v>
      </c>
      <c r="F53" s="46"/>
      <c r="G53" s="45"/>
      <c r="H53" s="46"/>
    </row>
    <row r="54" spans="1:11" s="42" customFormat="1" x14ac:dyDescent="0.2">
      <c r="A54" s="43" t="s">
        <v>81</v>
      </c>
      <c r="B54" s="312" t="str">
        <f>IFERROR(INDEX(B$7:B$40,MATCH(A54,G$7:G$40,0)),"")</f>
        <v>-</v>
      </c>
      <c r="C54" s="63">
        <f>IF(B54="-",0,IF(B52="-",13,""))</f>
        <v>0</v>
      </c>
      <c r="D54" s="345"/>
      <c r="F54" s="46"/>
      <c r="G54" s="45"/>
      <c r="H54" s="46"/>
    </row>
    <row r="55" spans="1:11" s="42" customFormat="1" x14ac:dyDescent="0.2">
      <c r="A55" s="43"/>
      <c r="B55" s="313"/>
      <c r="D55" s="46"/>
      <c r="E55" s="126" t="str">
        <f>IF(COUNT(E53,E57)=2,IF(E53&gt;E57,C53,C57),"")</f>
        <v>Katri Aavekukk, Margus Berkmann</v>
      </c>
      <c r="F55" s="50"/>
      <c r="G55" s="63">
        <v>13</v>
      </c>
      <c r="H55" s="46"/>
    </row>
    <row r="56" spans="1:11" s="42" customFormat="1" x14ac:dyDescent="0.2">
      <c r="A56" s="43" t="s">
        <v>74</v>
      </c>
      <c r="B56" s="310" t="str">
        <f>IFERROR(INDEX(B$7:B$40,MATCH(A56,G$7:G$40,0)),"")</f>
        <v>Angelika Tauk, Toomas Tauk</v>
      </c>
      <c r="C56" s="81">
        <v>1</v>
      </c>
      <c r="D56" s="46"/>
      <c r="E56" s="343"/>
      <c r="F56" s="45"/>
      <c r="G56" s="45"/>
      <c r="H56" s="46"/>
    </row>
    <row r="57" spans="1:11" s="42" customFormat="1" x14ac:dyDescent="0.2">
      <c r="A57" s="43"/>
      <c r="B57" s="311"/>
      <c r="C57" s="126" t="str">
        <f>IF(COUNT(C56,C58)=2,IF(C56&gt;C58,B56,B58),"")</f>
        <v>Katri Aavekukk, Margus Berkmann</v>
      </c>
      <c r="D57" s="50"/>
      <c r="E57" s="63">
        <v>13</v>
      </c>
      <c r="G57" s="45"/>
      <c r="H57" s="46"/>
    </row>
    <row r="58" spans="1:11" s="42" customFormat="1" x14ac:dyDescent="0.2">
      <c r="A58" s="43" t="s">
        <v>93</v>
      </c>
      <c r="B58" s="312" t="str">
        <f>IFERROR(INDEX(B$7:B$40,MATCH(A58,G$7:G$40,0)),"")</f>
        <v>Katri Aavekukk, Margus Berkmann</v>
      </c>
      <c r="C58" s="63">
        <v>13</v>
      </c>
      <c r="E58" s="45"/>
      <c r="F58" s="45"/>
      <c r="G58" s="45"/>
      <c r="H58" s="46"/>
    </row>
    <row r="59" spans="1:11" s="42" customFormat="1" ht="13.5" thickBot="1" x14ac:dyDescent="0.25">
      <c r="A59" s="52"/>
      <c r="B59" s="313"/>
      <c r="G59" s="45"/>
      <c r="H59" s="46"/>
      <c r="J59" s="224" t="str">
        <f>IF(COUNT(I51,I67)=2,IF(I51&gt;I67,G51,G67),"")</f>
        <v>Katri Aavekukk, Margus Berkmann</v>
      </c>
    </row>
    <row r="60" spans="1:11" s="42" customFormat="1" x14ac:dyDescent="0.2">
      <c r="A60" s="61" t="s">
        <v>71</v>
      </c>
      <c r="B60" s="310" t="str">
        <f>IFERROR(INDEX(B$7:B$40,MATCH(A60,G$7:G$40,0)),"")</f>
        <v>Kadri Arunurm, Kalju Olmre</v>
      </c>
      <c r="C60" s="81">
        <f>IF(B60="-",0,IF(B62="-",13,""))</f>
        <v>13</v>
      </c>
      <c r="G60" s="45"/>
      <c r="H60" s="46"/>
      <c r="I60" s="48"/>
      <c r="J60" s="62" t="s">
        <v>277</v>
      </c>
      <c r="K60" s="49"/>
    </row>
    <row r="61" spans="1:11" s="42" customFormat="1" x14ac:dyDescent="0.2">
      <c r="A61" s="43"/>
      <c r="B61" s="311"/>
      <c r="C61" s="126" t="str">
        <f>IF(COUNT(C60,C62)=2,IF(C60&gt;C62,B60,B62),"")</f>
        <v>Kadri Arunurm, Kalju Olmre</v>
      </c>
      <c r="E61" s="81">
        <v>13</v>
      </c>
      <c r="G61" s="45"/>
      <c r="H61" s="46"/>
    </row>
    <row r="62" spans="1:11" s="42" customFormat="1" x14ac:dyDescent="0.2">
      <c r="A62" s="43" t="s">
        <v>81</v>
      </c>
      <c r="B62" s="312" t="str">
        <f>IFERROR(INDEX(B$7:B$40,MATCH(A62,G$7:G$40,0)),"")</f>
        <v>-</v>
      </c>
      <c r="C62" s="63">
        <f>IF(B62="-",0,IF(B60="-",13,""))</f>
        <v>0</v>
      </c>
      <c r="D62" s="345"/>
      <c r="G62" s="45"/>
      <c r="H62" s="46"/>
    </row>
    <row r="63" spans="1:11" s="42" customFormat="1" x14ac:dyDescent="0.2">
      <c r="A63" s="43"/>
      <c r="B63" s="313"/>
      <c r="D63" s="46"/>
      <c r="E63" s="126" t="str">
        <f>IF(COUNT(E61,E65)=2,IF(E61&gt;E65,C61,C65),"")</f>
        <v>Kadri Arunurm, Kalju Olmre</v>
      </c>
      <c r="G63" s="51">
        <v>11</v>
      </c>
      <c r="H63" s="46"/>
    </row>
    <row r="64" spans="1:11" s="42" customFormat="1" x14ac:dyDescent="0.2">
      <c r="A64" s="43" t="s">
        <v>72</v>
      </c>
      <c r="B64" s="310" t="str">
        <f>IFERROR(INDEX(B$7:B$40,MATCH(A64,G$7:G$40,0)),"")</f>
        <v>Mihkel Filipenko, Triin Gretel Tauk</v>
      </c>
      <c r="C64" s="81">
        <v>6</v>
      </c>
      <c r="D64" s="46"/>
      <c r="E64" s="343"/>
      <c r="F64" s="345"/>
      <c r="G64" s="45"/>
      <c r="H64" s="46"/>
    </row>
    <row r="65" spans="1:11" s="42" customFormat="1" x14ac:dyDescent="0.2">
      <c r="A65" s="43"/>
      <c r="B65" s="311"/>
      <c r="C65" s="126" t="str">
        <f>IF(COUNT(C64,C66)=2,IF(C64&gt;C66,B64,B66),"")</f>
        <v>Aigi Orro, Kalle Orro</v>
      </c>
      <c r="D65" s="50"/>
      <c r="E65" s="63">
        <v>7</v>
      </c>
      <c r="F65" s="46"/>
      <c r="G65" s="45"/>
      <c r="H65" s="46"/>
    </row>
    <row r="66" spans="1:11" s="42" customFormat="1" x14ac:dyDescent="0.2">
      <c r="A66" s="43" t="s">
        <v>70</v>
      </c>
      <c r="B66" s="312" t="str">
        <f>IFERROR(INDEX(B$7:B$40,MATCH(A66,G$7:G$40,0)),"")</f>
        <v>Aigi Orro, Kalle Orro</v>
      </c>
      <c r="C66" s="63">
        <v>13</v>
      </c>
      <c r="E66" s="45"/>
      <c r="F66" s="46"/>
      <c r="G66" s="45"/>
      <c r="H66" s="46"/>
    </row>
    <row r="67" spans="1:11" s="42" customFormat="1" x14ac:dyDescent="0.2">
      <c r="A67" s="52"/>
      <c r="B67" s="313"/>
      <c r="E67" s="45"/>
      <c r="F67" s="46"/>
      <c r="G67" s="344" t="str">
        <f>IF(COUNT(G63,G71)=2,IF(G63&gt;G71,E63,E71),"")</f>
        <v>Eve Oidsalu, Kaido Kopel</v>
      </c>
      <c r="H67" s="50"/>
      <c r="I67" s="63">
        <v>9</v>
      </c>
    </row>
    <row r="68" spans="1:11" s="42" customFormat="1" ht="13.5" thickBot="1" x14ac:dyDescent="0.25">
      <c r="A68" s="61" t="s">
        <v>91</v>
      </c>
      <c r="B68" s="310" t="str">
        <f>IFERROR(INDEX(B$7:B$40,MATCH(A68,G$7:G$40,0)),"")</f>
        <v>Hardo Sokk, Marju Velga</v>
      </c>
      <c r="C68" s="81">
        <f>IF(B68="-",0,IF(B70="-",13,""))</f>
        <v>13</v>
      </c>
      <c r="F68" s="46"/>
      <c r="G68" s="342"/>
      <c r="J68" s="224" t="str">
        <f>IF(COUNT(I51,I67)=2,IF(I51&lt;I67,G51,G67),"")</f>
        <v>Eve Oidsalu, Kaido Kopel</v>
      </c>
      <c r="K68" s="47"/>
    </row>
    <row r="69" spans="1:11" s="42" customFormat="1" x14ac:dyDescent="0.2">
      <c r="A69" s="43"/>
      <c r="B69" s="311"/>
      <c r="C69" s="126" t="str">
        <f>IF(COUNT(C68,C70)=2,IF(C68&gt;C70,B68,B70),"")</f>
        <v>Hardo Sokk, Marju Velga</v>
      </c>
      <c r="E69" s="81">
        <v>5</v>
      </c>
      <c r="F69" s="46"/>
      <c r="G69" s="45"/>
      <c r="J69" s="62" t="s">
        <v>278</v>
      </c>
      <c r="K69" s="45"/>
    </row>
    <row r="70" spans="1:11" s="42" customFormat="1" x14ac:dyDescent="0.2">
      <c r="A70" s="43" t="s">
        <v>81</v>
      </c>
      <c r="B70" s="312" t="str">
        <f>IFERROR(INDEX(B$7:B$40,MATCH(A70,G$7:G$40,0)),"")</f>
        <v>-</v>
      </c>
      <c r="C70" s="63">
        <f>IF(B70="-",0,IF(B68="-",13,""))</f>
        <v>0</v>
      </c>
      <c r="D70" s="345"/>
      <c r="F70" s="46"/>
      <c r="G70" s="45"/>
    </row>
    <row r="71" spans="1:11" s="42" customFormat="1" x14ac:dyDescent="0.2">
      <c r="A71" s="43"/>
      <c r="B71" s="313"/>
      <c r="D71" s="46"/>
      <c r="E71" s="126" t="str">
        <f>IF(COUNT(E69,E73)=2,IF(E69&gt;E73,C69,C73),"")</f>
        <v>Eve Oidsalu, Kaido Kopel</v>
      </c>
      <c r="F71" s="50"/>
      <c r="G71" s="63">
        <v>13</v>
      </c>
    </row>
    <row r="72" spans="1:11" s="42" customFormat="1" x14ac:dyDescent="0.2">
      <c r="A72" s="43" t="s">
        <v>68</v>
      </c>
      <c r="B72" s="310" t="str">
        <f>IFERROR(INDEX(B$7:B$40,MATCH(A72,G$7:G$40,0)),"")</f>
        <v>Katrin Lember, Urmo Auväärt</v>
      </c>
      <c r="C72" s="81">
        <v>6</v>
      </c>
      <c r="D72" s="46"/>
      <c r="E72" s="343"/>
      <c r="F72" s="45"/>
      <c r="G72" s="45"/>
    </row>
    <row r="73" spans="1:11" s="42" customFormat="1" x14ac:dyDescent="0.2">
      <c r="A73" s="43"/>
      <c r="B73" s="311"/>
      <c r="C73" s="126" t="str">
        <f>IF(COUNT(C72,C74)=2,IF(C72&gt;C74,B72,B74),"")</f>
        <v>Eve Oidsalu, Kaido Kopel</v>
      </c>
      <c r="D73" s="50"/>
      <c r="E73" s="63">
        <v>13</v>
      </c>
      <c r="G73" s="45" t="str">
        <f>IF(COUNT(G47,G55)=2,IF(G47&lt;G55,E47,E55),"")</f>
        <v>Ivar Viljaste, Sirje Viljaste</v>
      </c>
      <c r="I73" s="81">
        <v>5</v>
      </c>
    </row>
    <row r="74" spans="1:11" s="42" customFormat="1" ht="13.5" thickBot="1" x14ac:dyDescent="0.25">
      <c r="A74" s="43" t="s">
        <v>92</v>
      </c>
      <c r="B74" s="312" t="str">
        <f>IFERROR(INDEX(B$7:B$40,MATCH(A74,G$7:G$40,0)),"")</f>
        <v>Eve Oidsalu, Kaido Kopel</v>
      </c>
      <c r="C74" s="63">
        <v>13</v>
      </c>
      <c r="E74" s="45"/>
      <c r="F74" s="45"/>
      <c r="G74" s="309"/>
      <c r="H74" s="345"/>
      <c r="I74" s="47"/>
      <c r="J74" s="224" t="str">
        <f>IF(COUNT(I73,I75)=2,IF(I73&gt;I75,G73,G75),"")</f>
        <v>Kadri Arunurm, Kalju Olmre</v>
      </c>
      <c r="K74" s="47"/>
    </row>
    <row r="75" spans="1:11" s="42" customFormat="1" x14ac:dyDescent="0.2">
      <c r="F75" s="45"/>
      <c r="G75" s="127" t="str">
        <f>IF(COUNT(G63,G71)=2,IF(G63&lt;G71,E63,E71),"")</f>
        <v>Kadri Arunurm, Kalju Olmre</v>
      </c>
      <c r="H75" s="50"/>
      <c r="I75" s="63">
        <v>13</v>
      </c>
      <c r="J75" s="53" t="s">
        <v>279</v>
      </c>
      <c r="K75" s="45"/>
    </row>
    <row r="76" spans="1:11" s="42" customFormat="1" x14ac:dyDescent="0.2">
      <c r="F76" s="45"/>
      <c r="J76" s="45"/>
      <c r="K76" s="45"/>
    </row>
    <row r="77" spans="1:11" s="42" customFormat="1" ht="13.5" thickBot="1" x14ac:dyDescent="0.25">
      <c r="F77" s="45"/>
      <c r="G77" s="45"/>
      <c r="H77" s="45"/>
      <c r="J77" s="224" t="str">
        <f>IF(COUNT(I73,I75)=2,IF(I73&lt;I75,G73,G75),"")</f>
        <v>Ivar Viljaste, Sirje Viljaste</v>
      </c>
      <c r="K77" s="47"/>
    </row>
    <row r="78" spans="1:11" s="42" customFormat="1" x14ac:dyDescent="0.2">
      <c r="G78" s="45"/>
      <c r="H78" s="45"/>
      <c r="J78" s="52" t="s">
        <v>75</v>
      </c>
    </row>
    <row r="79" spans="1:11" s="42" customFormat="1" x14ac:dyDescent="0.2">
      <c r="G79" s="45"/>
      <c r="H79" s="45"/>
      <c r="J79" s="52"/>
    </row>
    <row r="80" spans="1:11" s="42" customFormat="1" x14ac:dyDescent="0.2">
      <c r="A80" s="64" t="s">
        <v>95</v>
      </c>
      <c r="G80" s="45"/>
      <c r="H80" s="45"/>
      <c r="J80" s="52"/>
    </row>
    <row r="81" spans="1:12" s="42" customFormat="1" x14ac:dyDescent="0.2">
      <c r="A81" s="125"/>
      <c r="G81" s="45"/>
      <c r="H81" s="45"/>
      <c r="J81" s="52"/>
    </row>
    <row r="82" spans="1:12" s="42" customFormat="1" x14ac:dyDescent="0.2">
      <c r="E82" s="127" t="str">
        <f>IF(COUNT(E45,E49)=2,IF(E45&lt;E49,C45,C49),"")</f>
        <v>Alari Keedus, Jelena Brakina</v>
      </c>
      <c r="G82" s="81">
        <v>0</v>
      </c>
      <c r="H82" s="81"/>
      <c r="I82" s="81"/>
    </row>
    <row r="83" spans="1:12" s="42" customFormat="1" x14ac:dyDescent="0.2">
      <c r="E83" s="65"/>
      <c r="F83" s="66"/>
      <c r="G83" s="126" t="str">
        <f>IF(COUNT(G82,G84)=2,IF(G82&gt;G84,E82,E84),"")</f>
        <v>Andero Kelu, Merike Aava</v>
      </c>
      <c r="I83" s="81">
        <v>13</v>
      </c>
    </row>
    <row r="84" spans="1:12" s="42" customFormat="1" x14ac:dyDescent="0.2">
      <c r="E84" s="127" t="str">
        <f>IF(COUNT(E53,E57)=2,IF(E53&lt;E57,C53,C57),"")</f>
        <v>Andero Kelu, Merike Aava</v>
      </c>
      <c r="F84" s="67"/>
      <c r="G84" s="63">
        <v>13</v>
      </c>
      <c r="H84" s="66"/>
      <c r="I84" s="81"/>
    </row>
    <row r="85" spans="1:12" s="42" customFormat="1" ht="13.5" thickBot="1" x14ac:dyDescent="0.25">
      <c r="E85" s="81"/>
      <c r="F85" s="81"/>
      <c r="G85" s="51"/>
      <c r="H85" s="68"/>
      <c r="I85" s="81"/>
      <c r="J85" s="224" t="str">
        <f>IF(COUNT(I83,I87)=2,IF(I83&gt;I87,G83,G87),"")</f>
        <v>Andero Kelu, Merike Aava</v>
      </c>
    </row>
    <row r="86" spans="1:12" s="42" customFormat="1" x14ac:dyDescent="0.2">
      <c r="E86" s="127" t="str">
        <f>IF(COUNT(E61,E65)=2,IF(E61&lt;E65,C61,C65),"")</f>
        <v>Aigi Orro, Kalle Orro</v>
      </c>
      <c r="F86" s="81"/>
      <c r="G86" s="81">
        <v>13</v>
      </c>
      <c r="H86" s="68"/>
      <c r="I86" s="69"/>
      <c r="J86" s="62" t="s">
        <v>76</v>
      </c>
      <c r="K86" s="49"/>
    </row>
    <row r="87" spans="1:12" s="42" customFormat="1" x14ac:dyDescent="0.2">
      <c r="E87" s="65"/>
      <c r="F87" s="66"/>
      <c r="G87" s="126" t="str">
        <f>IF(COUNT(G86,G88)=2,IF(G86&gt;G88,E86,E88),"")</f>
        <v>Aigi Orro, Kalle Orro</v>
      </c>
      <c r="H87" s="50"/>
      <c r="I87" s="63">
        <v>8</v>
      </c>
    </row>
    <row r="88" spans="1:12" s="42" customFormat="1" ht="13.5" thickBot="1" x14ac:dyDescent="0.25">
      <c r="E88" s="127" t="str">
        <f>IF(COUNT(E69,E73)=2,IF(E69&lt;E73,C69,C73),"")</f>
        <v>Hardo Sokk, Marju Velga</v>
      </c>
      <c r="F88" s="67"/>
      <c r="G88" s="63">
        <v>1</v>
      </c>
      <c r="H88" s="81"/>
      <c r="I88" s="51"/>
      <c r="J88" s="224" t="str">
        <f>IF(COUNT(I83,I87)=2,IF(I83&lt;I87,G83,G87),"")</f>
        <v>Aigi Orro, Kalle Orro</v>
      </c>
      <c r="K88" s="47"/>
    </row>
    <row r="89" spans="1:12" s="42" customFormat="1" x14ac:dyDescent="0.2">
      <c r="E89" s="81"/>
      <c r="F89" s="81"/>
      <c r="G89" s="81"/>
      <c r="H89" s="81"/>
      <c r="I89" s="51"/>
      <c r="J89" s="62" t="s">
        <v>77</v>
      </c>
      <c r="K89" s="45"/>
    </row>
    <row r="90" spans="1:12" s="42" customFormat="1" x14ac:dyDescent="0.2">
      <c r="E90" s="81"/>
      <c r="F90" s="51"/>
      <c r="G90" s="223" t="str">
        <f>IF(COUNT(G82,G84)=2,IF(G82&lt;G84,E82,E84),"")</f>
        <v>Alari Keedus, Jelena Brakina</v>
      </c>
      <c r="I90" s="81">
        <v>13</v>
      </c>
      <c r="J90" s="45"/>
      <c r="K90" s="45"/>
    </row>
    <row r="91" spans="1:12" s="42" customFormat="1" ht="13.5" thickBot="1" x14ac:dyDescent="0.25">
      <c r="E91" s="81"/>
      <c r="F91" s="51"/>
      <c r="G91" s="309"/>
      <c r="H91" s="44"/>
      <c r="I91" s="47"/>
      <c r="J91" s="224" t="str">
        <f>IF(COUNT(I90,I92)=2,IF(I90&gt;I92,G90,G92),"")</f>
        <v>Alari Keedus, Jelena Brakina</v>
      </c>
      <c r="K91" s="47"/>
    </row>
    <row r="92" spans="1:12" s="42" customFormat="1" x14ac:dyDescent="0.2">
      <c r="E92" s="81"/>
      <c r="F92" s="51"/>
      <c r="G92" s="127" t="str">
        <f>IF(COUNT(G86,G88)=2,IF(G86&lt;G88,E86,E88),"")</f>
        <v>Hardo Sokk, Marju Velga</v>
      </c>
      <c r="H92" s="50"/>
      <c r="I92" s="63">
        <v>9</v>
      </c>
      <c r="J92" s="53" t="s">
        <v>78</v>
      </c>
      <c r="K92" s="45"/>
    </row>
    <row r="93" spans="1:12" s="42" customFormat="1" x14ac:dyDescent="0.2">
      <c r="F93" s="45"/>
      <c r="J93" s="45"/>
      <c r="K93" s="45"/>
    </row>
    <row r="94" spans="1:12" s="42" customFormat="1" ht="13.5" thickBot="1" x14ac:dyDescent="0.25">
      <c r="G94" s="45"/>
      <c r="H94" s="45"/>
      <c r="J94" s="47" t="str">
        <f>IF(COUNT(I90,I92)=2,IF(I90&lt;I92,G90,G92),"")</f>
        <v>Hardo Sokk, Marju Velga</v>
      </c>
      <c r="K94" s="47"/>
    </row>
    <row r="95" spans="1:12" s="42" customFormat="1" x14ac:dyDescent="0.2">
      <c r="G95" s="45"/>
      <c r="H95" s="45"/>
      <c r="J95" s="53" t="s">
        <v>79</v>
      </c>
    </row>
    <row r="96" spans="1:12" s="82" customFormat="1" x14ac:dyDescent="0.2">
      <c r="D96" s="79"/>
      <c r="E96" s="79"/>
      <c r="F96" s="79"/>
      <c r="G96" s="79"/>
      <c r="H96" s="79"/>
      <c r="I96" s="79"/>
      <c r="J96" s="79"/>
      <c r="K96" s="79"/>
      <c r="L96" s="79"/>
    </row>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47" t="s">
        <v>577</v>
      </c>
    </row>
    <row r="300" spans="1:3" x14ac:dyDescent="0.2">
      <c r="A300" s="54">
        <v>1</v>
      </c>
      <c r="B300" s="129" t="str">
        <f t="shared" ref="B300:B307" si="0">IFERROR(INDEX(J$59:J$94,MATCH(A300&amp;". koht",J$60:J$95,0)),"")</f>
        <v>Katri Aavekukk, Margus Berkmann</v>
      </c>
      <c r="C300" s="347">
        <v>25</v>
      </c>
    </row>
    <row r="301" spans="1:3" x14ac:dyDescent="0.2">
      <c r="A301" s="54">
        <v>2</v>
      </c>
      <c r="B301" s="56" t="str">
        <f t="shared" si="0"/>
        <v>Eve Oidsalu, Kaido Kopel</v>
      </c>
      <c r="C301" s="347">
        <v>20</v>
      </c>
    </row>
    <row r="302" spans="1:3" x14ac:dyDescent="0.2">
      <c r="A302" s="54">
        <v>3</v>
      </c>
      <c r="B302" s="57" t="str">
        <f t="shared" si="0"/>
        <v>Kadri Arunurm, Kalju Olmre</v>
      </c>
      <c r="C302" s="347">
        <v>16</v>
      </c>
    </row>
    <row r="303" spans="1:3" x14ac:dyDescent="0.2">
      <c r="A303" s="54">
        <v>4</v>
      </c>
      <c r="B303" s="58" t="str">
        <f t="shared" si="0"/>
        <v>Ivar Viljaste, Sirje Viljaste</v>
      </c>
      <c r="C303" s="347">
        <v>12</v>
      </c>
    </row>
    <row r="304" spans="1:3" x14ac:dyDescent="0.2">
      <c r="A304" s="54">
        <v>5</v>
      </c>
      <c r="B304" s="58" t="str">
        <f t="shared" si="0"/>
        <v>Andero Kelu, Merike Aava</v>
      </c>
      <c r="C304" s="347">
        <v>9</v>
      </c>
    </row>
    <row r="305" spans="1:3" x14ac:dyDescent="0.2">
      <c r="A305" s="54">
        <v>6</v>
      </c>
      <c r="B305" s="58" t="str">
        <f t="shared" si="0"/>
        <v>Aigi Orro, Kalle Orro</v>
      </c>
      <c r="C305" s="347">
        <v>7</v>
      </c>
    </row>
    <row r="306" spans="1:3" x14ac:dyDescent="0.2">
      <c r="A306" s="54">
        <v>7</v>
      </c>
      <c r="B306" s="58" t="str">
        <f t="shared" si="0"/>
        <v>Alari Keedus, Jelena Brakina</v>
      </c>
      <c r="C306" s="347">
        <v>5</v>
      </c>
    </row>
    <row r="307" spans="1:3" x14ac:dyDescent="0.2">
      <c r="A307" s="54">
        <v>8</v>
      </c>
      <c r="B307" s="58" t="str">
        <f t="shared" si="0"/>
        <v>Hardo Sokk, Marju Velga</v>
      </c>
      <c r="C307" s="347">
        <v>4</v>
      </c>
    </row>
    <row r="308" spans="1:3" x14ac:dyDescent="0.2">
      <c r="A308" s="359" t="s">
        <v>579</v>
      </c>
      <c r="B308" s="122" t="s">
        <v>582</v>
      </c>
      <c r="C308" s="347">
        <v>2</v>
      </c>
    </row>
    <row r="309" spans="1:3" x14ac:dyDescent="0.2">
      <c r="A309" s="359" t="s">
        <v>579</v>
      </c>
      <c r="B309" s="122" t="s">
        <v>289</v>
      </c>
      <c r="C309" s="347">
        <v>2</v>
      </c>
    </row>
    <row r="310" spans="1:3" x14ac:dyDescent="0.2">
      <c r="A310" s="359" t="s">
        <v>579</v>
      </c>
      <c r="B310" s="122" t="s">
        <v>592</v>
      </c>
      <c r="C310" s="347">
        <v>2</v>
      </c>
    </row>
    <row r="311" spans="1:3" x14ac:dyDescent="0.2">
      <c r="A311" s="359" t="s">
        <v>579</v>
      </c>
      <c r="B311" s="122" t="s">
        <v>585</v>
      </c>
      <c r="C311" s="347">
        <v>2</v>
      </c>
    </row>
    <row r="312" spans="1:3" x14ac:dyDescent="0.2">
      <c r="A312" s="359" t="s">
        <v>593</v>
      </c>
      <c r="B312" s="122" t="str">
        <f>IFERROR(INDEX(B$7:B$40,MATCH("A3",G$7:G$40,0)),"")</f>
        <v>Andres Veski, Svetlana Veski</v>
      </c>
      <c r="C312" s="347">
        <v>2</v>
      </c>
    </row>
    <row r="313" spans="1:3" x14ac:dyDescent="0.2">
      <c r="A313" s="359" t="s">
        <v>593</v>
      </c>
      <c r="B313" s="122" t="str">
        <f>IFERROR(INDEX(B$7:B$40,MATCH("B3",G$7:G$40,0)),"")</f>
        <v>Marek Kolk, Piibe Kerge</v>
      </c>
      <c r="C313" s="347">
        <v>2</v>
      </c>
    </row>
    <row r="314" spans="1:3" x14ac:dyDescent="0.2">
      <c r="A314" s="359" t="s">
        <v>593</v>
      </c>
      <c r="B314" s="122" t="str">
        <f>IFERROR(INDEX(B$7:B$40,MATCH("C3",G$7:G$40,0)),"")</f>
        <v>Anne Sillamaa, Vallo Sillamaa</v>
      </c>
      <c r="C314" s="347">
        <v>2</v>
      </c>
    </row>
    <row r="315" spans="1:3" x14ac:dyDescent="0.2">
      <c r="A315" s="359" t="s">
        <v>593</v>
      </c>
      <c r="B315" s="122" t="str">
        <f>IFERROR(INDEX(B$7:B$40,MATCH("D3",G$7:G$40,0)),"")</f>
        <v>Ljudmila Varendi, Viktor Švarõgin</v>
      </c>
      <c r="C315" s="347">
        <v>2</v>
      </c>
    </row>
    <row r="316" spans="1:3" x14ac:dyDescent="0.2">
      <c r="A316" s="359" t="s">
        <v>593</v>
      </c>
      <c r="B316" s="122" t="str">
        <f>IFERROR(INDEX(B$7:B$40,MATCH("E3",G$7:G$40,0)),"")</f>
        <v>Kevin Kangur, Maris Rõõm</v>
      </c>
      <c r="C316" s="347">
        <v>2</v>
      </c>
    </row>
    <row r="317" spans="1:3" x14ac:dyDescent="0.2">
      <c r="A317" s="359" t="s">
        <v>593</v>
      </c>
      <c r="B317" s="122" t="str">
        <f>IFERROR(INDEX(B$7:B$40,MATCH("F3",G$7:G$40,0)),"")</f>
        <v>Janek Kiisk, Kadri Veljend, Marek Lehis</v>
      </c>
      <c r="C317" s="347">
        <v>2</v>
      </c>
    </row>
  </sheetData>
  <sortState ref="B308:B311">
    <sortCondition ref="B308"/>
  </sortState>
  <conditionalFormatting sqref="B8:B10">
    <cfRule type="duplicateValues" dxfId="1419" priority="474"/>
  </conditionalFormatting>
  <conditionalFormatting sqref="B37:B40">
    <cfRule type="duplicateValues" dxfId="1418" priority="402"/>
  </conditionalFormatting>
  <conditionalFormatting sqref="B31:B34">
    <cfRule type="duplicateValues" dxfId="1417" priority="378"/>
  </conditionalFormatting>
  <conditionalFormatting sqref="B25:B28">
    <cfRule type="duplicateValues" dxfId="1416" priority="354"/>
  </conditionalFormatting>
  <conditionalFormatting sqref="B19:B22">
    <cfRule type="duplicateValues" dxfId="1415" priority="330"/>
  </conditionalFormatting>
  <conditionalFormatting sqref="G19:G22">
    <cfRule type="containsText" dxfId="1414" priority="309" operator="containsText" text="2">
      <formula>NOT(ISERROR(SEARCH("2",G19)))</formula>
    </cfRule>
    <cfRule type="containsText" dxfId="1413" priority="310" operator="containsText" text="1">
      <formula>NOT(ISERROR(SEARCH("1",G19)))</formula>
    </cfRule>
  </conditionalFormatting>
  <conditionalFormatting sqref="G22">
    <cfRule type="expression" dxfId="1412" priority="308">
      <formula>B22="-"</formula>
    </cfRule>
  </conditionalFormatting>
  <conditionalFormatting sqref="B13:B16">
    <cfRule type="duplicateValues" dxfId="1411" priority="306"/>
  </conditionalFormatting>
  <conditionalFormatting sqref="C19 C22">
    <cfRule type="aboveAverage" dxfId="1410" priority="278"/>
  </conditionalFormatting>
  <conditionalFormatting sqref="C20:C21">
    <cfRule type="aboveAverage" dxfId="1409" priority="277"/>
  </conditionalFormatting>
  <conditionalFormatting sqref="A44:A74">
    <cfRule type="cellIs" dxfId="1408" priority="240" operator="equal">
      <formula>"-"</formula>
    </cfRule>
    <cfRule type="duplicateValues" dxfId="1407" priority="265"/>
  </conditionalFormatting>
  <conditionalFormatting sqref="G82 G84">
    <cfRule type="aboveAverage" dxfId="1406" priority="264"/>
  </conditionalFormatting>
  <conditionalFormatting sqref="G86 G88">
    <cfRule type="aboveAverage" dxfId="1405" priority="263"/>
  </conditionalFormatting>
  <conditionalFormatting sqref="I83 I87">
    <cfRule type="aboveAverage" dxfId="1404" priority="262"/>
  </conditionalFormatting>
  <conditionalFormatting sqref="I90 I92">
    <cfRule type="aboveAverage" dxfId="1403" priority="261"/>
  </conditionalFormatting>
  <conditionalFormatting sqref="G82 G84 G86 G88 I83 I87 I90 I92">
    <cfRule type="containsBlanks" dxfId="1402" priority="260">
      <formula>LEN(TRIM(G82))=0</formula>
    </cfRule>
  </conditionalFormatting>
  <conditionalFormatting sqref="C44 C46">
    <cfRule type="aboveAverage" dxfId="1401" priority="259"/>
  </conditionalFormatting>
  <conditionalFormatting sqref="C48 C50">
    <cfRule type="aboveAverage" dxfId="1400" priority="258"/>
  </conditionalFormatting>
  <conditionalFormatting sqref="E45 E49">
    <cfRule type="aboveAverage" dxfId="1399" priority="257"/>
  </conditionalFormatting>
  <conditionalFormatting sqref="C52 C54">
    <cfRule type="aboveAverage" dxfId="1398" priority="256"/>
  </conditionalFormatting>
  <conditionalFormatting sqref="C56 C58">
    <cfRule type="aboveAverage" dxfId="1397" priority="255"/>
  </conditionalFormatting>
  <conditionalFormatting sqref="E53 E57">
    <cfRule type="aboveAverage" dxfId="1396" priority="254"/>
  </conditionalFormatting>
  <conditionalFormatting sqref="G47 G55">
    <cfRule type="aboveAverage" dxfId="1395" priority="253"/>
  </conditionalFormatting>
  <conditionalFormatting sqref="C60 C62">
    <cfRule type="aboveAverage" dxfId="1394" priority="252"/>
  </conditionalFormatting>
  <conditionalFormatting sqref="C64 C66">
    <cfRule type="aboveAverage" dxfId="1393" priority="251"/>
  </conditionalFormatting>
  <conditionalFormatting sqref="E61 E65">
    <cfRule type="aboveAverage" dxfId="1392" priority="250"/>
  </conditionalFormatting>
  <conditionalFormatting sqref="C68 C70">
    <cfRule type="aboveAverage" dxfId="1391" priority="249"/>
  </conditionalFormatting>
  <conditionalFormatting sqref="C72 C74">
    <cfRule type="aboveAverage" dxfId="1390" priority="248"/>
  </conditionalFormatting>
  <conditionalFormatting sqref="E69 E73">
    <cfRule type="aboveAverage" dxfId="1389" priority="247"/>
  </conditionalFormatting>
  <conditionalFormatting sqref="G63 G71">
    <cfRule type="aboveAverage" dxfId="1388" priority="246"/>
  </conditionalFormatting>
  <conditionalFormatting sqref="C44 C46 C48 C50 C52 C54 C56 C58 C60 C62 C64 C66 C68 C70 C72 C74 E45 E49 E53 E57 E61 E65 E69 E73 G47 G55 G63 G71">
    <cfRule type="containsBlanks" dxfId="1387" priority="244">
      <formula>LEN(TRIM(C44))=0</formula>
    </cfRule>
  </conditionalFormatting>
  <conditionalFormatting sqref="I51 I67">
    <cfRule type="aboveAverage" dxfId="1386" priority="242"/>
  </conditionalFormatting>
  <conditionalFormatting sqref="I51 I67">
    <cfRule type="containsBlanks" dxfId="1385" priority="241">
      <formula>LEN(TRIM(I51))=0</formula>
    </cfRule>
  </conditionalFormatting>
  <conditionalFormatting sqref="B300:B317">
    <cfRule type="containsBlanks" dxfId="1384" priority="7167">
      <formula>LEN(TRIM(B300))=0</formula>
    </cfRule>
    <cfRule type="duplicateValues" dxfId="1383" priority="7168"/>
  </conditionalFormatting>
  <conditionalFormatting sqref="I73 I75">
    <cfRule type="aboveAverage" dxfId="1382" priority="239"/>
  </conditionalFormatting>
  <conditionalFormatting sqref="I73 I75">
    <cfRule type="containsBlanks" dxfId="1381" priority="238">
      <formula>LEN(TRIM(I73))=0</formula>
    </cfRule>
  </conditionalFormatting>
  <conditionalFormatting sqref="E10">
    <cfRule type="expression" dxfId="1380" priority="218">
      <formula>AND(COUNT(E7:E10)&lt;2,IF(ISNUMBER(C10),C7&gt;C10))</formula>
    </cfRule>
  </conditionalFormatting>
  <conditionalFormatting sqref="E7">
    <cfRule type="expression" dxfId="1379" priority="217">
      <formula>AND(COUNT(E7:E10)&lt;2,IF(ISNUMBER(C7),C10&gt;C7))</formula>
    </cfRule>
  </conditionalFormatting>
  <conditionalFormatting sqref="E8">
    <cfRule type="expression" dxfId="1378" priority="216">
      <formula>AND(COUNT(E7:E10)&lt;2,IF(ISNUMBER(C8),C9&gt;C8))</formula>
    </cfRule>
  </conditionalFormatting>
  <conditionalFormatting sqref="E9">
    <cfRule type="expression" dxfId="1377" priority="215">
      <formula>AND(COUNT(E7:E10)&lt;2,IF(ISNUMBER(C9),C8&gt;C9))</formula>
    </cfRule>
  </conditionalFormatting>
  <conditionalFormatting sqref="E7:E10">
    <cfRule type="aboveAverage" dxfId="1376" priority="214"/>
  </conditionalFormatting>
  <conditionalFormatting sqref="G7:G10">
    <cfRule type="containsText" dxfId="1375" priority="203" operator="containsText" text="2">
      <formula>NOT(ISERROR(SEARCH("2",G7)))</formula>
    </cfRule>
    <cfRule type="containsText" dxfId="1374" priority="204" operator="containsText" text="1">
      <formula>NOT(ISERROR(SEARCH("1",G7)))</formula>
    </cfRule>
  </conditionalFormatting>
  <conditionalFormatting sqref="F7">
    <cfRule type="expression" dxfId="1373" priority="209">
      <formula>AND(COUNT(F7:F10)&lt;2,IF(COUNT(E7:E10)=2,IF(AND(ISNUMBER(E7),COUNTIF(E7:E10,E7)=1,E7=MAX(E7:E10)),TRUE,FALSE)))</formula>
    </cfRule>
    <cfRule type="expression" dxfId="1372" priority="213">
      <formula>AND(COUNT(F7:F10)&lt;2,IF(COUNT(D7:D10)=2,IF(AND(ISNUMBER(D7),COUNTIF(D7:D10,D7)=1,D7=MIN(D7:D10)),TRUE,FALSE)))</formula>
    </cfRule>
  </conditionalFormatting>
  <conditionalFormatting sqref="F8">
    <cfRule type="expression" dxfId="1371" priority="208">
      <formula>AND(COUNT(F7:F10)&lt;2,IF(COUNT(E7:E10)=2,IF(AND(ISNUMBER(E8),COUNTIF(E7:E10,E8)=1,E8=MAX(E7:E10)),TRUE,FALSE)))</formula>
    </cfRule>
    <cfRule type="expression" dxfId="1370" priority="212">
      <formula>AND(COUNT(F7:F10)&lt;2,IF(COUNT(D7:D10)=2,IF(AND(ISNUMBER(D8),COUNTIF(D7:D10,D8)=1,D8=MIN(D7:D10)),TRUE,FALSE)))</formula>
    </cfRule>
  </conditionalFormatting>
  <conditionalFormatting sqref="F9">
    <cfRule type="expression" dxfId="1369" priority="207">
      <formula>AND(COUNT(F7:F10)&lt;2,IF(COUNT(E7:E10)=2,IF(AND(ISNUMBER(E9),COUNTIF(E7:E10,E9)=1,E9=MAX(E7:E10)),TRUE,FALSE)))</formula>
    </cfRule>
    <cfRule type="expression" dxfId="1368" priority="211">
      <formula>AND(COUNT(F7:F10)&lt;2,IF(COUNT(D7:D10)=2,IF(AND(ISNUMBER(D9),COUNTIF(D7:D10,D9)=1,D9=MIN(D7:D10)),TRUE,FALSE)))</formula>
    </cfRule>
  </conditionalFormatting>
  <conditionalFormatting sqref="F10">
    <cfRule type="expression" dxfId="1367" priority="206">
      <formula>AND(COUNT(F7:F10)&lt;2,IF(COUNT(E7:E10)=2,IF(AND(ISNUMBER(E10),COUNTIF(E7:E10,E10)=1,E10=MAX(E7:E10)),TRUE,FALSE)))</formula>
    </cfRule>
    <cfRule type="expression" dxfId="1366" priority="210">
      <formula>AND(COUNT(F7:F10)&lt;2,IF(COUNT(D7:D10)=2,IF(AND(ISNUMBER(D10),COUNTIF(D7:D10,D10)=1,D10=MIN(D7:D10)),TRUE,FALSE)))</formula>
    </cfRule>
  </conditionalFormatting>
  <conditionalFormatting sqref="F7:F10">
    <cfRule type="aboveAverage" dxfId="1365" priority="205"/>
  </conditionalFormatting>
  <conditionalFormatting sqref="G10">
    <cfRule type="expression" dxfId="1364" priority="202">
      <formula>B10="-"</formula>
    </cfRule>
  </conditionalFormatting>
  <conditionalFormatting sqref="C7 C10">
    <cfRule type="aboveAverage" dxfId="1363" priority="201"/>
  </conditionalFormatting>
  <conditionalFormatting sqref="C8:C9">
    <cfRule type="aboveAverage" dxfId="1362" priority="200"/>
  </conditionalFormatting>
  <conditionalFormatting sqref="D7">
    <cfRule type="expression" dxfId="1361" priority="199">
      <formula>AND(COUNT(D7:D10)&lt;2,IF(ISNUMBER(C10),C7&gt;C10))</formula>
    </cfRule>
  </conditionalFormatting>
  <conditionalFormatting sqref="D8">
    <cfRule type="expression" dxfId="1360" priority="198">
      <formula>AND(COUNT(D7:D10)&lt;2,IF(ISNUMBER(C9),C8&gt;C9))</formula>
    </cfRule>
  </conditionalFormatting>
  <conditionalFormatting sqref="D9">
    <cfRule type="expression" dxfId="1359" priority="197">
      <formula>AND(COUNT(D7:D10)&lt;2,IF(ISNUMBER(C8),C9&gt;C8))</formula>
    </cfRule>
  </conditionalFormatting>
  <conditionalFormatting sqref="D10">
    <cfRule type="expression" dxfId="1358" priority="196">
      <formula>AND(COUNT(D7:D10)&lt;2,IF(ISNUMBER(C7),C10&gt;C7))</formula>
    </cfRule>
  </conditionalFormatting>
  <conditionalFormatting sqref="D7:D10">
    <cfRule type="aboveAverage" dxfId="1357" priority="195"/>
  </conditionalFormatting>
  <conditionalFormatting sqref="G13:G16">
    <cfRule type="containsText" dxfId="1356" priority="179" operator="containsText" text="2">
      <formula>NOT(ISERROR(SEARCH("2",G13)))</formula>
    </cfRule>
    <cfRule type="containsText" dxfId="1355" priority="180" operator="containsText" text="1">
      <formula>NOT(ISERROR(SEARCH("1",G13)))</formula>
    </cfRule>
  </conditionalFormatting>
  <conditionalFormatting sqref="G16">
    <cfRule type="expression" dxfId="1354" priority="178">
      <formula>B16="-"</formula>
    </cfRule>
  </conditionalFormatting>
  <conditionalFormatting sqref="C13 C16">
    <cfRule type="aboveAverage" dxfId="1353" priority="177"/>
  </conditionalFormatting>
  <conditionalFormatting sqref="C14:C15">
    <cfRule type="aboveAverage" dxfId="1352" priority="176"/>
  </conditionalFormatting>
  <conditionalFormatting sqref="G25:G28">
    <cfRule type="containsText" dxfId="1351" priority="155" operator="containsText" text="2">
      <formula>NOT(ISERROR(SEARCH("2",G25)))</formula>
    </cfRule>
    <cfRule type="containsText" dxfId="1350" priority="156" operator="containsText" text="1">
      <formula>NOT(ISERROR(SEARCH("1",G25)))</formula>
    </cfRule>
  </conditionalFormatting>
  <conditionalFormatting sqref="G28">
    <cfRule type="expression" dxfId="1349" priority="154">
      <formula>B28="-"</formula>
    </cfRule>
  </conditionalFormatting>
  <conditionalFormatting sqref="C25 C28">
    <cfRule type="aboveAverage" dxfId="1348" priority="153"/>
  </conditionalFormatting>
  <conditionalFormatting sqref="C26:C27">
    <cfRule type="aboveAverage" dxfId="1347" priority="152"/>
  </conditionalFormatting>
  <conditionalFormatting sqref="G31:G34">
    <cfRule type="containsText" dxfId="1346" priority="131" operator="containsText" text="2">
      <formula>NOT(ISERROR(SEARCH("2",G31)))</formula>
    </cfRule>
    <cfRule type="containsText" dxfId="1345" priority="132" operator="containsText" text="1">
      <formula>NOT(ISERROR(SEARCH("1",G31)))</formula>
    </cfRule>
  </conditionalFormatting>
  <conditionalFormatting sqref="G34">
    <cfRule type="expression" dxfId="1344" priority="130">
      <formula>B34="-"</formula>
    </cfRule>
  </conditionalFormatting>
  <conditionalFormatting sqref="C31 C34">
    <cfRule type="aboveAverage" dxfId="1343" priority="129"/>
  </conditionalFormatting>
  <conditionalFormatting sqref="C32:C33">
    <cfRule type="aboveAverage" dxfId="1342" priority="128"/>
  </conditionalFormatting>
  <conditionalFormatting sqref="G37:G39">
    <cfRule type="containsText" dxfId="1341" priority="107" operator="containsText" text="2">
      <formula>NOT(ISERROR(SEARCH("2",G37)))</formula>
    </cfRule>
    <cfRule type="containsText" dxfId="1340" priority="108" operator="containsText" text="1">
      <formula>NOT(ISERROR(SEARCH("1",G37)))</formula>
    </cfRule>
  </conditionalFormatting>
  <conditionalFormatting sqref="C37 C40">
    <cfRule type="aboveAverage" dxfId="1339" priority="105"/>
  </conditionalFormatting>
  <conditionalFormatting sqref="C38:C39">
    <cfRule type="aboveAverage" dxfId="1338" priority="104"/>
  </conditionalFormatting>
  <conditionalFormatting sqref="G40">
    <cfRule type="containsText" dxfId="1337" priority="97" operator="containsText" text="2">
      <formula>NOT(ISERROR(SEARCH("2",G40)))</formula>
    </cfRule>
    <cfRule type="containsText" dxfId="1336" priority="98" operator="containsText" text="1">
      <formula>NOT(ISERROR(SEARCH("1",G40)))</formula>
    </cfRule>
  </conditionalFormatting>
  <conditionalFormatting sqref="G40">
    <cfRule type="expression" dxfId="1335" priority="96">
      <formula>B40="-"</formula>
    </cfRule>
  </conditionalFormatting>
  <conditionalFormatting sqref="E16">
    <cfRule type="expression" dxfId="1334" priority="95">
      <formula>AND(COUNT(E13:E16)&lt;2,IF(ISNUMBER(C16),C13&gt;C16))</formula>
    </cfRule>
  </conditionalFormatting>
  <conditionalFormatting sqref="E13">
    <cfRule type="expression" dxfId="1333" priority="94">
      <formula>AND(COUNT(E13:E16)&lt;2,IF(ISNUMBER(C13),C16&gt;C13))</formula>
    </cfRule>
  </conditionalFormatting>
  <conditionalFormatting sqref="E14">
    <cfRule type="expression" dxfId="1332" priority="93">
      <formula>AND(COUNT(E13:E16)&lt;2,IF(ISNUMBER(C14),C15&gt;C14))</formula>
    </cfRule>
  </conditionalFormatting>
  <conditionalFormatting sqref="E15">
    <cfRule type="expression" dxfId="1331" priority="92">
      <formula>AND(COUNT(E13:E16)&lt;2,IF(ISNUMBER(C15),C14&gt;C15))</formula>
    </cfRule>
  </conditionalFormatting>
  <conditionalFormatting sqref="E13:E16">
    <cfRule type="aboveAverage" dxfId="1330" priority="91"/>
  </conditionalFormatting>
  <conditionalFormatting sqref="F13">
    <cfRule type="expression" dxfId="1329" priority="86">
      <formula>AND(COUNT(F13:F16)&lt;2,IF(COUNT(E13:E16)=2,IF(AND(ISNUMBER(E13),COUNTIF(E13:E16,E13)=1,E13=MAX(E13:E16)),TRUE,FALSE)))</formula>
    </cfRule>
    <cfRule type="expression" dxfId="1328" priority="90">
      <formula>AND(COUNT(F13:F16)&lt;2,IF(COUNT(D13:D16)=2,IF(AND(ISNUMBER(D13),COUNTIF(D13:D16,D13)=1,D13=MIN(D13:D16)),TRUE,FALSE)))</formula>
    </cfRule>
  </conditionalFormatting>
  <conditionalFormatting sqref="F14">
    <cfRule type="expression" dxfId="1327" priority="85">
      <formula>AND(COUNT(F13:F16)&lt;2,IF(COUNT(E13:E16)=2,IF(AND(ISNUMBER(E14),COUNTIF(E13:E16,E14)=1,E14=MAX(E13:E16)),TRUE,FALSE)))</formula>
    </cfRule>
    <cfRule type="expression" dxfId="1326" priority="89">
      <formula>AND(COUNT(F13:F16)&lt;2,IF(COUNT(D13:D16)=2,IF(AND(ISNUMBER(D14),COUNTIF(D13:D16,D14)=1,D14=MIN(D13:D16)),TRUE,FALSE)))</formula>
    </cfRule>
  </conditionalFormatting>
  <conditionalFormatting sqref="F15">
    <cfRule type="expression" dxfId="1325" priority="84">
      <formula>AND(COUNT(F13:F16)&lt;2,IF(COUNT(E13:E16)=2,IF(AND(ISNUMBER(E15),COUNTIF(E13:E16,E15)=1,E15=MAX(E13:E16)),TRUE,FALSE)))</formula>
    </cfRule>
    <cfRule type="expression" dxfId="1324" priority="88">
      <formula>AND(COUNT(F13:F16)&lt;2,IF(COUNT(D13:D16)=2,IF(AND(ISNUMBER(D15),COUNTIF(D13:D16,D15)=1,D15=MIN(D13:D16)),TRUE,FALSE)))</formula>
    </cfRule>
  </conditionalFormatting>
  <conditionalFormatting sqref="F16">
    <cfRule type="expression" dxfId="1323" priority="83">
      <formula>AND(COUNT(F13:F16)&lt;2,IF(COUNT(E13:E16)=2,IF(AND(ISNUMBER(E16),COUNTIF(E13:E16,E16)=1,E16=MAX(E13:E16)),TRUE,FALSE)))</formula>
    </cfRule>
    <cfRule type="expression" dxfId="1322" priority="87">
      <formula>AND(COUNT(F13:F16)&lt;2,IF(COUNT(D13:D16)=2,IF(AND(ISNUMBER(D16),COUNTIF(D13:D16,D16)=1,D16=MIN(D13:D16)),TRUE,FALSE)))</formula>
    </cfRule>
  </conditionalFormatting>
  <conditionalFormatting sqref="F13:F16">
    <cfRule type="aboveAverage" dxfId="1321" priority="82"/>
  </conditionalFormatting>
  <conditionalFormatting sqref="D13">
    <cfRule type="expression" dxfId="1320" priority="81">
      <formula>AND(COUNT(D13:D16)&lt;2,IF(ISNUMBER(C16),C13&gt;C16))</formula>
    </cfRule>
  </conditionalFormatting>
  <conditionalFormatting sqref="D14">
    <cfRule type="expression" dxfId="1319" priority="80">
      <formula>AND(COUNT(D13:D16)&lt;2,IF(ISNUMBER(C15),C14&gt;C15))</formula>
    </cfRule>
  </conditionalFormatting>
  <conditionalFormatting sqref="D15">
    <cfRule type="expression" dxfId="1318" priority="79">
      <formula>AND(COUNT(D13:D16)&lt;2,IF(ISNUMBER(C14),C15&gt;C14))</formula>
    </cfRule>
  </conditionalFormatting>
  <conditionalFormatting sqref="D16">
    <cfRule type="expression" dxfId="1317" priority="78">
      <formula>AND(COUNT(D13:D16)&lt;2,IF(ISNUMBER(C13),C16&gt;C13))</formula>
    </cfRule>
  </conditionalFormatting>
  <conditionalFormatting sqref="D13:D16">
    <cfRule type="aboveAverage" dxfId="1316" priority="77"/>
  </conditionalFormatting>
  <conditionalFormatting sqref="E22">
    <cfRule type="expression" dxfId="1315" priority="76">
      <formula>AND(COUNT(E19:E22)&lt;2,IF(ISNUMBER(C22),C19&gt;C22))</formula>
    </cfRule>
  </conditionalFormatting>
  <conditionalFormatting sqref="E19">
    <cfRule type="expression" dxfId="1314" priority="75">
      <formula>AND(COUNT(E19:E22)&lt;2,IF(ISNUMBER(C19),C22&gt;C19))</formula>
    </cfRule>
  </conditionalFormatting>
  <conditionalFormatting sqref="E20">
    <cfRule type="expression" dxfId="1313" priority="74">
      <formula>AND(COUNT(E19:E22)&lt;2,IF(ISNUMBER(C20),C21&gt;C20))</formula>
    </cfRule>
  </conditionalFormatting>
  <conditionalFormatting sqref="E21">
    <cfRule type="expression" dxfId="1312" priority="73">
      <formula>AND(COUNT(E19:E22)&lt;2,IF(ISNUMBER(C21),C20&gt;C21))</formula>
    </cfRule>
  </conditionalFormatting>
  <conditionalFormatting sqref="E19:E22">
    <cfRule type="aboveAverage" dxfId="1311" priority="72"/>
  </conditionalFormatting>
  <conditionalFormatting sqref="F19">
    <cfRule type="expression" dxfId="1310" priority="67">
      <formula>AND(COUNT(F19:F22)&lt;2,IF(COUNT(E19:E22)=2,IF(AND(ISNUMBER(E19),COUNTIF(E19:E22,E19)=1,E19=MAX(E19:E22)),TRUE,FALSE)))</formula>
    </cfRule>
    <cfRule type="expression" dxfId="1309" priority="71">
      <formula>AND(COUNT(F19:F22)&lt;2,IF(COUNT(D19:D22)=2,IF(AND(ISNUMBER(D19),COUNTIF(D19:D22,D19)=1,D19=MIN(D19:D22)),TRUE,FALSE)))</formula>
    </cfRule>
  </conditionalFormatting>
  <conditionalFormatting sqref="F20">
    <cfRule type="expression" dxfId="1308" priority="66">
      <formula>AND(COUNT(F19:F22)&lt;2,IF(COUNT(E19:E22)=2,IF(AND(ISNUMBER(E20),COUNTIF(E19:E22,E20)=1,E20=MAX(E19:E22)),TRUE,FALSE)))</formula>
    </cfRule>
    <cfRule type="expression" dxfId="1307" priority="70">
      <formula>AND(COUNT(F19:F22)&lt;2,IF(COUNT(D19:D22)=2,IF(AND(ISNUMBER(D20),COUNTIF(D19:D22,D20)=1,D20=MIN(D19:D22)),TRUE,FALSE)))</formula>
    </cfRule>
  </conditionalFormatting>
  <conditionalFormatting sqref="F21">
    <cfRule type="expression" dxfId="1306" priority="65">
      <formula>AND(COUNT(F19:F22)&lt;2,IF(COUNT(E19:E22)=2,IF(AND(ISNUMBER(E21),COUNTIF(E19:E22,E21)=1,E21=MAX(E19:E22)),TRUE,FALSE)))</formula>
    </cfRule>
    <cfRule type="expression" dxfId="1305" priority="69">
      <formula>AND(COUNT(F19:F22)&lt;2,IF(COUNT(D19:D22)=2,IF(AND(ISNUMBER(D21),COUNTIF(D19:D22,D21)=1,D21=MIN(D19:D22)),TRUE,FALSE)))</formula>
    </cfRule>
  </conditionalFormatting>
  <conditionalFormatting sqref="F22">
    <cfRule type="expression" dxfId="1304" priority="64">
      <formula>AND(COUNT(F19:F22)&lt;2,IF(COUNT(E19:E22)=2,IF(AND(ISNUMBER(E22),COUNTIF(E19:E22,E22)=1,E22=MAX(E19:E22)),TRUE,FALSE)))</formula>
    </cfRule>
    <cfRule type="expression" dxfId="1303" priority="68">
      <formula>AND(COUNT(F19:F22)&lt;2,IF(COUNT(D19:D22)=2,IF(AND(ISNUMBER(D22),COUNTIF(D19:D22,D22)=1,D22=MIN(D19:D22)),TRUE,FALSE)))</formula>
    </cfRule>
  </conditionalFormatting>
  <conditionalFormatting sqref="F19:F22">
    <cfRule type="aboveAverage" dxfId="1302" priority="63"/>
  </conditionalFormatting>
  <conditionalFormatting sqref="D19">
    <cfRule type="expression" dxfId="1301" priority="62">
      <formula>AND(COUNT(D19:D22)&lt;2,IF(ISNUMBER(C22),C19&gt;C22))</formula>
    </cfRule>
  </conditionalFormatting>
  <conditionalFormatting sqref="D20">
    <cfRule type="expression" dxfId="1300" priority="61">
      <formula>AND(COUNT(D19:D22)&lt;2,IF(ISNUMBER(C21),C20&gt;C21))</formula>
    </cfRule>
  </conditionalFormatting>
  <conditionalFormatting sqref="D21">
    <cfRule type="expression" dxfId="1299" priority="60">
      <formula>AND(COUNT(D19:D22)&lt;2,IF(ISNUMBER(C20),C21&gt;C20))</formula>
    </cfRule>
  </conditionalFormatting>
  <conditionalFormatting sqref="D22">
    <cfRule type="expression" dxfId="1298" priority="59">
      <formula>AND(COUNT(D19:D22)&lt;2,IF(ISNUMBER(C19),C22&gt;C19))</formula>
    </cfRule>
  </conditionalFormatting>
  <conditionalFormatting sqref="D19:D22">
    <cfRule type="aboveAverage" dxfId="1297" priority="58"/>
  </conditionalFormatting>
  <conditionalFormatting sqref="E28">
    <cfRule type="expression" dxfId="1296" priority="57">
      <formula>AND(COUNT(E25:E28)&lt;2,IF(ISNUMBER(C28),C25&gt;C28))</formula>
    </cfRule>
  </conditionalFormatting>
  <conditionalFormatting sqref="E25">
    <cfRule type="expression" dxfId="1295" priority="56">
      <formula>AND(COUNT(E25:E28)&lt;2,IF(ISNUMBER(C25),C28&gt;C25))</formula>
    </cfRule>
  </conditionalFormatting>
  <conditionalFormatting sqref="E26">
    <cfRule type="expression" dxfId="1294" priority="55">
      <formula>AND(COUNT(E25:E28)&lt;2,IF(ISNUMBER(C26),C27&gt;C26))</formula>
    </cfRule>
  </conditionalFormatting>
  <conditionalFormatting sqref="E27">
    <cfRule type="expression" dxfId="1293" priority="54">
      <formula>AND(COUNT(E25:E28)&lt;2,IF(ISNUMBER(C27),C26&gt;C27))</formula>
    </cfRule>
  </conditionalFormatting>
  <conditionalFormatting sqref="E25:E28">
    <cfRule type="aboveAverage" dxfId="1292" priority="53"/>
  </conditionalFormatting>
  <conditionalFormatting sqref="F25">
    <cfRule type="expression" dxfId="1291" priority="48">
      <formula>AND(COUNT(F25:F28)&lt;2,IF(COUNT(E25:E28)=2,IF(AND(ISNUMBER(E25),COUNTIF(E25:E28,E25)=1,E25=MAX(E25:E28)),TRUE,FALSE)))</formula>
    </cfRule>
    <cfRule type="expression" dxfId="1290" priority="52">
      <formula>AND(COUNT(F25:F28)&lt;2,IF(COUNT(D25:D28)=2,IF(AND(ISNUMBER(D25),COUNTIF(D25:D28,D25)=1,D25=MIN(D25:D28)),TRUE,FALSE)))</formula>
    </cfRule>
  </conditionalFormatting>
  <conditionalFormatting sqref="F26">
    <cfRule type="expression" dxfId="1289" priority="47">
      <formula>AND(COUNT(F25:F28)&lt;2,IF(COUNT(E25:E28)=2,IF(AND(ISNUMBER(E26),COUNTIF(E25:E28,E26)=1,E26=MAX(E25:E28)),TRUE,FALSE)))</formula>
    </cfRule>
    <cfRule type="expression" dxfId="1288" priority="51">
      <formula>AND(COUNT(F25:F28)&lt;2,IF(COUNT(D25:D28)=2,IF(AND(ISNUMBER(D26),COUNTIF(D25:D28,D26)=1,D26=MIN(D25:D28)),TRUE,FALSE)))</formula>
    </cfRule>
  </conditionalFormatting>
  <conditionalFormatting sqref="F27">
    <cfRule type="expression" dxfId="1287" priority="46">
      <formula>AND(COUNT(F25:F28)&lt;2,IF(COUNT(E25:E28)=2,IF(AND(ISNUMBER(E27),COUNTIF(E25:E28,E27)=1,E27=MAX(E25:E28)),TRUE,FALSE)))</formula>
    </cfRule>
    <cfRule type="expression" dxfId="1286" priority="50">
      <formula>AND(COUNT(F25:F28)&lt;2,IF(COUNT(D25:D28)=2,IF(AND(ISNUMBER(D27),COUNTIF(D25:D28,D27)=1,D27=MIN(D25:D28)),TRUE,FALSE)))</formula>
    </cfRule>
  </conditionalFormatting>
  <conditionalFormatting sqref="F28">
    <cfRule type="expression" dxfId="1285" priority="45">
      <formula>AND(COUNT(F25:F28)&lt;2,IF(COUNT(E25:E28)=2,IF(AND(ISNUMBER(E28),COUNTIF(E25:E28,E28)=1,E28=MAX(E25:E28)),TRUE,FALSE)))</formula>
    </cfRule>
    <cfRule type="expression" dxfId="1284" priority="49">
      <formula>AND(COUNT(F25:F28)&lt;2,IF(COUNT(D25:D28)=2,IF(AND(ISNUMBER(D28),COUNTIF(D25:D28,D28)=1,D28=MIN(D25:D28)),TRUE,FALSE)))</formula>
    </cfRule>
  </conditionalFormatting>
  <conditionalFormatting sqref="F25:F28">
    <cfRule type="aboveAverage" dxfId="1283" priority="44"/>
  </conditionalFormatting>
  <conditionalFormatting sqref="D25">
    <cfRule type="expression" dxfId="1282" priority="43">
      <formula>AND(COUNT(D25:D28)&lt;2,IF(ISNUMBER(C28),C25&gt;C28))</formula>
    </cfRule>
  </conditionalFormatting>
  <conditionalFormatting sqref="D26">
    <cfRule type="expression" dxfId="1281" priority="42">
      <formula>AND(COUNT(D25:D28)&lt;2,IF(ISNUMBER(C27),C26&gt;C27))</formula>
    </cfRule>
  </conditionalFormatting>
  <conditionalFormatting sqref="D27">
    <cfRule type="expression" dxfId="1280" priority="41">
      <formula>AND(COUNT(D25:D28)&lt;2,IF(ISNUMBER(C26),C27&gt;C26))</formula>
    </cfRule>
  </conditionalFormatting>
  <conditionalFormatting sqref="D28">
    <cfRule type="expression" dxfId="1279" priority="40">
      <formula>AND(COUNT(D25:D28)&lt;2,IF(ISNUMBER(C25),C28&gt;C25))</formula>
    </cfRule>
  </conditionalFormatting>
  <conditionalFormatting sqref="D25:D28">
    <cfRule type="aboveAverage" dxfId="1278" priority="39"/>
  </conditionalFormatting>
  <conditionalFormatting sqref="E34">
    <cfRule type="expression" dxfId="1277" priority="38">
      <formula>AND(COUNT(E31:E34)&lt;2,IF(ISNUMBER(C34),C31&gt;C34))</formula>
    </cfRule>
  </conditionalFormatting>
  <conditionalFormatting sqref="E31">
    <cfRule type="expression" dxfId="1276" priority="37">
      <formula>AND(COUNT(E31:E34)&lt;2,IF(ISNUMBER(C31),C34&gt;C31))</formula>
    </cfRule>
  </conditionalFormatting>
  <conditionalFormatting sqref="E32">
    <cfRule type="expression" dxfId="1275" priority="36">
      <formula>AND(COUNT(E31:E34)&lt;2,IF(ISNUMBER(C32),C33&gt;C32))</formula>
    </cfRule>
  </conditionalFormatting>
  <conditionalFormatting sqref="E33">
    <cfRule type="expression" dxfId="1274" priority="35">
      <formula>AND(COUNT(E31:E34)&lt;2,IF(ISNUMBER(C33),C32&gt;C33))</formula>
    </cfRule>
  </conditionalFormatting>
  <conditionalFormatting sqref="E31:E34">
    <cfRule type="aboveAverage" dxfId="1273" priority="34"/>
  </conditionalFormatting>
  <conditionalFormatting sqref="F31">
    <cfRule type="expression" dxfId="1272" priority="29">
      <formula>AND(COUNT(F31:F34)&lt;2,IF(COUNT(E31:E34)=2,IF(AND(ISNUMBER(E31),COUNTIF(E31:E34,E31)=1,E31=MAX(E31:E34)),TRUE,FALSE)))</formula>
    </cfRule>
    <cfRule type="expression" dxfId="1271" priority="33">
      <formula>AND(COUNT(F31:F34)&lt;2,IF(COUNT(D31:D34)=2,IF(AND(ISNUMBER(D31),COUNTIF(D31:D34,D31)=1,D31=MIN(D31:D34)),TRUE,FALSE)))</formula>
    </cfRule>
  </conditionalFormatting>
  <conditionalFormatting sqref="F32">
    <cfRule type="expression" dxfId="1270" priority="28">
      <formula>AND(COUNT(F31:F34)&lt;2,IF(COUNT(E31:E34)=2,IF(AND(ISNUMBER(E32),COUNTIF(E31:E34,E32)=1,E32=MAX(E31:E34)),TRUE,FALSE)))</formula>
    </cfRule>
    <cfRule type="expression" dxfId="1269" priority="32">
      <formula>AND(COUNT(F31:F34)&lt;2,IF(COUNT(D31:D34)=2,IF(AND(ISNUMBER(D32),COUNTIF(D31:D34,D32)=1,D32=MIN(D31:D34)),TRUE,FALSE)))</formula>
    </cfRule>
  </conditionalFormatting>
  <conditionalFormatting sqref="F33">
    <cfRule type="expression" dxfId="1268" priority="27">
      <formula>AND(COUNT(F31:F34)&lt;2,IF(COUNT(E31:E34)=2,IF(AND(ISNUMBER(E33),COUNTIF(E31:E34,E33)=1,E33=MAX(E31:E34)),TRUE,FALSE)))</formula>
    </cfRule>
    <cfRule type="expression" dxfId="1267" priority="31">
      <formula>AND(COUNT(F31:F34)&lt;2,IF(COUNT(D31:D34)=2,IF(AND(ISNUMBER(D33),COUNTIF(D31:D34,D33)=1,D33=MIN(D31:D34)),TRUE,FALSE)))</formula>
    </cfRule>
  </conditionalFormatting>
  <conditionalFormatting sqref="F34">
    <cfRule type="expression" dxfId="1266" priority="26">
      <formula>AND(COUNT(F31:F34)&lt;2,IF(COUNT(E31:E34)=2,IF(AND(ISNUMBER(E34),COUNTIF(E31:E34,E34)=1,E34=MAX(E31:E34)),TRUE,FALSE)))</formula>
    </cfRule>
    <cfRule type="expression" dxfId="1265" priority="30">
      <formula>AND(COUNT(F31:F34)&lt;2,IF(COUNT(D31:D34)=2,IF(AND(ISNUMBER(D34),COUNTIF(D31:D34,D34)=1,D34=MIN(D31:D34)),TRUE,FALSE)))</formula>
    </cfRule>
  </conditionalFormatting>
  <conditionalFormatting sqref="F31:F34">
    <cfRule type="aboveAverage" dxfId="1264" priority="25"/>
  </conditionalFormatting>
  <conditionalFormatting sqref="D31">
    <cfRule type="expression" dxfId="1263" priority="24">
      <formula>AND(COUNT(D31:D34)&lt;2,IF(ISNUMBER(C34),C31&gt;C34))</formula>
    </cfRule>
  </conditionalFormatting>
  <conditionalFormatting sqref="D32">
    <cfRule type="expression" dxfId="1262" priority="23">
      <formula>AND(COUNT(D31:D34)&lt;2,IF(ISNUMBER(C33),C32&gt;C33))</formula>
    </cfRule>
  </conditionalFormatting>
  <conditionalFormatting sqref="D33">
    <cfRule type="expression" dxfId="1261" priority="22">
      <formula>AND(COUNT(D31:D34)&lt;2,IF(ISNUMBER(C32),C33&gt;C32))</formula>
    </cfRule>
  </conditionalFormatting>
  <conditionalFormatting sqref="D34">
    <cfRule type="expression" dxfId="1260" priority="21">
      <formula>AND(COUNT(D31:D34)&lt;2,IF(ISNUMBER(C31),C34&gt;C31))</formula>
    </cfRule>
  </conditionalFormatting>
  <conditionalFormatting sqref="D31:D34">
    <cfRule type="aboveAverage" dxfId="1259" priority="20"/>
  </conditionalFormatting>
  <conditionalFormatting sqref="E40">
    <cfRule type="expression" dxfId="1258" priority="19">
      <formula>AND(COUNT(E37:E40)&lt;2,IF(ISNUMBER(C40),C37&gt;C40))</formula>
    </cfRule>
  </conditionalFormatting>
  <conditionalFormatting sqref="E37">
    <cfRule type="expression" dxfId="1257" priority="18">
      <formula>AND(COUNT(E37:E40)&lt;2,IF(ISNUMBER(C37),C40&gt;C37))</formula>
    </cfRule>
  </conditionalFormatting>
  <conditionalFormatting sqref="E38">
    <cfRule type="expression" dxfId="1256" priority="17">
      <formula>AND(COUNT(E37:E40)&lt;2,IF(ISNUMBER(C38),C39&gt;C38))</formula>
    </cfRule>
  </conditionalFormatting>
  <conditionalFormatting sqref="E39">
    <cfRule type="expression" dxfId="1255" priority="16">
      <formula>AND(COUNT(E37:E40)&lt;2,IF(ISNUMBER(C39),C38&gt;C39))</formula>
    </cfRule>
  </conditionalFormatting>
  <conditionalFormatting sqref="E37:E40">
    <cfRule type="aboveAverage" dxfId="1254" priority="15"/>
  </conditionalFormatting>
  <conditionalFormatting sqref="F37">
    <cfRule type="expression" dxfId="1253" priority="10">
      <formula>AND(COUNT(F37:F40)&lt;2,IF(COUNT(E37:E40)=2,IF(AND(ISNUMBER(E37),COUNTIF(E37:E40,E37)=1,E37=MAX(E37:E40)),TRUE,FALSE)))</formula>
    </cfRule>
    <cfRule type="expression" dxfId="1252" priority="14">
      <formula>AND(COUNT(F37:F40)&lt;2,IF(COUNT(D37:D40)=2,IF(AND(ISNUMBER(D37),COUNTIF(D37:D40,D37)=1,D37=MIN(D37:D40)),TRUE,FALSE)))</formula>
    </cfRule>
  </conditionalFormatting>
  <conditionalFormatting sqref="F38">
    <cfRule type="expression" dxfId="1251" priority="9">
      <formula>AND(COUNT(F37:F40)&lt;2,IF(COUNT(E37:E40)=2,IF(AND(ISNUMBER(E38),COUNTIF(E37:E40,E38)=1,E38=MAX(E37:E40)),TRUE,FALSE)))</formula>
    </cfRule>
    <cfRule type="expression" dxfId="1250" priority="13">
      <formula>AND(COUNT(F37:F40)&lt;2,IF(COUNT(D37:D40)=2,IF(AND(ISNUMBER(D38),COUNTIF(D37:D40,D38)=1,D38=MIN(D37:D40)),TRUE,FALSE)))</formula>
    </cfRule>
  </conditionalFormatting>
  <conditionalFormatting sqref="F39">
    <cfRule type="expression" dxfId="1249" priority="8">
      <formula>AND(COUNT(F37:F40)&lt;2,IF(COUNT(E37:E40)=2,IF(AND(ISNUMBER(E39),COUNTIF(E37:E40,E39)=1,E39=MAX(E37:E40)),TRUE,FALSE)))</formula>
    </cfRule>
    <cfRule type="expression" dxfId="1248" priority="12">
      <formula>AND(COUNT(F37:F40)&lt;2,IF(COUNT(D37:D40)=2,IF(AND(ISNUMBER(D39),COUNTIF(D37:D40,D39)=1,D39=MIN(D37:D40)),TRUE,FALSE)))</formula>
    </cfRule>
  </conditionalFormatting>
  <conditionalFormatting sqref="F40">
    <cfRule type="expression" dxfId="1247" priority="7">
      <formula>AND(COUNT(F37:F40)&lt;2,IF(COUNT(E37:E40)=2,IF(AND(ISNUMBER(E40),COUNTIF(E37:E40,E40)=1,E40=MAX(E37:E40)),TRUE,FALSE)))</formula>
    </cfRule>
    <cfRule type="expression" dxfId="1246" priority="11">
      <formula>AND(COUNT(F37:F40)&lt;2,IF(COUNT(D37:D40)=2,IF(AND(ISNUMBER(D40),COUNTIF(D37:D40,D40)=1,D40=MIN(D37:D40)),TRUE,FALSE)))</formula>
    </cfRule>
  </conditionalFormatting>
  <conditionalFormatting sqref="F37:F40">
    <cfRule type="aboveAverage" dxfId="1245" priority="6"/>
  </conditionalFormatting>
  <conditionalFormatting sqref="D37">
    <cfRule type="expression" dxfId="1244" priority="5">
      <formula>AND(COUNT(D37:D40)&lt;2,IF(ISNUMBER(C40),C37&gt;C40))</formula>
    </cfRule>
  </conditionalFormatting>
  <conditionalFormatting sqref="D38">
    <cfRule type="expression" dxfId="1243" priority="4">
      <formula>AND(COUNT(D37:D40)&lt;2,IF(ISNUMBER(C39),C38&gt;C39))</formula>
    </cfRule>
  </conditionalFormatting>
  <conditionalFormatting sqref="D39">
    <cfRule type="expression" dxfId="1242" priority="3">
      <formula>AND(COUNT(D37:D40)&lt;2,IF(ISNUMBER(C38),C39&gt;C38))</formula>
    </cfRule>
  </conditionalFormatting>
  <conditionalFormatting sqref="D40">
    <cfRule type="expression" dxfId="1241" priority="2">
      <formula>AND(COUNT(D37:D40)&lt;2,IF(ISNUMBER(C37),C40&gt;C37))</formula>
    </cfRule>
  </conditionalFormatting>
  <conditionalFormatting sqref="D37:D40">
    <cfRule type="aboveAverage" dxfId="1240"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40" max="16383" man="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8"/>
  <sheetViews>
    <sheetView showGridLines="0" showRowColHeaders="0" zoomScaleNormal="100" workbookViewId="0">
      <pane ySplit="2" topLeftCell="A3" activePane="bottomLeft" state="frozen"/>
      <selection activeCell="G1" sqref="G1"/>
      <selection pane="bottomLeft" activeCell="I1" sqref="I1"/>
    </sheetView>
  </sheetViews>
  <sheetFormatPr defaultRowHeight="12.75" x14ac:dyDescent="0.2"/>
  <cols>
    <col min="1" max="1" width="5.5703125" style="79" customWidth="1"/>
    <col min="2" max="2" width="30.710937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2" width="9.140625" style="79" customWidth="1"/>
    <col min="13" max="13" width="9.140625" style="79" hidden="1" customWidth="1"/>
    <col min="14" max="14" width="15.5703125" style="79" hidden="1" customWidth="1"/>
    <col min="15" max="15" width="6" style="79" hidden="1" customWidth="1"/>
    <col min="16" max="16" width="18.7109375" style="79" hidden="1" customWidth="1"/>
    <col min="17" max="17" width="6" style="79" hidden="1" customWidth="1"/>
    <col min="18" max="18" width="17.28515625" style="79" hidden="1" customWidth="1"/>
    <col min="19" max="19" width="6" style="79" hidden="1" customWidth="1"/>
    <col min="20" max="20" width="13.85546875" style="79" hidden="1" customWidth="1"/>
    <col min="21" max="21" width="6" style="79" hidden="1" customWidth="1"/>
    <col min="22" max="16384" width="9.140625" style="79"/>
  </cols>
  <sheetData>
    <row r="1" spans="1:21" x14ac:dyDescent="0.2">
      <c r="A1" s="72" t="str">
        <f>UPPER((Kalend!E16)&amp;" - "&amp;(Kalend!C16)&amp;" - "&amp;(Kalend!D16))</f>
        <v>5 - EESTI SISE-MV - DUO</v>
      </c>
      <c r="E1" s="41" t="str">
        <f>HYPERLINK("#'Kalend'!I1","Kalender")</f>
        <v>Kalender</v>
      </c>
      <c r="G1" s="41" t="str">
        <f>HYPERLINK("#Üldreiting!W1","Reiting")</f>
        <v>Reiting</v>
      </c>
      <c r="M1" s="429" t="s">
        <v>669</v>
      </c>
      <c r="N1" s="421"/>
      <c r="O1" s="376"/>
      <c r="P1" s="421"/>
      <c r="Q1" s="376"/>
      <c r="R1" s="376"/>
      <c r="S1" s="376"/>
      <c r="T1" s="376"/>
      <c r="U1" s="376"/>
    </row>
    <row r="2" spans="1:21" x14ac:dyDescent="0.2">
      <c r="A2" s="79" t="str">
        <f>"Toimumisaeg: "&amp;(Kalend!A16)&amp;" kell "&amp;(Kalend!B16)</f>
        <v>Toimumisaeg: L, 06.01.2018 kell 11:00</v>
      </c>
      <c r="N2" s="422"/>
      <c r="P2" s="422"/>
    </row>
    <row r="3" spans="1:21" x14ac:dyDescent="0.2">
      <c r="A3" s="79" t="str">
        <f>"Toimumiskoht: "&amp;(Kalend!F16)</f>
        <v>Toimumiskoht: K-Järve petangihall</v>
      </c>
      <c r="N3" s="437" t="s">
        <v>671</v>
      </c>
      <c r="P3" s="422"/>
      <c r="R3" s="377"/>
    </row>
    <row r="4" spans="1:21" x14ac:dyDescent="0.2">
      <c r="A4" s="79" t="str">
        <f>"Korraldaja: "&amp;(Kalend!G16)</f>
        <v>Korraldaja: EPKL, K-Järve SHK</v>
      </c>
      <c r="M4" s="435" t="s">
        <v>164</v>
      </c>
      <c r="N4" s="423"/>
      <c r="O4" s="417"/>
      <c r="P4" s="436"/>
      <c r="Q4" s="417"/>
      <c r="R4" s="417"/>
      <c r="S4" s="417"/>
      <c r="T4" s="417"/>
      <c r="U4" s="417"/>
    </row>
    <row r="5" spans="1:21" x14ac:dyDescent="0.2">
      <c r="I5" s="449"/>
      <c r="J5" s="449"/>
      <c r="K5" s="449"/>
      <c r="M5" s="435" t="s">
        <v>670</v>
      </c>
      <c r="N5" s="419" t="s">
        <v>600</v>
      </c>
      <c r="O5" s="419"/>
      <c r="P5" s="431" t="s">
        <v>601</v>
      </c>
      <c r="Q5" s="419"/>
      <c r="R5" s="419" t="s">
        <v>602</v>
      </c>
      <c r="S5" s="419"/>
      <c r="T5" s="419" t="s">
        <v>603</v>
      </c>
      <c r="U5" s="420"/>
    </row>
    <row r="6" spans="1:21" s="30" customFormat="1" x14ac:dyDescent="0.2">
      <c r="A6" s="296" t="s">
        <v>291</v>
      </c>
      <c r="B6" s="351"/>
      <c r="C6" s="31" t="s">
        <v>232</v>
      </c>
      <c r="D6" s="296" t="s">
        <v>61</v>
      </c>
      <c r="E6" s="296" t="s">
        <v>62</v>
      </c>
      <c r="F6" s="31" t="s">
        <v>63</v>
      </c>
      <c r="G6" s="31" t="s">
        <v>19</v>
      </c>
      <c r="H6" s="79"/>
      <c r="I6" s="449"/>
      <c r="J6" s="449"/>
      <c r="K6" s="449"/>
      <c r="L6" s="79"/>
      <c r="M6" s="435" t="s">
        <v>668</v>
      </c>
      <c r="N6" s="423"/>
      <c r="O6" s="417"/>
      <c r="P6" s="423"/>
      <c r="Q6" s="417"/>
      <c r="R6" s="418"/>
      <c r="S6" s="418"/>
      <c r="T6" s="418"/>
      <c r="U6" s="418"/>
    </row>
    <row r="7" spans="1:21" s="30" customFormat="1" x14ac:dyDescent="0.2">
      <c r="A7" s="296">
        <v>1</v>
      </c>
      <c r="B7" s="186" t="s">
        <v>690</v>
      </c>
      <c r="C7" s="124">
        <f>IF(B10="-",13,"")</f>
        <v>13</v>
      </c>
      <c r="D7" s="124">
        <v>13</v>
      </c>
      <c r="E7" s="32"/>
      <c r="F7" s="314"/>
      <c r="G7" s="32" t="str">
        <f>IF(AND(COUNT(F7:F10)=2,F7=MAX(F7:F10),COUNT(C7:F7)=3),A6&amp;"2",IF(AND(COUNT(E7:E10)=2,ISNUMBER(E7),E7=MIN(E7:E10),D7="",F7=""),A6&amp;"4",IF(AND(COUNT(D7:D10)=2,D7=MAX(D7:D10),E7="",F7=""),A6&amp;"1",IF(COUNT(F7:F10)=2,A6&amp;"3",""))))</f>
        <v>A1</v>
      </c>
      <c r="H7" s="79"/>
      <c r="I7" s="449"/>
      <c r="J7" s="449"/>
      <c r="K7" s="449"/>
      <c r="L7" s="79"/>
      <c r="M7" s="420">
        <f ca="1">SUM(O7:U7)</f>
        <v>93</v>
      </c>
      <c r="N7" s="415" t="str">
        <f>IFERROR(LEFT($B7,(FIND(",",$B7,1)-1)),"")</f>
        <v>Katri Aavekukk</v>
      </c>
      <c r="O7" s="414">
        <f ca="1">IFERROR(INDEX(Üldreiting!$K:$K,MATCH(N7,Üldreiting!$I:$I,0)),"")</f>
        <v>61</v>
      </c>
      <c r="P7" s="415" t="str">
        <f>IFERROR(MID($B7,FIND(", ",$B7)+2,256),"")</f>
        <v>Merike Aava</v>
      </c>
      <c r="Q7" s="414">
        <f ca="1">IFERROR(INDEX(Üldreiting!$K:$K,MATCH(P7,Üldreiting!$I:$I,0)),"")</f>
        <v>32</v>
      </c>
      <c r="R7" s="413" t="str">
        <f>IFERROR(MID($B7,FIND("^",SUBSTITUTE($B7,", ","^",1))+2,FIND("^",SUBSTITUTE($B7,", ","^",2))-FIND("^",SUBSTITUTE($B7,", ","^",1))-2),"")</f>
        <v/>
      </c>
      <c r="S7" s="414" t="str">
        <f>IFERROR(INDEX(Üldreiting!$K:$K,MATCH(R7,Üldreiting!$I:$I,0)),"")</f>
        <v/>
      </c>
      <c r="T7" s="413" t="str">
        <f>IFERROR(MID($B7,FIND(", ",$B7,FIND(", ",$B7,FIND(", ",$B7))+1)+2,30000),"")</f>
        <v/>
      </c>
      <c r="U7" s="414" t="str">
        <f>IFERROR(INDEX(Üldreiting!$K:$K,MATCH(T7,Üldreiting!$I:$I,0)),"")</f>
        <v/>
      </c>
    </row>
    <row r="8" spans="1:21" s="30" customFormat="1" x14ac:dyDescent="0.2">
      <c r="A8" s="296">
        <v>2</v>
      </c>
      <c r="B8" s="122" t="s">
        <v>281</v>
      </c>
      <c r="C8" s="336">
        <v>3</v>
      </c>
      <c r="D8" s="124"/>
      <c r="E8" s="32">
        <f>IF(AND(B10="-",ISNUMBER(C8),C8&lt;C9),13,"")</f>
        <v>13</v>
      </c>
      <c r="F8" s="314">
        <v>13</v>
      </c>
      <c r="G8" s="32" t="str">
        <f>IF(AND(COUNT(F7:F10)=2,F8=MAX(F7:F10),COUNT(C8:F8)=3),A6&amp;"2",IF(AND(COUNT(E7:E10)=2,ISNUMBER(E8),E8=MIN(E7:E10),D8="",F8=""),A6&amp;"4",IF(AND(COUNT(D7:D10)=2,D8=MAX(D7:D10),E8="",F8=""),A6&amp;"1",IF(COUNT(F7:F10)=2,A6&amp;"3",""))))</f>
        <v>A2</v>
      </c>
      <c r="H8" s="79"/>
      <c r="I8" s="449"/>
      <c r="J8" s="449"/>
      <c r="K8" s="449"/>
      <c r="L8" s="79"/>
      <c r="M8" s="420">
        <f ca="1">SUM(O8:U8)</f>
        <v>98</v>
      </c>
      <c r="N8" s="415" t="str">
        <f t="shared" ref="N8:N40" si="0">IFERROR(LEFT($B8,(FIND(",",$B8,1)-1)),"")</f>
        <v>Janek Kiisk</v>
      </c>
      <c r="O8" s="414">
        <f ca="1">IFERROR(INDEX(Üldreiting!$K:$K,MATCH(N8,Üldreiting!$I:$I,0)),"")</f>
        <v>49</v>
      </c>
      <c r="P8" s="415" t="str">
        <f t="shared" ref="P8:P40" si="1">IFERROR(MID($B8,FIND(", ",$B8)+2,256),"")</f>
        <v>Marek Lehis</v>
      </c>
      <c r="Q8" s="414">
        <f ca="1">IFERROR(INDEX(Üldreiting!$K:$K,MATCH(P8,Üldreiting!$I:$I,0)),"")</f>
        <v>49</v>
      </c>
      <c r="R8" s="413" t="str">
        <f t="shared" ref="R8:R40" si="2">IFERROR(MID($B8,FIND("^",SUBSTITUTE($B8,", ","^",1))+2,FIND("^",SUBSTITUTE($B8,", ","^",2))-FIND("^",SUBSTITUTE($B8,", ","^",1))-2),"")</f>
        <v/>
      </c>
      <c r="S8" s="414" t="str">
        <f>IFERROR(INDEX(Üldreiting!$K:$K,MATCH(R8,Üldreiting!$I:$I,0)),"")</f>
        <v/>
      </c>
      <c r="T8" s="413" t="str">
        <f t="shared" ref="T8:T40" si="3">IFERROR(MID($B8,FIND(", ",$B8,FIND(", ",$B8,FIND(", ",$B8))+1)+2,30000),"")</f>
        <v/>
      </c>
      <c r="U8" s="414" t="str">
        <f>IFERROR(INDEX(Üldreiting!$K:$K,MATCH(T8,Üldreiting!$I:$I,0)),"")</f>
        <v/>
      </c>
    </row>
    <row r="9" spans="1:21" s="30" customFormat="1" x14ac:dyDescent="0.2">
      <c r="A9" s="296">
        <v>3</v>
      </c>
      <c r="B9" s="122" t="s">
        <v>693</v>
      </c>
      <c r="C9" s="336">
        <v>13</v>
      </c>
      <c r="D9" s="32">
        <v>7</v>
      </c>
      <c r="E9" s="32" t="str">
        <f>IF(AND(B10="-",ISNUMBER(C9),C9&lt;C8),13,"")</f>
        <v/>
      </c>
      <c r="F9" s="314">
        <v>1</v>
      </c>
      <c r="G9" s="32" t="str">
        <f>IF(AND(COUNT(F7:F10)=2,F9=MAX(F7:F10),COUNT(C9:F9)=3),A6&amp;"2",IF(AND(COUNT(E7:E10)=2,ISNUMBER(E9),E9=MIN(E7:E10),D9="",F9=""),A6&amp;"4",IF(AND(COUNT(D7:D10)=2,D9=MAX(D7:D10),E9="",F9=""),A6&amp;"1",IF(COUNT(F7:F10)=2,A6&amp;"3",""))))</f>
        <v>A3</v>
      </c>
      <c r="H9" s="79"/>
      <c r="I9" s="449"/>
      <c r="J9" s="449"/>
      <c r="K9" s="449"/>
      <c r="L9" s="79"/>
      <c r="M9" s="420">
        <f ca="1">SUM(O9:U9)</f>
        <v>20</v>
      </c>
      <c r="N9" s="415" t="str">
        <f t="shared" si="0"/>
        <v>Alar Sinimäe</v>
      </c>
      <c r="O9" s="414">
        <f ca="1">IFERROR(INDEX(Üldreiting!$K:$K,MATCH(N9,Üldreiting!$I:$I,0)),"")</f>
        <v>17</v>
      </c>
      <c r="P9" s="415" t="str">
        <f t="shared" si="1"/>
        <v>Ruudi Väärtnõu</v>
      </c>
      <c r="Q9" s="414">
        <f ca="1">IFERROR(INDEX(Üldreiting!$K:$K,MATCH(P9,Üldreiting!$I:$I,0)),"")</f>
        <v>3</v>
      </c>
      <c r="R9" s="413" t="str">
        <f t="shared" si="2"/>
        <v/>
      </c>
      <c r="S9" s="414" t="str">
        <f>IFERROR(INDEX(Üldreiting!$K:$K,MATCH(R9,Üldreiting!$I:$I,0)),"")</f>
        <v/>
      </c>
      <c r="T9" s="413" t="str">
        <f t="shared" si="3"/>
        <v/>
      </c>
      <c r="U9" s="414" t="str">
        <f>IFERROR(INDEX(Üldreiting!$K:$K,MATCH(T9,Üldreiting!$I:$I,0)),"")</f>
        <v/>
      </c>
    </row>
    <row r="10" spans="1:21" s="30" customFormat="1" x14ac:dyDescent="0.2">
      <c r="A10" s="296">
        <v>4</v>
      </c>
      <c r="B10" s="123" t="s">
        <v>81</v>
      </c>
      <c r="C10" s="124">
        <f>IF(B10="-",0,"")</f>
        <v>0</v>
      </c>
      <c r="D10" s="124"/>
      <c r="E10" s="32">
        <f>IF(B10="-",0,"")</f>
        <v>0</v>
      </c>
      <c r="F10" s="314"/>
      <c r="G10" s="32" t="str">
        <f>IF(AND(COUNT(F7:F10)=2,F10=MAX(F7:F10),COUNT(C10:F10)=3),A6&amp;"2",IF(AND(COUNT(E7:E10)=2,ISNUMBER(E10),E10=MIN(E7:E10),D10="",F10=""),A6&amp;"4",IF(AND(COUNT(D7:D10)=2,D10=MAX(D7:D10),E10="",F10=""),A6&amp;"1",IF(COUNT(F7:F10)=2,A6&amp;"3",""))))</f>
        <v>A4</v>
      </c>
      <c r="H10" s="79"/>
      <c r="I10" s="449"/>
      <c r="J10" s="449"/>
      <c r="K10" s="449"/>
      <c r="L10" s="79"/>
      <c r="M10" s="420">
        <f>SUM(O10:U10)</f>
        <v>0</v>
      </c>
      <c r="N10" s="415" t="str">
        <f t="shared" si="0"/>
        <v/>
      </c>
      <c r="O10" s="414" t="str">
        <f>IFERROR(INDEX(Üldreiting!$K:$K,MATCH(N10,Üldreiting!$I:$I,0)),"")</f>
        <v/>
      </c>
      <c r="P10" s="415" t="str">
        <f t="shared" si="1"/>
        <v/>
      </c>
      <c r="Q10" s="414" t="str">
        <f>IFERROR(INDEX(Üldreiting!$K:$K,MATCH(P10,Üldreiting!$I:$I,0)),"")</f>
        <v/>
      </c>
      <c r="R10" s="413" t="str">
        <f t="shared" si="2"/>
        <v/>
      </c>
      <c r="S10" s="414" t="str">
        <f>IFERROR(INDEX(Üldreiting!$K:$K,MATCH(R10,Üldreiting!$I:$I,0)),"")</f>
        <v/>
      </c>
      <c r="T10" s="413" t="str">
        <f t="shared" si="3"/>
        <v/>
      </c>
      <c r="U10" s="414" t="str">
        <f>IFERROR(INDEX(Üldreiting!$K:$K,MATCH(T10,Üldreiting!$I:$I,0)),"")</f>
        <v/>
      </c>
    </row>
    <row r="11" spans="1:21" x14ac:dyDescent="0.2">
      <c r="B11" s="353" t="s">
        <v>81</v>
      </c>
      <c r="G11" s="353" t="s">
        <v>81</v>
      </c>
      <c r="I11" s="449"/>
      <c r="J11" s="449"/>
      <c r="K11" s="449"/>
      <c r="M11" s="420"/>
      <c r="N11" s="425"/>
      <c r="O11" s="424"/>
      <c r="P11" s="425"/>
      <c r="Q11" s="426"/>
      <c r="R11" s="417"/>
      <c r="S11" s="417"/>
      <c r="T11" s="417"/>
      <c r="U11" s="417"/>
    </row>
    <row r="12" spans="1:21" s="30" customFormat="1" x14ac:dyDescent="0.2">
      <c r="A12" s="296" t="s">
        <v>275</v>
      </c>
      <c r="B12" s="351"/>
      <c r="C12" s="31" t="s">
        <v>232</v>
      </c>
      <c r="D12" s="296" t="s">
        <v>61</v>
      </c>
      <c r="E12" s="296" t="s">
        <v>62</v>
      </c>
      <c r="F12" s="31" t="s">
        <v>63</v>
      </c>
      <c r="G12" s="31" t="s">
        <v>19</v>
      </c>
      <c r="H12" s="79"/>
      <c r="I12" s="449"/>
      <c r="J12" s="449"/>
      <c r="K12" s="449"/>
      <c r="L12" s="79"/>
      <c r="M12" s="420"/>
      <c r="N12" s="425"/>
      <c r="O12" s="424"/>
      <c r="P12" s="425"/>
      <c r="Q12" s="426"/>
      <c r="R12" s="417"/>
      <c r="S12" s="417"/>
      <c r="T12" s="417"/>
      <c r="U12" s="417"/>
    </row>
    <row r="13" spans="1:21" s="30" customFormat="1" x14ac:dyDescent="0.2">
      <c r="A13" s="296">
        <v>1</v>
      </c>
      <c r="B13" s="186" t="s">
        <v>174</v>
      </c>
      <c r="C13" s="124">
        <f>IF(B16="-",13,"")</f>
        <v>13</v>
      </c>
      <c r="D13" s="124">
        <v>13</v>
      </c>
      <c r="E13" s="32"/>
      <c r="F13" s="314"/>
      <c r="G13" s="32" t="str">
        <f>IF(AND(COUNT(F13:F16)=2,F13=MAX(F13:F16),COUNT(C13:F13)=3),A12&amp;"2",IF(AND(COUNT(E13:E16)=2,ISNUMBER(E13),E13=MIN(E13:E16),D13="",F13=""),A12&amp;"4",IF(AND(COUNT(D13:D16)=2,D13=MAX(D13:D16),E13="",F13=""),A12&amp;"1",IF(COUNT(F13:F16)=2,A12&amp;"3",""))))</f>
        <v>B1</v>
      </c>
      <c r="H13" s="79"/>
      <c r="I13" s="449"/>
      <c r="J13" s="449"/>
      <c r="K13" s="449"/>
      <c r="L13" s="79"/>
      <c r="M13" s="420">
        <f ca="1">SUM(O13:U13)</f>
        <v>116</v>
      </c>
      <c r="N13" s="415" t="str">
        <f t="shared" si="0"/>
        <v>Aigi Orro</v>
      </c>
      <c r="O13" s="414">
        <f ca="1">IFERROR(INDEX(Üldreiting!$K:$K,MATCH(N13,Üldreiting!$I:$I,0)),"")</f>
        <v>58</v>
      </c>
      <c r="P13" s="415" t="str">
        <f t="shared" si="1"/>
        <v>Kalle Orro</v>
      </c>
      <c r="Q13" s="414">
        <f ca="1">IFERROR(INDEX(Üldreiting!$K:$K,MATCH(P13,Üldreiting!$I:$I,0)),"")</f>
        <v>58</v>
      </c>
      <c r="R13" s="413" t="str">
        <f t="shared" si="2"/>
        <v/>
      </c>
      <c r="S13" s="414" t="str">
        <f>IFERROR(INDEX(Üldreiting!$K:$K,MATCH(R13,Üldreiting!$I:$I,0)),"")</f>
        <v/>
      </c>
      <c r="T13" s="413" t="str">
        <f t="shared" si="3"/>
        <v/>
      </c>
      <c r="U13" s="414" t="str">
        <f>IFERROR(INDEX(Üldreiting!$K:$K,MATCH(T13,Üldreiting!$I:$I,0)),"")</f>
        <v/>
      </c>
    </row>
    <row r="14" spans="1:21" s="30" customFormat="1" x14ac:dyDescent="0.2">
      <c r="A14" s="296">
        <v>2</v>
      </c>
      <c r="B14" s="122" t="s">
        <v>284</v>
      </c>
      <c r="C14" s="336">
        <v>10</v>
      </c>
      <c r="D14" s="124"/>
      <c r="E14" s="32">
        <f>IF(AND(B16="-",ISNUMBER(C14),C14&lt;C15),13,"")</f>
        <v>13</v>
      </c>
      <c r="F14" s="314">
        <v>6</v>
      </c>
      <c r="G14" s="32" t="str">
        <f>IF(AND(COUNT(F13:F16)=2,F14=MAX(F13:F16),COUNT(C14:F14)=3),A12&amp;"2",IF(AND(COUNT(E13:E16)=2,ISNUMBER(E14),E14=MIN(E13:E16),D14="",F14=""),A12&amp;"4",IF(AND(COUNT(D13:D16)=2,D14=MAX(D13:D16),E14="",F14=""),A12&amp;"1",IF(COUNT(F13:F16)=2,A12&amp;"3",""))))</f>
        <v>B3</v>
      </c>
      <c r="H14" s="79"/>
      <c r="I14" s="449"/>
      <c r="J14" s="449"/>
      <c r="K14" s="449"/>
      <c r="L14" s="79"/>
      <c r="M14" s="420">
        <f ca="1">SUM(O14:U14)</f>
        <v>74</v>
      </c>
      <c r="N14" s="415" t="str">
        <f t="shared" si="0"/>
        <v>Mait Metsla</v>
      </c>
      <c r="O14" s="414">
        <f ca="1">IFERROR(INDEX(Üldreiting!$K:$K,MATCH(N14,Üldreiting!$I:$I,0)),"")</f>
        <v>37</v>
      </c>
      <c r="P14" s="415" t="str">
        <f t="shared" si="1"/>
        <v>Oskar Sepp</v>
      </c>
      <c r="Q14" s="414">
        <f ca="1">IFERROR(INDEX(Üldreiting!$K:$K,MATCH(P14,Üldreiting!$I:$I,0)),"")</f>
        <v>37</v>
      </c>
      <c r="R14" s="413" t="str">
        <f t="shared" si="2"/>
        <v/>
      </c>
      <c r="S14" s="414" t="str">
        <f>IFERROR(INDEX(Üldreiting!$K:$K,MATCH(R14,Üldreiting!$I:$I,0)),"")</f>
        <v/>
      </c>
      <c r="T14" s="413" t="str">
        <f t="shared" si="3"/>
        <v/>
      </c>
      <c r="U14" s="414" t="str">
        <f>IFERROR(INDEX(Üldreiting!$K:$K,MATCH(T14,Üldreiting!$I:$I,0)),"")</f>
        <v/>
      </c>
    </row>
    <row r="15" spans="1:21" s="30" customFormat="1" x14ac:dyDescent="0.2">
      <c r="A15" s="296">
        <v>3</v>
      </c>
      <c r="B15" s="122" t="s">
        <v>587</v>
      </c>
      <c r="C15" s="336">
        <v>13</v>
      </c>
      <c r="D15" s="32">
        <v>9</v>
      </c>
      <c r="E15" s="32" t="str">
        <f>IF(AND(B16="-",ISNUMBER(C15),C15&lt;C14),13,"")</f>
        <v/>
      </c>
      <c r="F15" s="314">
        <v>13</v>
      </c>
      <c r="G15" s="32" t="str">
        <f>IF(AND(COUNT(F13:F16)=2,F15=MAX(F13:F16),COUNT(C15:F15)=3),A12&amp;"2",IF(AND(COUNT(E13:E16)=2,ISNUMBER(E15),E15=MIN(E13:E16),D15="",F15=""),A12&amp;"4",IF(AND(COUNT(D13:D16)=2,D15=MAX(D13:D16),E15="",F15=""),A12&amp;"1",IF(COUNT(F13:F16)=2,A12&amp;"3",""))))</f>
        <v>B2</v>
      </c>
      <c r="H15" s="79"/>
      <c r="I15" s="449"/>
      <c r="J15" s="449"/>
      <c r="K15" s="449"/>
      <c r="L15" s="79"/>
      <c r="M15" s="420">
        <f ca="1">SUM(O15:U15)</f>
        <v>10</v>
      </c>
      <c r="N15" s="415" t="str">
        <f t="shared" si="0"/>
        <v>Ljudmila Varendi</v>
      </c>
      <c r="O15" s="414">
        <f ca="1">IFERROR(INDEX(Üldreiting!$K:$K,MATCH(N15,Üldreiting!$I:$I,0)),"")</f>
        <v>5</v>
      </c>
      <c r="P15" s="415" t="str">
        <f t="shared" si="1"/>
        <v>Viktor Švarõgin</v>
      </c>
      <c r="Q15" s="414">
        <f ca="1">IFERROR(INDEX(Üldreiting!$K:$K,MATCH(P15,Üldreiting!$I:$I,0)),"")</f>
        <v>5</v>
      </c>
      <c r="R15" s="413" t="str">
        <f t="shared" si="2"/>
        <v/>
      </c>
      <c r="S15" s="414" t="str">
        <f>IFERROR(INDEX(Üldreiting!$K:$K,MATCH(R15,Üldreiting!$I:$I,0)),"")</f>
        <v/>
      </c>
      <c r="T15" s="413" t="str">
        <f t="shared" si="3"/>
        <v/>
      </c>
      <c r="U15" s="414" t="str">
        <f>IFERROR(INDEX(Üldreiting!$K:$K,MATCH(T15,Üldreiting!$I:$I,0)),"")</f>
        <v/>
      </c>
    </row>
    <row r="16" spans="1:21" s="30" customFormat="1" x14ac:dyDescent="0.2">
      <c r="A16" s="296">
        <v>4</v>
      </c>
      <c r="B16" s="123" t="s">
        <v>81</v>
      </c>
      <c r="C16" s="124">
        <f>IF(B16="-",0,"")</f>
        <v>0</v>
      </c>
      <c r="D16" s="124"/>
      <c r="E16" s="32">
        <f>IF(B16="-",0,"")</f>
        <v>0</v>
      </c>
      <c r="F16" s="314"/>
      <c r="G16" s="32" t="str">
        <f>IF(AND(COUNT(F13:F16)=2,F16=MAX(F13:F16),COUNT(C16:F16)=3),A12&amp;"2",IF(AND(COUNT(E13:E16)=2,ISNUMBER(E16),E16=MIN(E13:E16),D16="",F16=""),A12&amp;"4",IF(AND(COUNT(D13:D16)=2,D16=MAX(D13:D16),E16="",F16=""),A12&amp;"1",IF(COUNT(F13:F16)=2,A12&amp;"3",""))))</f>
        <v>B4</v>
      </c>
      <c r="H16" s="79"/>
      <c r="I16" s="449"/>
      <c r="J16" s="449"/>
      <c r="K16" s="449"/>
      <c r="L16" s="79"/>
      <c r="M16" s="420">
        <f>SUM(O16:U16)</f>
        <v>0</v>
      </c>
      <c r="N16" s="415" t="str">
        <f t="shared" si="0"/>
        <v/>
      </c>
      <c r="O16" s="414" t="str">
        <f>IFERROR(INDEX(Üldreiting!$K:$K,MATCH(N16,Üldreiting!$I:$I,0)),"")</f>
        <v/>
      </c>
      <c r="P16" s="415" t="str">
        <f t="shared" si="1"/>
        <v/>
      </c>
      <c r="Q16" s="414" t="str">
        <f>IFERROR(INDEX(Üldreiting!$K:$K,MATCH(P16,Üldreiting!$I:$I,0)),"")</f>
        <v/>
      </c>
      <c r="R16" s="413" t="str">
        <f t="shared" si="2"/>
        <v/>
      </c>
      <c r="S16" s="414" t="str">
        <f>IFERROR(INDEX(Üldreiting!$K:$K,MATCH(R16,Üldreiting!$I:$I,0)),"")</f>
        <v/>
      </c>
      <c r="T16" s="413" t="str">
        <f t="shared" si="3"/>
        <v/>
      </c>
      <c r="U16" s="414" t="str">
        <f>IFERROR(INDEX(Üldreiting!$K:$K,MATCH(T16,Üldreiting!$I:$I,0)),"")</f>
        <v/>
      </c>
    </row>
    <row r="17" spans="1:21" x14ac:dyDescent="0.2">
      <c r="I17" s="449"/>
      <c r="J17" s="449"/>
      <c r="K17" s="449"/>
      <c r="M17" s="420"/>
      <c r="N17" s="425"/>
      <c r="O17" s="424"/>
      <c r="P17" s="425"/>
      <c r="Q17" s="426"/>
      <c r="R17" s="417"/>
      <c r="S17" s="417"/>
      <c r="T17" s="417"/>
      <c r="U17" s="417"/>
    </row>
    <row r="18" spans="1:21" s="30" customFormat="1" x14ac:dyDescent="0.2">
      <c r="A18" s="296" t="s">
        <v>292</v>
      </c>
      <c r="B18" s="351"/>
      <c r="C18" s="31" t="s">
        <v>232</v>
      </c>
      <c r="D18" s="296" t="s">
        <v>61</v>
      </c>
      <c r="E18" s="296" t="s">
        <v>62</v>
      </c>
      <c r="F18" s="31" t="s">
        <v>63</v>
      </c>
      <c r="G18" s="31" t="s">
        <v>19</v>
      </c>
      <c r="H18" s="79"/>
      <c r="I18" s="449"/>
      <c r="J18" s="449"/>
      <c r="K18" s="449"/>
      <c r="L18" s="79"/>
      <c r="M18" s="420"/>
      <c r="N18" s="425"/>
      <c r="O18" s="424"/>
      <c r="P18" s="425"/>
      <c r="Q18" s="426"/>
      <c r="R18" s="417"/>
      <c r="S18" s="417"/>
      <c r="T18" s="417"/>
      <c r="U18" s="417"/>
    </row>
    <row r="19" spans="1:21" s="30" customFormat="1" x14ac:dyDescent="0.2">
      <c r="A19" s="296">
        <v>1</v>
      </c>
      <c r="B19" s="186" t="s">
        <v>80</v>
      </c>
      <c r="C19" s="124">
        <f>IF(B22="-",13,"")</f>
        <v>13</v>
      </c>
      <c r="D19" s="124">
        <v>9</v>
      </c>
      <c r="E19" s="32"/>
      <c r="F19" s="314">
        <v>13</v>
      </c>
      <c r="G19" s="32" t="str">
        <f>IF(AND(COUNT(F19:F22)=2,F19=MAX(F19:F22),COUNT(C19:F19)=3),A18&amp;"2",IF(AND(COUNT(E19:E22)=2,ISNUMBER(E19),E19=MIN(E19:E22),D19="",F19=""),A18&amp;"4",IF(AND(COUNT(D19:D22)=2,D19=MAX(D19:D22),E19="",F19=""),A18&amp;"1",IF(COUNT(F19:F22)=2,A18&amp;"3",""))))</f>
        <v>C2</v>
      </c>
      <c r="H19" s="79"/>
      <c r="I19" s="449"/>
      <c r="J19" s="449"/>
      <c r="K19" s="449"/>
      <c r="L19" s="79"/>
      <c r="M19" s="420">
        <f ca="1">SUM(O19:U19)</f>
        <v>156</v>
      </c>
      <c r="N19" s="415" t="str">
        <f t="shared" si="0"/>
        <v>Ivar Viljaste</v>
      </c>
      <c r="O19" s="414">
        <f ca="1">IFERROR(INDEX(Üldreiting!$K:$K,MATCH(N19,Üldreiting!$I:$I,0)),"")</f>
        <v>97</v>
      </c>
      <c r="P19" s="415" t="str">
        <f t="shared" si="1"/>
        <v>Sirje Viljaste</v>
      </c>
      <c r="Q19" s="414">
        <f ca="1">IFERROR(INDEX(Üldreiting!$K:$K,MATCH(P19,Üldreiting!$I:$I,0)),"")</f>
        <v>59</v>
      </c>
      <c r="R19" s="413" t="str">
        <f t="shared" si="2"/>
        <v/>
      </c>
      <c r="S19" s="414" t="str">
        <f>IFERROR(INDEX(Üldreiting!$K:$K,MATCH(R19,Üldreiting!$I:$I,0)),"")</f>
        <v/>
      </c>
      <c r="T19" s="413" t="str">
        <f t="shared" si="3"/>
        <v/>
      </c>
      <c r="U19" s="414" t="str">
        <f>IFERROR(INDEX(Üldreiting!$K:$K,MATCH(T19,Üldreiting!$I:$I,0)),"")</f>
        <v/>
      </c>
    </row>
    <row r="20" spans="1:21" s="30" customFormat="1" x14ac:dyDescent="0.2">
      <c r="A20" s="296">
        <v>2</v>
      </c>
      <c r="B20" s="122" t="s">
        <v>286</v>
      </c>
      <c r="C20" s="336">
        <v>13</v>
      </c>
      <c r="D20" s="124">
        <v>12</v>
      </c>
      <c r="E20" s="32" t="str">
        <f>IF(AND(B22="-",ISNUMBER(C20),C20&lt;C21),13,"")</f>
        <v/>
      </c>
      <c r="F20" s="314"/>
      <c r="G20" s="32" t="str">
        <f>IF(AND(COUNT(F19:F22)=2,F20=MAX(F19:F22),COUNT(C20:F20)=3),A18&amp;"2",IF(AND(COUNT(E19:E22)=2,ISNUMBER(E20),E20=MIN(E19:E22),D20="",F20=""),A18&amp;"4",IF(AND(COUNT(D19:D22)=2,D20=MAX(D19:D22),E20="",F20=""),A18&amp;"1",IF(COUNT(F19:F22)=2,A18&amp;"3",""))))</f>
        <v>C1</v>
      </c>
      <c r="H20" s="79"/>
      <c r="I20" s="449"/>
      <c r="J20" s="449"/>
      <c r="K20" s="449"/>
      <c r="L20" s="79"/>
      <c r="M20" s="420">
        <f ca="1">SUM(O20:U20)</f>
        <v>172</v>
      </c>
      <c r="N20" s="415" t="str">
        <f t="shared" si="0"/>
        <v>Alari Keedus</v>
      </c>
      <c r="O20" s="414">
        <f ca="1">IFERROR(INDEX(Üldreiting!$K:$K,MATCH(N20,Üldreiting!$I:$I,0)),"")</f>
        <v>79.5</v>
      </c>
      <c r="P20" s="415" t="str">
        <f t="shared" si="1"/>
        <v>Ülo Piik</v>
      </c>
      <c r="Q20" s="414">
        <f ca="1">IFERROR(INDEX(Üldreiting!$K:$K,MATCH(P20,Üldreiting!$I:$I,0)),"")</f>
        <v>92.5</v>
      </c>
      <c r="R20" s="413" t="str">
        <f t="shared" si="2"/>
        <v/>
      </c>
      <c r="S20" s="414" t="str">
        <f>IFERROR(INDEX(Üldreiting!$K:$K,MATCH(R20,Üldreiting!$I:$I,0)),"")</f>
        <v/>
      </c>
      <c r="T20" s="413" t="str">
        <f t="shared" si="3"/>
        <v/>
      </c>
      <c r="U20" s="414" t="str">
        <f>IFERROR(INDEX(Üldreiting!$K:$K,MATCH(T20,Üldreiting!$I:$I,0)),"")</f>
        <v/>
      </c>
    </row>
    <row r="21" spans="1:21" s="30" customFormat="1" x14ac:dyDescent="0.2">
      <c r="A21" s="296">
        <v>3</v>
      </c>
      <c r="B21" s="122" t="s">
        <v>695</v>
      </c>
      <c r="C21" s="336">
        <v>4</v>
      </c>
      <c r="D21" s="32"/>
      <c r="E21" s="32">
        <f>IF(AND(B22="-",ISNUMBER(C21),C21&lt;C20),13,"")</f>
        <v>13</v>
      </c>
      <c r="F21" s="314">
        <v>2</v>
      </c>
      <c r="G21" s="32" t="str">
        <f>IF(AND(COUNT(F19:F22)=2,F21=MAX(F19:F22),COUNT(C21:F21)=3),A18&amp;"2",IF(AND(COUNT(E19:E22)=2,ISNUMBER(E21),E21=MIN(E19:E22),D21="",F21=""),A18&amp;"4",IF(AND(COUNT(D19:D22)=2,D21=MAX(D19:D22),E21="",F21=""),A18&amp;"1",IF(COUNT(F19:F22)=2,A18&amp;"3",""))))</f>
        <v>C3</v>
      </c>
      <c r="H21" s="79"/>
      <c r="I21" s="449"/>
      <c r="J21" s="449"/>
      <c r="K21" s="449"/>
      <c r="L21" s="79"/>
      <c r="M21" s="420">
        <f ca="1">SUM(O21:U21)</f>
        <v>23</v>
      </c>
      <c r="N21" s="415" t="str">
        <f t="shared" si="0"/>
        <v>Aigar Lusbo</v>
      </c>
      <c r="O21" s="414">
        <f ca="1">IFERROR(INDEX(Üldreiting!$K:$K,MATCH(N21,Üldreiting!$I:$I,0)),"")</f>
        <v>13</v>
      </c>
      <c r="P21" s="415" t="str">
        <f t="shared" si="1"/>
        <v>Merike Lusbo</v>
      </c>
      <c r="Q21" s="414">
        <f ca="1">IFERROR(INDEX(Üldreiting!$K:$K,MATCH(P21,Üldreiting!$I:$I,0)),"")</f>
        <v>10</v>
      </c>
      <c r="R21" s="413" t="str">
        <f t="shared" si="2"/>
        <v/>
      </c>
      <c r="S21" s="414" t="str">
        <f>IFERROR(INDEX(Üldreiting!$K:$K,MATCH(R21,Üldreiting!$I:$I,0)),"")</f>
        <v/>
      </c>
      <c r="T21" s="413" t="str">
        <f t="shared" si="3"/>
        <v/>
      </c>
      <c r="U21" s="414" t="str">
        <f>IFERROR(INDEX(Üldreiting!$K:$K,MATCH(T21,Üldreiting!$I:$I,0)),"")</f>
        <v/>
      </c>
    </row>
    <row r="22" spans="1:21" s="30" customFormat="1" x14ac:dyDescent="0.2">
      <c r="A22" s="296">
        <v>4</v>
      </c>
      <c r="B22" s="123" t="s">
        <v>81</v>
      </c>
      <c r="C22" s="124">
        <f>IF(B22="-",0,"")</f>
        <v>0</v>
      </c>
      <c r="D22" s="124"/>
      <c r="E22" s="32">
        <f>IF(B22="-",0,"")</f>
        <v>0</v>
      </c>
      <c r="F22" s="314"/>
      <c r="G22" s="32" t="str">
        <f>IF(AND(COUNT(F19:F22)=2,F22=MAX(F19:F22),COUNT(C22:F22)=3),A18&amp;"2",IF(AND(COUNT(E19:E22)=2,ISNUMBER(E22),E22=MIN(E19:E22),D22="",F22=""),A18&amp;"4",IF(AND(COUNT(D19:D22)=2,D22=MAX(D19:D22),E22="",F22=""),A18&amp;"1",IF(COUNT(F19:F22)=2,A18&amp;"3",""))))</f>
        <v>C4</v>
      </c>
      <c r="H22" s="79"/>
      <c r="I22" s="449"/>
      <c r="J22" s="449"/>
      <c r="K22" s="449"/>
      <c r="L22" s="79"/>
      <c r="M22" s="420">
        <f>SUM(O22:U22)</f>
        <v>0</v>
      </c>
      <c r="N22" s="415" t="str">
        <f t="shared" si="0"/>
        <v/>
      </c>
      <c r="O22" s="414" t="str">
        <f>IFERROR(INDEX(Üldreiting!$K:$K,MATCH(N22,Üldreiting!$I:$I,0)),"")</f>
        <v/>
      </c>
      <c r="P22" s="415" t="str">
        <f t="shared" si="1"/>
        <v/>
      </c>
      <c r="Q22" s="414" t="str">
        <f>IFERROR(INDEX(Üldreiting!$K:$K,MATCH(P22,Üldreiting!$I:$I,0)),"")</f>
        <v/>
      </c>
      <c r="R22" s="413" t="str">
        <f t="shared" si="2"/>
        <v/>
      </c>
      <c r="S22" s="414" t="str">
        <f>IFERROR(INDEX(Üldreiting!$K:$K,MATCH(R22,Üldreiting!$I:$I,0)),"")</f>
        <v/>
      </c>
      <c r="T22" s="413" t="str">
        <f t="shared" si="3"/>
        <v/>
      </c>
      <c r="U22" s="414" t="str">
        <f>IFERROR(INDEX(Üldreiting!$K:$K,MATCH(T22,Üldreiting!$I:$I,0)),"")</f>
        <v/>
      </c>
    </row>
    <row r="23" spans="1:21" x14ac:dyDescent="0.2">
      <c r="I23" s="449"/>
      <c r="J23" s="449"/>
      <c r="K23" s="449"/>
      <c r="M23" s="420"/>
      <c r="N23" s="425"/>
      <c r="O23" s="424"/>
      <c r="P23" s="425"/>
      <c r="Q23" s="426"/>
      <c r="R23" s="417"/>
      <c r="S23" s="417"/>
      <c r="T23" s="417"/>
      <c r="U23" s="417"/>
    </row>
    <row r="24" spans="1:21" s="30" customFormat="1" x14ac:dyDescent="0.2">
      <c r="A24" s="296" t="s">
        <v>293</v>
      </c>
      <c r="B24" s="452">
        <v>0.5</v>
      </c>
      <c r="C24" s="31" t="s">
        <v>232</v>
      </c>
      <c r="D24" s="296" t="s">
        <v>61</v>
      </c>
      <c r="E24" s="296" t="s">
        <v>62</v>
      </c>
      <c r="F24" s="31" t="s">
        <v>63</v>
      </c>
      <c r="G24" s="31" t="s">
        <v>19</v>
      </c>
      <c r="H24" s="79"/>
      <c r="I24" s="449"/>
      <c r="J24" s="449"/>
      <c r="K24" s="449"/>
      <c r="L24" s="79"/>
      <c r="M24" s="420"/>
      <c r="N24" s="425"/>
      <c r="O24" s="424"/>
      <c r="P24" s="425"/>
      <c r="Q24" s="426"/>
      <c r="R24" s="417"/>
      <c r="S24" s="417"/>
      <c r="T24" s="417"/>
      <c r="U24" s="417"/>
    </row>
    <row r="25" spans="1:21" s="30" customFormat="1" x14ac:dyDescent="0.2">
      <c r="A25" s="296">
        <v>1</v>
      </c>
      <c r="B25" s="186" t="s">
        <v>88</v>
      </c>
      <c r="C25" s="124">
        <v>13</v>
      </c>
      <c r="D25" s="124">
        <v>13</v>
      </c>
      <c r="E25" s="32"/>
      <c r="F25" s="314"/>
      <c r="G25" s="32" t="str">
        <f>IF(AND(COUNT(F25:F28)=2,F25=MAX(F25:F28),COUNT(C25:F25)=3),A24&amp;"2",IF(AND(COUNT(E25:E28)=2,ISNUMBER(E25),E25=MIN(E25:E28),D25="",F25=""),A24&amp;"4",IF(AND(COUNT(D25:D28)=2,D25=MAX(D25:D28),E25="",F25=""),A24&amp;"1",IF(COUNT(F25:F28)=2,A24&amp;"3",""))))</f>
        <v>D1</v>
      </c>
      <c r="H25" s="79"/>
      <c r="I25" s="449"/>
      <c r="J25" s="449"/>
      <c r="K25" s="449"/>
      <c r="L25" s="79"/>
      <c r="M25" s="420">
        <f ca="1">SUM(O25:U25)</f>
        <v>126</v>
      </c>
      <c r="N25" s="415" t="str">
        <f t="shared" si="0"/>
        <v>Kadri Arunurm</v>
      </c>
      <c r="O25" s="414">
        <f ca="1">IFERROR(INDEX(Üldreiting!$K:$K,MATCH(N25,Üldreiting!$I:$I,0)),"")</f>
        <v>53</v>
      </c>
      <c r="P25" s="415" t="str">
        <f t="shared" si="1"/>
        <v>Kalju Olmre</v>
      </c>
      <c r="Q25" s="414">
        <f ca="1">IFERROR(INDEX(Üldreiting!$K:$K,MATCH(P25,Üldreiting!$I:$I,0)),"")</f>
        <v>73</v>
      </c>
      <c r="R25" s="413" t="str">
        <f t="shared" si="2"/>
        <v/>
      </c>
      <c r="S25" s="414" t="str">
        <f>IFERROR(INDEX(Üldreiting!$K:$K,MATCH(R25,Üldreiting!$I:$I,0)),"")</f>
        <v/>
      </c>
      <c r="T25" s="413" t="str">
        <f t="shared" si="3"/>
        <v/>
      </c>
      <c r="U25" s="414" t="str">
        <f>IFERROR(INDEX(Üldreiting!$K:$K,MATCH(T25,Üldreiting!$I:$I,0)),"")</f>
        <v/>
      </c>
    </row>
    <row r="26" spans="1:21" s="30" customFormat="1" x14ac:dyDescent="0.2">
      <c r="A26" s="296">
        <v>2</v>
      </c>
      <c r="B26" s="122" t="s">
        <v>692</v>
      </c>
      <c r="C26" s="336">
        <v>13</v>
      </c>
      <c r="D26" s="124">
        <v>0</v>
      </c>
      <c r="E26" s="32" t="str">
        <f>IF(AND(B28="-",ISNUMBER(C26),C26&lt;C27),13,"")</f>
        <v/>
      </c>
      <c r="F26" s="314">
        <v>9</v>
      </c>
      <c r="G26" s="32" t="str">
        <f>IF(AND(COUNT(F25:F28)=2,F26=MAX(F25:F28),COUNT(C26:F26)=3),A24&amp;"2",IF(AND(COUNT(E25:E28)=2,ISNUMBER(E26),E26=MIN(E25:E28),D26="",F26=""),A24&amp;"4",IF(AND(COUNT(D25:D28)=2,D26=MAX(D25:D28),E26="",F26=""),A24&amp;"1",IF(COUNT(F25:F28)=2,A24&amp;"3",""))))</f>
        <v>D3</v>
      </c>
      <c r="H26" s="79"/>
      <c r="I26" s="449"/>
      <c r="J26" s="449"/>
      <c r="K26" s="449"/>
      <c r="L26" s="79"/>
      <c r="M26" s="420">
        <f ca="1">SUM(O26:U26)</f>
        <v>37</v>
      </c>
      <c r="N26" s="415" t="str">
        <f t="shared" si="0"/>
        <v>Matti Vinni</v>
      </c>
      <c r="O26" s="414">
        <f ca="1">IFERROR(INDEX(Üldreiting!$K:$K,MATCH(N26,Üldreiting!$I:$I,0)),"")</f>
        <v>18</v>
      </c>
      <c r="P26" s="415" t="str">
        <f t="shared" si="1"/>
        <v>Vahur Raudsepp</v>
      </c>
      <c r="Q26" s="414">
        <f ca="1">IFERROR(INDEX(Üldreiting!$K:$K,MATCH(P26,Üldreiting!$I:$I,0)),"")</f>
        <v>19</v>
      </c>
      <c r="R26" s="413" t="str">
        <f t="shared" si="2"/>
        <v/>
      </c>
      <c r="S26" s="414" t="str">
        <f>IFERROR(INDEX(Üldreiting!$K:$K,MATCH(R26,Üldreiting!$I:$I,0)),"")</f>
        <v/>
      </c>
      <c r="T26" s="413" t="str">
        <f t="shared" si="3"/>
        <v/>
      </c>
      <c r="U26" s="414" t="str">
        <f>IFERROR(INDEX(Üldreiting!$K:$K,MATCH(T26,Üldreiting!$I:$I,0)),"")</f>
        <v/>
      </c>
    </row>
    <row r="27" spans="1:21" s="30" customFormat="1" x14ac:dyDescent="0.2">
      <c r="A27" s="296">
        <v>3</v>
      </c>
      <c r="B27" s="122" t="s">
        <v>694</v>
      </c>
      <c r="C27" s="336">
        <v>8</v>
      </c>
      <c r="D27" s="32"/>
      <c r="E27" s="32">
        <v>11</v>
      </c>
      <c r="F27" s="314"/>
      <c r="G27" s="32" t="str">
        <f>IF(AND(COUNT(F25:F28)=2,F27=MAX(F25:F28),COUNT(C27:F27)=3),A24&amp;"2",IF(AND(COUNT(E25:E28)=2,ISNUMBER(E27),E27=MIN(E25:E28),D27="",F27=""),A24&amp;"4",IF(AND(COUNT(D25:D28)=2,D27=MAX(D25:D28),E27="",F27=""),A24&amp;"1",IF(COUNT(F25:F28)=2,A24&amp;"3",""))))</f>
        <v>D4</v>
      </c>
      <c r="H27" s="79"/>
      <c r="I27" s="449"/>
      <c r="J27" s="449"/>
      <c r="K27" s="449"/>
      <c r="L27" s="79"/>
      <c r="M27" s="420">
        <f ca="1">SUM(O27:U27)</f>
        <v>18</v>
      </c>
      <c r="N27" s="415" t="str">
        <f t="shared" si="0"/>
        <v>Jelena Brakina</v>
      </c>
      <c r="O27" s="414">
        <f ca="1">IFERROR(INDEX(Üldreiting!$K:$K,MATCH(N27,Üldreiting!$I:$I,0)),"")</f>
        <v>15</v>
      </c>
      <c r="P27" s="415" t="str">
        <f t="shared" si="1"/>
        <v>Vello Pluum</v>
      </c>
      <c r="Q27" s="414">
        <f ca="1">IFERROR(INDEX(Üldreiting!$K:$K,MATCH(P27,Üldreiting!$I:$I,0)),"")</f>
        <v>3</v>
      </c>
      <c r="R27" s="413" t="str">
        <f t="shared" si="2"/>
        <v/>
      </c>
      <c r="S27" s="414" t="str">
        <f>IFERROR(INDEX(Üldreiting!$K:$K,MATCH(R27,Üldreiting!$I:$I,0)),"")</f>
        <v/>
      </c>
      <c r="T27" s="413" t="str">
        <f t="shared" si="3"/>
        <v/>
      </c>
      <c r="U27" s="414" t="str">
        <f>IFERROR(INDEX(Üldreiting!$K:$K,MATCH(T27,Üldreiting!$I:$I,0)),"")</f>
        <v/>
      </c>
    </row>
    <row r="28" spans="1:21" s="30" customFormat="1" x14ac:dyDescent="0.2">
      <c r="A28" s="296">
        <v>4</v>
      </c>
      <c r="B28" s="123" t="s">
        <v>698</v>
      </c>
      <c r="C28" s="124">
        <v>2</v>
      </c>
      <c r="D28" s="124"/>
      <c r="E28" s="32">
        <v>13</v>
      </c>
      <c r="F28" s="314">
        <v>13</v>
      </c>
      <c r="G28" s="32" t="str">
        <f>IF(AND(COUNT(F25:F28)=2,F28=MAX(F25:F28),COUNT(C28:F28)=3),A24&amp;"2",IF(AND(COUNT(E25:E28)=2,ISNUMBER(E28),E28=MIN(E25:E28),D28="",F28=""),A24&amp;"4",IF(AND(COUNT(D25:D28)=2,D28=MAX(D25:D28),E28="",F28=""),A24&amp;"1",IF(COUNT(F25:F28)=2,A24&amp;"3",""))))</f>
        <v>D2</v>
      </c>
      <c r="H28" s="79"/>
      <c r="I28" s="449"/>
      <c r="J28" s="449"/>
      <c r="K28" s="449"/>
      <c r="L28" s="79"/>
      <c r="M28" s="420">
        <f ca="1">SUM(O28:U28)</f>
        <v>4</v>
      </c>
      <c r="N28" s="415" t="str">
        <f t="shared" si="0"/>
        <v>Tõnu Kapper</v>
      </c>
      <c r="O28" s="414">
        <f ca="1">IFERROR(INDEX(Üldreiting!$K:$K,MATCH(N28,Üldreiting!$I:$I,0)),"")</f>
        <v>2</v>
      </c>
      <c r="P28" s="415" t="str">
        <f t="shared" si="1"/>
        <v>Vladimir Ogneštšikov</v>
      </c>
      <c r="Q28" s="414">
        <f ca="1">IFERROR(INDEX(Üldreiting!$K:$K,MATCH(P28,Üldreiting!$I:$I,0)),"")</f>
        <v>2</v>
      </c>
      <c r="R28" s="413" t="str">
        <f t="shared" si="2"/>
        <v/>
      </c>
      <c r="S28" s="414" t="str">
        <f>IFERROR(INDEX(Üldreiting!$K:$K,MATCH(R28,Üldreiting!$I:$I,0)),"")</f>
        <v/>
      </c>
      <c r="T28" s="413" t="str">
        <f t="shared" si="3"/>
        <v/>
      </c>
      <c r="U28" s="414" t="str">
        <f>IFERROR(INDEX(Üldreiting!$K:$K,MATCH(T28,Üldreiting!$I:$I,0)),"")</f>
        <v/>
      </c>
    </row>
    <row r="29" spans="1:21" x14ac:dyDescent="0.2">
      <c r="B29" s="319"/>
      <c r="I29" s="449"/>
      <c r="J29" s="449"/>
      <c r="K29" s="449"/>
      <c r="M29" s="420"/>
      <c r="N29" s="425" t="str">
        <f t="shared" si="0"/>
        <v/>
      </c>
      <c r="O29" s="427"/>
      <c r="P29" s="425" t="str">
        <f t="shared" si="1"/>
        <v/>
      </c>
      <c r="Q29" s="426"/>
      <c r="R29" s="416" t="str">
        <f t="shared" si="2"/>
        <v/>
      </c>
      <c r="S29" s="416"/>
      <c r="T29" s="416" t="str">
        <f t="shared" si="3"/>
        <v/>
      </c>
      <c r="U29" s="416"/>
    </row>
    <row r="30" spans="1:21" s="30" customFormat="1" x14ac:dyDescent="0.2">
      <c r="A30" s="296" t="s">
        <v>276</v>
      </c>
      <c r="B30" s="452">
        <v>0.5</v>
      </c>
      <c r="C30" s="31" t="s">
        <v>232</v>
      </c>
      <c r="D30" s="296" t="s">
        <v>61</v>
      </c>
      <c r="E30" s="296" t="s">
        <v>62</v>
      </c>
      <c r="F30" s="31" t="s">
        <v>63</v>
      </c>
      <c r="G30" s="31" t="s">
        <v>19</v>
      </c>
      <c r="H30" s="79"/>
      <c r="I30" s="449"/>
      <c r="J30" s="449"/>
      <c r="K30" s="449"/>
      <c r="L30" s="79"/>
      <c r="M30" s="420"/>
      <c r="N30" s="425"/>
      <c r="O30" s="427"/>
      <c r="P30" s="425"/>
      <c r="Q30" s="426"/>
      <c r="R30" s="416"/>
      <c r="S30" s="416"/>
      <c r="T30" s="416"/>
      <c r="U30" s="416"/>
    </row>
    <row r="31" spans="1:21" s="30" customFormat="1" x14ac:dyDescent="0.2">
      <c r="A31" s="296">
        <v>1</v>
      </c>
      <c r="B31" s="186" t="s">
        <v>283</v>
      </c>
      <c r="C31" s="124">
        <f>IF(B34="-",13,"")</f>
        <v>13</v>
      </c>
      <c r="D31" s="124">
        <v>13</v>
      </c>
      <c r="E31" s="32"/>
      <c r="F31" s="314"/>
      <c r="G31" s="32" t="str">
        <f>IF(AND(COUNT(F31:F34)=2,F31=MAX(F31:F34),COUNT(C31:F31)=3),A30&amp;"2",IF(AND(COUNT(E31:E34)=2,ISNUMBER(E31),E31=MIN(E31:E34),D31="",F31=""),A30&amp;"4",IF(AND(COUNT(D31:D34)=2,D31=MAX(D31:D34),E31="",F31=""),A30&amp;"1",IF(COUNT(F31:F34)=2,A30&amp;"3",""))))</f>
        <v>E1</v>
      </c>
      <c r="H31" s="79"/>
      <c r="I31" s="449"/>
      <c r="J31" s="449"/>
      <c r="K31" s="449"/>
      <c r="L31" s="79"/>
      <c r="M31" s="420">
        <f ca="1">SUM(O31:U31)</f>
        <v>171</v>
      </c>
      <c r="N31" s="415" t="str">
        <f t="shared" si="0"/>
        <v>Kaarel Mikk</v>
      </c>
      <c r="O31" s="414">
        <f ca="1">IFERROR(INDEX(Üldreiting!$K:$K,MATCH(N31,Üldreiting!$I:$I,0)),"")</f>
        <v>76.5</v>
      </c>
      <c r="P31" s="415" t="str">
        <f t="shared" si="1"/>
        <v>Mihkel Filipenko</v>
      </c>
      <c r="Q31" s="414">
        <f ca="1">IFERROR(INDEX(Üldreiting!$K:$K,MATCH(P31,Üldreiting!$I:$I,0)),"")</f>
        <v>94.5</v>
      </c>
      <c r="R31" s="413" t="str">
        <f t="shared" si="2"/>
        <v/>
      </c>
      <c r="S31" s="414" t="str">
        <f>IFERROR(INDEX(Üldreiting!$K:$K,MATCH(R31,Üldreiting!$I:$I,0)),"")</f>
        <v/>
      </c>
      <c r="T31" s="413" t="str">
        <f t="shared" si="3"/>
        <v/>
      </c>
      <c r="U31" s="414" t="str">
        <f>IFERROR(INDEX(Üldreiting!$K:$K,MATCH(T31,Üldreiting!$I:$I,0)),"")</f>
        <v/>
      </c>
    </row>
    <row r="32" spans="1:21" s="30" customFormat="1" x14ac:dyDescent="0.2">
      <c r="A32" s="296">
        <v>2</v>
      </c>
      <c r="B32" s="122" t="s">
        <v>691</v>
      </c>
      <c r="C32" s="336">
        <v>10</v>
      </c>
      <c r="D32" s="124">
        <v>0</v>
      </c>
      <c r="E32" s="32" t="str">
        <f>IF(AND(B34="-",ISNUMBER(C32),C32&lt;C33),13,"")</f>
        <v/>
      </c>
      <c r="F32" s="314">
        <v>13</v>
      </c>
      <c r="G32" s="32" t="str">
        <f>IF(AND(COUNT(F31:F34)=2,F32=MAX(F31:F34),COUNT(C32:F32)=3),A30&amp;"2",IF(AND(COUNT(E31:E34)=2,ISNUMBER(E32),E32=MIN(E31:E34),D32="",F32=""),A30&amp;"4",IF(AND(COUNT(D31:D34)=2,D32=MAX(D31:D34),E32="",F32=""),A30&amp;"1",IF(COUNT(F31:F34)=2,A30&amp;"3",""))))</f>
        <v>E2</v>
      </c>
      <c r="H32" s="79"/>
      <c r="I32" s="449"/>
      <c r="J32" s="449"/>
      <c r="K32" s="449"/>
      <c r="L32" s="79"/>
      <c r="M32" s="420">
        <f ca="1">SUM(O32:U32)</f>
        <v>126</v>
      </c>
      <c r="N32" s="415" t="str">
        <f t="shared" si="0"/>
        <v>Andero Kelu</v>
      </c>
      <c r="O32" s="414">
        <f ca="1">IFERROR(INDEX(Üldreiting!$K:$K,MATCH(N32,Üldreiting!$I:$I,0)),"")</f>
        <v>78</v>
      </c>
      <c r="P32" s="415" t="str">
        <f t="shared" si="1"/>
        <v>Margo Peebo</v>
      </c>
      <c r="Q32" s="414">
        <f ca="1">IFERROR(INDEX(Üldreiting!$K:$K,MATCH(P32,Üldreiting!$I:$I,0)),"")</f>
        <v>48</v>
      </c>
      <c r="R32" s="413" t="str">
        <f t="shared" si="2"/>
        <v/>
      </c>
      <c r="S32" s="414" t="str">
        <f>IFERROR(INDEX(Üldreiting!$K:$K,MATCH(R32,Üldreiting!$I:$I,0)),"")</f>
        <v/>
      </c>
      <c r="T32" s="413" t="str">
        <f t="shared" si="3"/>
        <v/>
      </c>
      <c r="U32" s="414" t="str">
        <f>IFERROR(INDEX(Üldreiting!$K:$K,MATCH(T32,Üldreiting!$I:$I,0)),"")</f>
        <v/>
      </c>
    </row>
    <row r="33" spans="1:21" s="30" customFormat="1" x14ac:dyDescent="0.2">
      <c r="A33" s="296">
        <v>3</v>
      </c>
      <c r="B33" s="122" t="s">
        <v>697</v>
      </c>
      <c r="C33" s="336">
        <v>9</v>
      </c>
      <c r="D33" s="32"/>
      <c r="E33" s="32">
        <f>IF(AND(B34="-",ISNUMBER(C33),C33&lt;C32),13,"")</f>
        <v>13</v>
      </c>
      <c r="F33" s="314">
        <v>2</v>
      </c>
      <c r="G33" s="32" t="str">
        <f>IF(AND(COUNT(F31:F34)=2,F33=MAX(F31:F34),COUNT(C33:F33)=3),A30&amp;"2",IF(AND(COUNT(E31:E34)=2,ISNUMBER(E33),E33=MIN(E31:E34),D33="",F33=""),A30&amp;"4",IF(AND(COUNT(D31:D34)=2,D33=MAX(D31:D34),E33="",F33=""),A30&amp;"1",IF(COUNT(F31:F34)=2,A30&amp;"3",""))))</f>
        <v>E3</v>
      </c>
      <c r="H33" s="79"/>
      <c r="I33" s="450"/>
      <c r="J33" s="449"/>
      <c r="K33" s="449"/>
      <c r="L33" s="79"/>
      <c r="M33" s="420">
        <f ca="1">SUM(O33:U33)</f>
        <v>27</v>
      </c>
      <c r="N33" s="415" t="str">
        <f t="shared" si="0"/>
        <v>Aimar Poom</v>
      </c>
      <c r="O33" s="414">
        <f ca="1">IFERROR(INDEX(Üldreiting!$K:$K,MATCH(N33,Üldreiting!$I:$I,0)),"")</f>
        <v>22</v>
      </c>
      <c r="P33" s="415" t="str">
        <f t="shared" si="1"/>
        <v>Marta Ruus</v>
      </c>
      <c r="Q33" s="414">
        <f ca="1">IFERROR(INDEX(Üldreiting!$K:$K,MATCH(P33,Üldreiting!$I:$I,0)),"")</f>
        <v>5</v>
      </c>
      <c r="R33" s="413" t="str">
        <f t="shared" si="2"/>
        <v/>
      </c>
      <c r="S33" s="414" t="str">
        <f>IFERROR(INDEX(Üldreiting!$K:$K,MATCH(R33,Üldreiting!$I:$I,0)),"")</f>
        <v/>
      </c>
      <c r="T33" s="413" t="str">
        <f t="shared" si="3"/>
        <v/>
      </c>
      <c r="U33" s="414" t="str">
        <f>IFERROR(INDEX(Üldreiting!$K:$K,MATCH(T33,Üldreiting!$I:$I,0)),"")</f>
        <v/>
      </c>
    </row>
    <row r="34" spans="1:21" s="30" customFormat="1" x14ac:dyDescent="0.2">
      <c r="A34" s="296">
        <v>4</v>
      </c>
      <c r="B34" s="123" t="s">
        <v>81</v>
      </c>
      <c r="C34" s="124">
        <f>IF(B34="-",0,"")</f>
        <v>0</v>
      </c>
      <c r="D34" s="124"/>
      <c r="E34" s="32">
        <f>IF(B34="-",0,"")</f>
        <v>0</v>
      </c>
      <c r="F34" s="314"/>
      <c r="G34" s="32" t="str">
        <f>IF(AND(COUNT(F31:F34)=2,F34=MAX(F31:F34),COUNT(C34:F34)=3),A30&amp;"2",IF(AND(COUNT(E31:E34)=2,ISNUMBER(E34),E34=MIN(E31:E34),D34="",F34=""),A30&amp;"4",IF(AND(COUNT(D31:D34)=2,D34=MAX(D31:D34),E34="",F34=""),A30&amp;"1",IF(COUNT(F31:F34)=2,A30&amp;"3",""))))</f>
        <v>E4</v>
      </c>
      <c r="H34" s="79"/>
      <c r="I34" s="449"/>
      <c r="J34" s="449"/>
      <c r="K34" s="449"/>
      <c r="L34" s="79"/>
      <c r="M34" s="420">
        <f>SUM(O34:U34)</f>
        <v>0</v>
      </c>
      <c r="N34" s="415" t="str">
        <f t="shared" si="0"/>
        <v/>
      </c>
      <c r="O34" s="414" t="str">
        <f>IFERROR(INDEX(Üldreiting!$K:$K,MATCH(N34,Üldreiting!$I:$I,0)),"")</f>
        <v/>
      </c>
      <c r="P34" s="415" t="str">
        <f t="shared" si="1"/>
        <v/>
      </c>
      <c r="Q34" s="414" t="str">
        <f>IFERROR(INDEX(Üldreiting!$K:$K,MATCH(P34,Üldreiting!$I:$I,0)),"")</f>
        <v/>
      </c>
      <c r="R34" s="413" t="str">
        <f t="shared" si="2"/>
        <v/>
      </c>
      <c r="S34" s="414" t="str">
        <f>IFERROR(INDEX(Üldreiting!$K:$K,MATCH(R34,Üldreiting!$I:$I,0)),"")</f>
        <v/>
      </c>
      <c r="T34" s="413" t="str">
        <f t="shared" si="3"/>
        <v/>
      </c>
      <c r="U34" s="414" t="str">
        <f>IFERROR(INDEX(Üldreiting!$K:$K,MATCH(T34,Üldreiting!$I:$I,0)),"")</f>
        <v/>
      </c>
    </row>
    <row r="35" spans="1:21" x14ac:dyDescent="0.2">
      <c r="I35" s="449"/>
      <c r="J35" s="449"/>
      <c r="K35" s="449"/>
      <c r="M35" s="418"/>
      <c r="N35" s="425"/>
      <c r="O35" s="428"/>
      <c r="P35" s="425"/>
      <c r="Q35" s="426"/>
      <c r="R35" s="418"/>
      <c r="S35" s="418"/>
      <c r="T35" s="418"/>
      <c r="U35" s="418"/>
    </row>
    <row r="36" spans="1:21" s="30" customFormat="1" x14ac:dyDescent="0.2">
      <c r="A36" s="296" t="s">
        <v>294</v>
      </c>
      <c r="B36" s="351"/>
      <c r="C36" s="31" t="s">
        <v>232</v>
      </c>
      <c r="D36" s="296" t="s">
        <v>61</v>
      </c>
      <c r="E36" s="296" t="s">
        <v>62</v>
      </c>
      <c r="F36" s="31" t="s">
        <v>63</v>
      </c>
      <c r="G36" s="31" t="s">
        <v>19</v>
      </c>
      <c r="H36" s="79"/>
      <c r="I36" s="449"/>
      <c r="J36" s="449"/>
      <c r="K36" s="449"/>
      <c r="L36" s="79"/>
      <c r="M36" s="418"/>
      <c r="N36" s="425"/>
      <c r="O36" s="428"/>
      <c r="P36" s="425"/>
      <c r="Q36" s="426"/>
      <c r="R36" s="418"/>
      <c r="S36" s="418"/>
      <c r="T36" s="418"/>
      <c r="U36" s="418"/>
    </row>
    <row r="37" spans="1:21" s="30" customFormat="1" x14ac:dyDescent="0.2">
      <c r="A37" s="296">
        <v>1</v>
      </c>
      <c r="B37" s="186" t="s">
        <v>280</v>
      </c>
      <c r="C37" s="124">
        <f>IF(B40="-",13,"")</f>
        <v>13</v>
      </c>
      <c r="D37" s="124">
        <v>13</v>
      </c>
      <c r="E37" s="32"/>
      <c r="F37" s="314"/>
      <c r="G37" s="32" t="str">
        <f>IF(AND(COUNT(F37:F40)=2,F37=MAX(F37:F40),COUNT(C37:F37)=3),A36&amp;"2",IF(AND(COUNT(E37:E40)=2,ISNUMBER(E37),E37=MIN(E37:E40),D37="",F37=""),A36&amp;"4",IF(AND(COUNT(D37:D40)=2,D37=MAX(D37:D40),E37="",F37=""),A36&amp;"1",IF(COUNT(F37:F40)=2,A36&amp;"3",""))))</f>
        <v>F1</v>
      </c>
      <c r="H37" s="79"/>
      <c r="I37" s="449"/>
      <c r="J37" s="449"/>
      <c r="K37" s="449"/>
      <c r="L37" s="79"/>
      <c r="M37" s="420">
        <f ca="1">SUM(O37:U37)</f>
        <v>134</v>
      </c>
      <c r="N37" s="415" t="str">
        <f t="shared" si="0"/>
        <v>Hardo Sokk</v>
      </c>
      <c r="O37" s="414">
        <f ca="1">IFERROR(INDEX(Üldreiting!$K:$K,MATCH(N37,Üldreiting!$I:$I,0)),"")</f>
        <v>102</v>
      </c>
      <c r="P37" s="415" t="str">
        <f t="shared" si="1"/>
        <v>Peep Puiestik</v>
      </c>
      <c r="Q37" s="414">
        <f ca="1">IFERROR(INDEX(Üldreiting!$K:$K,MATCH(P37,Üldreiting!$I:$I,0)),"")</f>
        <v>32</v>
      </c>
      <c r="R37" s="413" t="str">
        <f t="shared" si="2"/>
        <v/>
      </c>
      <c r="S37" s="414" t="str">
        <f>IFERROR(INDEX(Üldreiting!$K:$K,MATCH(R37,Üldreiting!$I:$I,0)),"")</f>
        <v/>
      </c>
      <c r="T37" s="413" t="str">
        <f t="shared" si="3"/>
        <v/>
      </c>
      <c r="U37" s="414" t="str">
        <f>IFERROR(INDEX(Üldreiting!$K:$K,MATCH(T37,Üldreiting!$I:$I,0)),"")</f>
        <v/>
      </c>
    </row>
    <row r="38" spans="1:21" s="30" customFormat="1" x14ac:dyDescent="0.2">
      <c r="A38" s="296">
        <v>2</v>
      </c>
      <c r="B38" s="122" t="s">
        <v>173</v>
      </c>
      <c r="C38" s="336">
        <v>7</v>
      </c>
      <c r="D38" s="124"/>
      <c r="E38" s="32">
        <f>IF(AND(B40="-",ISNUMBER(C38),C38&lt;C39),13,"")</f>
        <v>13</v>
      </c>
      <c r="F38" s="314">
        <v>6</v>
      </c>
      <c r="G38" s="32" t="str">
        <f>IF(AND(COUNT(F37:F40)=2,F38=MAX(F37:F40),COUNT(C38:F38)=3),A36&amp;"2",IF(AND(COUNT(E37:E40)=2,ISNUMBER(E38),E38=MIN(E37:E40),D38="",F38=""),A36&amp;"4",IF(AND(COUNT(D37:D40)=2,D38=MAX(D37:D40),E38="",F38=""),A36&amp;"1",IF(COUNT(F37:F40)=2,A36&amp;"3",""))))</f>
        <v>F3</v>
      </c>
      <c r="H38" s="79"/>
      <c r="I38" s="449"/>
      <c r="J38" s="449"/>
      <c r="K38" s="449"/>
      <c r="L38" s="79"/>
      <c r="M38" s="420">
        <f ca="1">SUM(O38:U38)</f>
        <v>50</v>
      </c>
      <c r="N38" s="415" t="str">
        <f t="shared" si="0"/>
        <v>Andres Veski</v>
      </c>
      <c r="O38" s="414">
        <f ca="1">IFERROR(INDEX(Üldreiting!$K:$K,MATCH(N38,Üldreiting!$I:$I,0)),"")</f>
        <v>25</v>
      </c>
      <c r="P38" s="415" t="str">
        <f t="shared" si="1"/>
        <v>Svetlana Veski</v>
      </c>
      <c r="Q38" s="414">
        <f ca="1">IFERROR(INDEX(Üldreiting!$K:$K,MATCH(P38,Üldreiting!$I:$I,0)),"")</f>
        <v>25</v>
      </c>
      <c r="R38" s="413" t="str">
        <f t="shared" si="2"/>
        <v/>
      </c>
      <c r="S38" s="414" t="str">
        <f>IFERROR(INDEX(Üldreiting!$K:$K,MATCH(R38,Üldreiting!$I:$I,0)),"")</f>
        <v/>
      </c>
      <c r="T38" s="413" t="str">
        <f t="shared" si="3"/>
        <v/>
      </c>
      <c r="U38" s="414" t="str">
        <f>IFERROR(INDEX(Üldreiting!$K:$K,MATCH(T38,Üldreiting!$I:$I,0)),"")</f>
        <v/>
      </c>
    </row>
    <row r="39" spans="1:21" s="30" customFormat="1" x14ac:dyDescent="0.2">
      <c r="A39" s="296">
        <v>3</v>
      </c>
      <c r="B39" s="122" t="s">
        <v>696</v>
      </c>
      <c r="C39" s="336">
        <v>13</v>
      </c>
      <c r="D39" s="32">
        <v>8</v>
      </c>
      <c r="E39" s="32" t="str">
        <f>IF(AND(B40="-",ISNUMBER(C39),C39&lt;C38),13,"")</f>
        <v/>
      </c>
      <c r="F39" s="314">
        <v>13</v>
      </c>
      <c r="G39" s="32" t="str">
        <f>IF(AND(COUNT(F37:F40)=2,F39=MAX(F37:F40),COUNT(C39:F39)=3),A36&amp;"2",IF(AND(COUNT(E37:E40)=2,ISNUMBER(E39),E39=MIN(E37:E40),D39="",F39=""),A36&amp;"4",IF(AND(COUNT(D37:D40)=2,D39=MAX(D37:D40),E39="",F39=""),A36&amp;"1",IF(COUNT(F37:F40)=2,A36&amp;"3",""))))</f>
        <v>F2</v>
      </c>
      <c r="H39" s="79"/>
      <c r="I39" s="449"/>
      <c r="J39" s="449"/>
      <c r="K39" s="449"/>
      <c r="L39" s="79"/>
      <c r="M39" s="420">
        <f ca="1">SUM(O39:U39)</f>
        <v>37</v>
      </c>
      <c r="N39" s="415" t="str">
        <f t="shared" si="0"/>
        <v>Aarne Välja</v>
      </c>
      <c r="O39" s="414">
        <f ca="1">IFERROR(INDEX(Üldreiting!$K:$K,MATCH(N39,Üldreiting!$I:$I,0)),"")</f>
        <v>21</v>
      </c>
      <c r="P39" s="415" t="str">
        <f t="shared" si="1"/>
        <v>Janek Tarto</v>
      </c>
      <c r="Q39" s="414">
        <f ca="1">IFERROR(INDEX(Üldreiting!$K:$K,MATCH(P39,Üldreiting!$I:$I,0)),"")</f>
        <v>16</v>
      </c>
      <c r="R39" s="413" t="str">
        <f t="shared" si="2"/>
        <v/>
      </c>
      <c r="S39" s="414" t="str">
        <f>IFERROR(INDEX(Üldreiting!$K:$K,MATCH(R39,Üldreiting!$I:$I,0)),"")</f>
        <v/>
      </c>
      <c r="T39" s="413" t="str">
        <f t="shared" si="3"/>
        <v/>
      </c>
      <c r="U39" s="414" t="str">
        <f>IFERROR(INDEX(Üldreiting!$K:$K,MATCH(T39,Üldreiting!$I:$I,0)),"")</f>
        <v/>
      </c>
    </row>
    <row r="40" spans="1:21" s="30" customFormat="1" x14ac:dyDescent="0.2">
      <c r="A40" s="296">
        <v>4</v>
      </c>
      <c r="B40" s="123" t="s">
        <v>81</v>
      </c>
      <c r="C40" s="124">
        <f>IF(B40="-",0,"")</f>
        <v>0</v>
      </c>
      <c r="D40" s="124"/>
      <c r="E40" s="32">
        <f>IF(B40="-",0,"")</f>
        <v>0</v>
      </c>
      <c r="F40" s="314"/>
      <c r="G40" s="32" t="str">
        <f>IF(AND(COUNT(F37:F40)=2,F40=MAX(F37:F40),COUNT(C40:F40)=3),A36&amp;"2",IF(AND(COUNT(E37:E40)=2,ISNUMBER(E40),E40=MIN(E37:E40),D40="",F40=""),A36&amp;"4",IF(AND(COUNT(D37:D40)=2,D40=MAX(D37:D40),E40="",F40=""),A36&amp;"1",IF(COUNT(F37:F40)=2,A36&amp;"3",""))))</f>
        <v>F4</v>
      </c>
      <c r="H40" s="79"/>
      <c r="I40" s="449"/>
      <c r="J40" s="449"/>
      <c r="K40" s="449"/>
      <c r="L40" s="79"/>
      <c r="M40" s="420">
        <f>SUM(O40:U40)</f>
        <v>0</v>
      </c>
      <c r="N40" s="415" t="str">
        <f t="shared" si="0"/>
        <v/>
      </c>
      <c r="O40" s="414" t="str">
        <f>IFERROR(INDEX(Üldreiting!$K:$K,MATCH(N40,Üldreiting!$I:$I,0)),"")</f>
        <v/>
      </c>
      <c r="P40" s="415" t="str">
        <f t="shared" si="1"/>
        <v/>
      </c>
      <c r="Q40" s="414" t="str">
        <f>IFERROR(INDEX(Üldreiting!$K:$K,MATCH(P40,Üldreiting!$I:$I,0)),"")</f>
        <v/>
      </c>
      <c r="R40" s="413" t="str">
        <f t="shared" si="2"/>
        <v/>
      </c>
      <c r="S40" s="414" t="str">
        <f>IFERROR(INDEX(Üldreiting!$K:$K,MATCH(R40,Üldreiting!$I:$I,0)),"")</f>
        <v/>
      </c>
      <c r="T40" s="413" t="str">
        <f t="shared" si="3"/>
        <v/>
      </c>
      <c r="U40" s="414" t="str">
        <f>IFERROR(INDEX(Üldreiting!$K:$K,MATCH(T40,Üldreiting!$I:$I,0)),"")</f>
        <v/>
      </c>
    </row>
    <row r="41" spans="1:21" s="30" customFormat="1" x14ac:dyDescent="0.2">
      <c r="A41" s="34"/>
      <c r="B41" s="38"/>
      <c r="C41" s="36"/>
      <c r="D41" s="36"/>
      <c r="E41" s="36"/>
      <c r="F41" s="36"/>
      <c r="G41" s="39"/>
      <c r="I41" s="451"/>
      <c r="J41" s="451"/>
      <c r="K41" s="451"/>
    </row>
    <row r="42" spans="1:21" s="42" customFormat="1" x14ac:dyDescent="0.2">
      <c r="A42" s="60" t="s">
        <v>90</v>
      </c>
      <c r="B42" s="45"/>
      <c r="C42" s="35"/>
      <c r="D42" s="35"/>
      <c r="E42" s="35"/>
      <c r="F42" s="36"/>
      <c r="G42" s="37"/>
      <c r="I42" s="313"/>
      <c r="J42" s="313"/>
      <c r="K42" s="313"/>
    </row>
    <row r="43" spans="1:21" s="42" customFormat="1" x14ac:dyDescent="0.2">
      <c r="I43" s="313"/>
      <c r="J43" s="313"/>
      <c r="K43" s="313"/>
    </row>
    <row r="44" spans="1:21" s="42" customFormat="1" x14ac:dyDescent="0.2">
      <c r="A44" s="61" t="s">
        <v>81</v>
      </c>
      <c r="B44" s="310" t="str">
        <f>IFERROR(INDEX(B$7:B$40,MATCH(A44,G$7:G$40,0)),"")</f>
        <v>-</v>
      </c>
      <c r="C44" s="81">
        <f>IF(B44="-",0,IF(B46="-",13,""))</f>
        <v>0</v>
      </c>
      <c r="I44" s="313"/>
      <c r="J44" s="313"/>
      <c r="K44" s="313"/>
    </row>
    <row r="45" spans="1:21" s="42" customFormat="1" x14ac:dyDescent="0.2">
      <c r="A45" s="43"/>
      <c r="B45" s="311"/>
      <c r="C45" s="126" t="str">
        <f>IF(COUNT(C44,C46)=2,IF(C44&gt;C46,B44,B46),"")</f>
        <v>Kaarel Mikk, Mihkel Filipenko</v>
      </c>
      <c r="E45" s="81">
        <v>13</v>
      </c>
      <c r="I45" s="313"/>
      <c r="J45" s="313"/>
      <c r="K45" s="313"/>
    </row>
    <row r="46" spans="1:21" s="42" customFormat="1" x14ac:dyDescent="0.2">
      <c r="A46" s="43" t="s">
        <v>91</v>
      </c>
      <c r="B46" s="312" t="str">
        <f>IFERROR(INDEX(B$7:B$40,MATCH(A46,G$7:G$40,0)),"")</f>
        <v>Kaarel Mikk, Mihkel Filipenko</v>
      </c>
      <c r="C46" s="63">
        <f>IF(B46="-",0,IF(B44="-",13,""))</f>
        <v>13</v>
      </c>
      <c r="D46" s="345"/>
    </row>
    <row r="47" spans="1:21" s="42" customFormat="1" x14ac:dyDescent="0.2">
      <c r="A47" s="43"/>
      <c r="B47" s="313"/>
      <c r="D47" s="46"/>
      <c r="E47" s="126" t="str">
        <f>IF(COUNT(E45,E49)=2,IF(E45&gt;E49,C45,C49),"")</f>
        <v>Kaarel Mikk, Mihkel Filipenko</v>
      </c>
      <c r="G47" s="81">
        <v>13</v>
      </c>
    </row>
    <row r="48" spans="1:21" s="42" customFormat="1" x14ac:dyDescent="0.2">
      <c r="A48" s="43" t="s">
        <v>74</v>
      </c>
      <c r="B48" s="310" t="str">
        <f>IFERROR(INDEX(B$7:B$40,MATCH(A48,G$7:G$40,0)),"")</f>
        <v>Janek Kiisk, Marek Lehis</v>
      </c>
      <c r="C48" s="81">
        <v>12</v>
      </c>
      <c r="D48" s="46"/>
      <c r="E48" s="343"/>
      <c r="F48" s="345"/>
    </row>
    <row r="49" spans="1:11" s="42" customFormat="1" x14ac:dyDescent="0.2">
      <c r="A49" s="43"/>
      <c r="B49" s="311"/>
      <c r="C49" s="126" t="str">
        <f>IF(COUNT(C48,C50)=2,IF(C48&gt;C50,B48,B50),"")</f>
        <v>Ivar Viljaste, Sirje Viljaste</v>
      </c>
      <c r="D49" s="50"/>
      <c r="E49" s="63">
        <v>11</v>
      </c>
      <c r="F49" s="46"/>
    </row>
    <row r="50" spans="1:11" s="42" customFormat="1" x14ac:dyDescent="0.2">
      <c r="A50" s="43" t="s">
        <v>70</v>
      </c>
      <c r="B50" s="312" t="str">
        <f>IFERROR(INDEX(B$7:B$40,MATCH(A50,G$7:G$40,0)),"")</f>
        <v>Ivar Viljaste, Sirje Viljaste</v>
      </c>
      <c r="C50" s="63">
        <v>13</v>
      </c>
      <c r="E50" s="45"/>
      <c r="F50" s="46"/>
    </row>
    <row r="51" spans="1:11" s="42" customFormat="1" x14ac:dyDescent="0.2">
      <c r="A51" s="52"/>
      <c r="B51" s="313"/>
      <c r="E51" s="45"/>
      <c r="F51" s="46"/>
      <c r="G51" s="42" t="str">
        <f>IF(COUNT(G47,G55)=2,IF(G47&gt;G55,E47,E55),"")</f>
        <v>Kaarel Mikk, Mihkel Filipenko</v>
      </c>
      <c r="I51" s="81">
        <v>13</v>
      </c>
    </row>
    <row r="52" spans="1:11" s="42" customFormat="1" x14ac:dyDescent="0.2">
      <c r="A52" s="61" t="s">
        <v>81</v>
      </c>
      <c r="B52" s="310" t="str">
        <f>IFERROR(INDEX(B$7:B$40,MATCH(A52,G$7:G$40,0)),"")</f>
        <v>-</v>
      </c>
      <c r="C52" s="81">
        <f>IF(B52="-",0,IF(B54="-",13,""))</f>
        <v>0</v>
      </c>
      <c r="F52" s="46"/>
      <c r="G52" s="343"/>
      <c r="H52" s="345"/>
    </row>
    <row r="53" spans="1:11" s="42" customFormat="1" x14ac:dyDescent="0.2">
      <c r="A53" s="43"/>
      <c r="B53" s="311"/>
      <c r="C53" s="126" t="str">
        <f>IF(COUNT(C52,C54)=2,IF(C52&gt;C54,B52,B54),"")</f>
        <v>Alari Keedus, Ülo Piik</v>
      </c>
      <c r="E53" s="81">
        <v>13</v>
      </c>
      <c r="F53" s="46"/>
      <c r="G53" s="45"/>
      <c r="H53" s="46"/>
    </row>
    <row r="54" spans="1:11" s="42" customFormat="1" x14ac:dyDescent="0.2">
      <c r="A54" s="43" t="s">
        <v>73</v>
      </c>
      <c r="B54" s="312" t="str">
        <f>IFERROR(INDEX(B$7:B$40,MATCH(A54,G$7:G$40,0)),"")</f>
        <v>Alari Keedus, Ülo Piik</v>
      </c>
      <c r="C54" s="63">
        <f>IF(B54="-",0,IF(B52="-",13,""))</f>
        <v>13</v>
      </c>
      <c r="D54" s="345"/>
      <c r="F54" s="46"/>
      <c r="G54" s="45"/>
      <c r="H54" s="46"/>
    </row>
    <row r="55" spans="1:11" s="42" customFormat="1" x14ac:dyDescent="0.2">
      <c r="A55" s="43"/>
      <c r="B55" s="313"/>
      <c r="D55" s="46"/>
      <c r="E55" s="126" t="str">
        <f>IF(COUNT(E53,E57)=2,IF(E53&gt;E57,C53,C57),"")</f>
        <v>Alari Keedus, Ülo Piik</v>
      </c>
      <c r="F55" s="50"/>
      <c r="G55" s="63">
        <v>12</v>
      </c>
      <c r="H55" s="46"/>
    </row>
    <row r="56" spans="1:11" s="42" customFormat="1" x14ac:dyDescent="0.2">
      <c r="A56" s="43" t="s">
        <v>71</v>
      </c>
      <c r="B56" s="310" t="str">
        <f>IFERROR(INDEX(B$7:B$40,MATCH(A56,G$7:G$40,0)),"")</f>
        <v>Aigi Orro, Kalle Orro</v>
      </c>
      <c r="C56" s="81">
        <v>11</v>
      </c>
      <c r="D56" s="46"/>
      <c r="E56" s="343"/>
      <c r="F56" s="45"/>
      <c r="G56" s="45"/>
      <c r="H56" s="46"/>
    </row>
    <row r="57" spans="1:11" s="42" customFormat="1" x14ac:dyDescent="0.2">
      <c r="A57" s="43"/>
      <c r="B57" s="311"/>
      <c r="C57" s="126" t="str">
        <f>IF(COUNT(C56,C58)=2,IF(C56&gt;C58,B56,B58),"")</f>
        <v>Aarne Välja, Janek Tarto</v>
      </c>
      <c r="D57" s="50"/>
      <c r="E57" s="63">
        <v>6</v>
      </c>
      <c r="G57" s="45"/>
      <c r="H57" s="46"/>
    </row>
    <row r="58" spans="1:11" s="42" customFormat="1" x14ac:dyDescent="0.2">
      <c r="A58" s="43" t="s">
        <v>94</v>
      </c>
      <c r="B58" s="312" t="str">
        <f>IFERROR(INDEX(B$7:B$40,MATCH(A58,G$7:G$40,0)),"")</f>
        <v>Aarne Välja, Janek Tarto</v>
      </c>
      <c r="C58" s="63">
        <v>13</v>
      </c>
      <c r="E58" s="45"/>
      <c r="F58" s="45"/>
      <c r="G58" s="45"/>
      <c r="H58" s="46"/>
    </row>
    <row r="59" spans="1:11" s="42" customFormat="1" ht="13.5" thickBot="1" x14ac:dyDescent="0.25">
      <c r="A59" s="52"/>
      <c r="B59" s="313"/>
      <c r="G59" s="45"/>
      <c r="H59" s="46"/>
      <c r="J59" s="224" t="str">
        <f>IF(COUNT(I51,I67)=2,IF(I51&gt;I67,G51,G67),"")</f>
        <v>Kaarel Mikk, Mihkel Filipenko</v>
      </c>
    </row>
    <row r="60" spans="1:11" s="42" customFormat="1" x14ac:dyDescent="0.2">
      <c r="A60" s="61" t="s">
        <v>81</v>
      </c>
      <c r="B60" s="310" t="str">
        <f>IFERROR(INDEX(B$7:B$40,MATCH(A60,G$7:G$40,0)),"")</f>
        <v>-</v>
      </c>
      <c r="C60" s="81">
        <f>IF(B60="-",0,IF(B62="-",13,""))</f>
        <v>0</v>
      </c>
      <c r="G60" s="45"/>
      <c r="H60" s="46"/>
      <c r="I60" s="48"/>
      <c r="J60" s="62" t="s">
        <v>277</v>
      </c>
      <c r="K60" s="49"/>
    </row>
    <row r="61" spans="1:11" s="42" customFormat="1" x14ac:dyDescent="0.2">
      <c r="A61" s="43"/>
      <c r="B61" s="311"/>
      <c r="C61" s="126" t="str">
        <f>IF(COUNT(C60,C62)=2,IF(C60&gt;C62,B60,B62),"")</f>
        <v>Hardo Sokk, Peep Puiestik</v>
      </c>
      <c r="E61" s="81">
        <v>13</v>
      </c>
      <c r="G61" s="45"/>
      <c r="H61" s="46"/>
    </row>
    <row r="62" spans="1:11" s="42" customFormat="1" x14ac:dyDescent="0.2">
      <c r="A62" s="43" t="s">
        <v>92</v>
      </c>
      <c r="B62" s="312" t="str">
        <f>IFERROR(INDEX(B$7:B$40,MATCH(A62,G$7:G$40,0)),"")</f>
        <v>Hardo Sokk, Peep Puiestik</v>
      </c>
      <c r="C62" s="63">
        <f>IF(B62="-",0,IF(B60="-",13,""))</f>
        <v>13</v>
      </c>
      <c r="D62" s="345"/>
      <c r="G62" s="45"/>
      <c r="H62" s="46"/>
    </row>
    <row r="63" spans="1:11" s="42" customFormat="1" x14ac:dyDescent="0.2">
      <c r="A63" s="43"/>
      <c r="B63" s="313"/>
      <c r="D63" s="46"/>
      <c r="E63" s="126" t="str">
        <f>IF(COUNT(E61,E65)=2,IF(E61&gt;E65,C61,C65),"")</f>
        <v>Hardo Sokk, Peep Puiestik</v>
      </c>
      <c r="G63" s="51">
        <v>6</v>
      </c>
      <c r="H63" s="46"/>
    </row>
    <row r="64" spans="1:11" s="42" customFormat="1" x14ac:dyDescent="0.2">
      <c r="A64" s="43" t="s">
        <v>93</v>
      </c>
      <c r="B64" s="310" t="str">
        <f>IFERROR(INDEX(B$7:B$40,MATCH(A64,G$7:G$40,0)),"")</f>
        <v>Andero Kelu, Margo Peebo</v>
      </c>
      <c r="C64" s="81">
        <v>13</v>
      </c>
      <c r="D64" s="46"/>
      <c r="E64" s="343"/>
      <c r="F64" s="345"/>
      <c r="G64" s="45"/>
      <c r="H64" s="46"/>
    </row>
    <row r="65" spans="1:11" s="42" customFormat="1" x14ac:dyDescent="0.2">
      <c r="A65" s="43"/>
      <c r="B65" s="311"/>
      <c r="C65" s="126" t="str">
        <f>IF(COUNT(C64,C66)=2,IF(C64&gt;C66,B64,B66),"")</f>
        <v>Andero Kelu, Margo Peebo</v>
      </c>
      <c r="D65" s="50"/>
      <c r="E65" s="63">
        <v>12</v>
      </c>
      <c r="F65" s="46"/>
      <c r="G65" s="45"/>
      <c r="H65" s="46"/>
    </row>
    <row r="66" spans="1:11" s="42" customFormat="1" x14ac:dyDescent="0.2">
      <c r="A66" s="43" t="s">
        <v>72</v>
      </c>
      <c r="B66" s="312" t="str">
        <f>IFERROR(INDEX(B$7:B$40,MATCH(A66,G$7:G$40,0)),"")</f>
        <v>Tõnu Kapper, Vladimir Ogneštšikov</v>
      </c>
      <c r="C66" s="63">
        <v>4</v>
      </c>
      <c r="E66" s="45"/>
      <c r="F66" s="46"/>
      <c r="G66" s="45"/>
      <c r="H66" s="46"/>
    </row>
    <row r="67" spans="1:11" s="42" customFormat="1" x14ac:dyDescent="0.2">
      <c r="A67" s="52"/>
      <c r="B67" s="313"/>
      <c r="E67" s="45"/>
      <c r="F67" s="46"/>
      <c r="G67" s="344" t="str">
        <f>IF(COUNT(G63,G71)=2,IF(G63&gt;G71,E63,E71),"")</f>
        <v>Katri Aavekukk, Merike Aava</v>
      </c>
      <c r="H67" s="50"/>
      <c r="I67" s="63">
        <v>0</v>
      </c>
    </row>
    <row r="68" spans="1:11" s="42" customFormat="1" ht="13.5" thickBot="1" x14ac:dyDescent="0.25">
      <c r="A68" s="61" t="s">
        <v>81</v>
      </c>
      <c r="B68" s="310" t="str">
        <f>IFERROR(INDEX(B$7:B$40,MATCH(A68,G$7:G$40,0)),"")</f>
        <v>-</v>
      </c>
      <c r="C68" s="81">
        <f>IF(B68="-",0,IF(B70="-",13,""))</f>
        <v>0</v>
      </c>
      <c r="F68" s="46"/>
      <c r="G68" s="342"/>
      <c r="J68" s="224" t="str">
        <f>IF(COUNT(I51,I67)=2,IF(I51&lt;I67,G51,G67),"")</f>
        <v>Katri Aavekukk, Merike Aava</v>
      </c>
      <c r="K68" s="47"/>
    </row>
    <row r="69" spans="1:11" s="42" customFormat="1" x14ac:dyDescent="0.2">
      <c r="A69" s="43"/>
      <c r="B69" s="311"/>
      <c r="C69" s="126" t="str">
        <f>IF(COUNT(C68,C70)=2,IF(C68&gt;C70,B68,B70),"")</f>
        <v>Kadri Arunurm, Kalju Olmre</v>
      </c>
      <c r="E69" s="81">
        <v>7</v>
      </c>
      <c r="F69" s="46"/>
      <c r="G69" s="45"/>
      <c r="J69" s="62" t="s">
        <v>278</v>
      </c>
      <c r="K69" s="45"/>
    </row>
    <row r="70" spans="1:11" s="42" customFormat="1" x14ac:dyDescent="0.2">
      <c r="A70" s="43" t="s">
        <v>67</v>
      </c>
      <c r="B70" s="312" t="str">
        <f>IFERROR(INDEX(B$7:B$40,MATCH(A70,G$7:G$40,0)),"")</f>
        <v>Kadri Arunurm, Kalju Olmre</v>
      </c>
      <c r="C70" s="63">
        <f>IF(B70="-",0,IF(B68="-",13,""))</f>
        <v>13</v>
      </c>
      <c r="D70" s="345"/>
      <c r="F70" s="46"/>
      <c r="G70" s="45"/>
    </row>
    <row r="71" spans="1:11" s="42" customFormat="1" x14ac:dyDescent="0.2">
      <c r="A71" s="43"/>
      <c r="B71" s="313"/>
      <c r="D71" s="46"/>
      <c r="E71" s="126" t="str">
        <f>IF(COUNT(E69,E73)=2,IF(E69&gt;E73,C69,C73),"")</f>
        <v>Katri Aavekukk, Merike Aava</v>
      </c>
      <c r="F71" s="50"/>
      <c r="G71" s="63">
        <v>13</v>
      </c>
    </row>
    <row r="72" spans="1:11" s="42" customFormat="1" x14ac:dyDescent="0.2">
      <c r="A72" s="43" t="s">
        <v>69</v>
      </c>
      <c r="B72" s="310" t="str">
        <f>IFERROR(INDEX(B$7:B$40,MATCH(A72,G$7:G$40,0)),"")</f>
        <v>Katri Aavekukk, Merike Aava</v>
      </c>
      <c r="C72" s="81">
        <v>13</v>
      </c>
      <c r="D72" s="46"/>
      <c r="E72" s="343"/>
      <c r="F72" s="45"/>
      <c r="G72" s="45"/>
    </row>
    <row r="73" spans="1:11" s="42" customFormat="1" x14ac:dyDescent="0.2">
      <c r="A73" s="43"/>
      <c r="B73" s="311"/>
      <c r="C73" s="126" t="str">
        <f>IF(COUNT(C72,C74)=2,IF(C72&gt;C74,B72,B74),"")</f>
        <v>Katri Aavekukk, Merike Aava</v>
      </c>
      <c r="D73" s="50"/>
      <c r="E73" s="63">
        <v>13</v>
      </c>
      <c r="G73" s="45" t="str">
        <f>IF(COUNT(G47,G55)=2,IF(G47&lt;G55,E47,E55),"")</f>
        <v>Alari Keedus, Ülo Piik</v>
      </c>
      <c r="I73" s="453">
        <v>13</v>
      </c>
    </row>
    <row r="74" spans="1:11" s="42" customFormat="1" ht="13.5" thickBot="1" x14ac:dyDescent="0.25">
      <c r="A74" s="43" t="s">
        <v>68</v>
      </c>
      <c r="B74" s="312" t="str">
        <f>IFERROR(INDEX(B$7:B$40,MATCH(A74,G$7:G$40,0)),"")</f>
        <v>Ljudmila Varendi, Viktor Švarõgin</v>
      </c>
      <c r="C74" s="63">
        <v>9</v>
      </c>
      <c r="E74" s="45"/>
      <c r="F74" s="45"/>
      <c r="G74" s="309"/>
      <c r="H74" s="345"/>
      <c r="I74" s="47"/>
      <c r="J74" s="224" t="str">
        <f>IF(COUNT(I73,I75)=2,IF(I73&gt;I75,G73,G75),"")</f>
        <v>Alari Keedus, Ülo Piik</v>
      </c>
      <c r="K74" s="47"/>
    </row>
    <row r="75" spans="1:11" s="42" customFormat="1" x14ac:dyDescent="0.2">
      <c r="F75" s="45"/>
      <c r="G75" s="127" t="str">
        <f>IF(COUNT(G63,G71)=2,IF(G63&lt;G71,E63,E71),"")</f>
        <v>Hardo Sokk, Peep Puiestik</v>
      </c>
      <c r="H75" s="50"/>
      <c r="I75" s="63">
        <v>3</v>
      </c>
      <c r="J75" s="53" t="s">
        <v>279</v>
      </c>
      <c r="K75" s="45"/>
    </row>
    <row r="76" spans="1:11" s="42" customFormat="1" x14ac:dyDescent="0.2">
      <c r="F76" s="45"/>
      <c r="J76" s="45"/>
      <c r="K76" s="45"/>
    </row>
    <row r="77" spans="1:11" s="42" customFormat="1" ht="13.5" thickBot="1" x14ac:dyDescent="0.25">
      <c r="F77" s="45"/>
      <c r="G77" s="45"/>
      <c r="H77" s="45"/>
      <c r="J77" s="224" t="str">
        <f>IF(COUNT(I73,I75)=2,IF(I73&lt;I75,G73,G75),"")</f>
        <v>Hardo Sokk, Peep Puiestik</v>
      </c>
      <c r="K77" s="47"/>
    </row>
    <row r="78" spans="1:11" s="42" customFormat="1" x14ac:dyDescent="0.2">
      <c r="G78" s="45"/>
      <c r="H78" s="45"/>
      <c r="J78" s="52" t="s">
        <v>75</v>
      </c>
    </row>
    <row r="79" spans="1:11" s="42" customFormat="1" x14ac:dyDescent="0.2">
      <c r="G79" s="45"/>
      <c r="H79" s="45"/>
      <c r="J79" s="52"/>
    </row>
    <row r="80" spans="1:11" s="42" customFormat="1" x14ac:dyDescent="0.2">
      <c r="A80" s="64" t="s">
        <v>95</v>
      </c>
      <c r="G80" s="45"/>
      <c r="H80" s="45"/>
      <c r="J80" s="52"/>
    </row>
    <row r="81" spans="1:11" s="42" customFormat="1" x14ac:dyDescent="0.2">
      <c r="A81" s="125"/>
      <c r="G81" s="45"/>
      <c r="H81" s="45"/>
      <c r="J81" s="52"/>
    </row>
    <row r="82" spans="1:11" s="42" customFormat="1" x14ac:dyDescent="0.2">
      <c r="E82" s="127" t="str">
        <f>IF(COUNT(E45,E49)=2,IF(E45&lt;E49,C45,C49),"")</f>
        <v>Ivar Viljaste, Sirje Viljaste</v>
      </c>
      <c r="G82" s="81">
        <v>13</v>
      </c>
      <c r="H82" s="81"/>
      <c r="I82" s="81"/>
    </row>
    <row r="83" spans="1:11" s="42" customFormat="1" x14ac:dyDescent="0.2">
      <c r="E83" s="65"/>
      <c r="F83" s="66"/>
      <c r="G83" s="126" t="str">
        <f>IF(COUNT(G82,G84)=2,IF(G82&gt;G84,E82,E84),"")</f>
        <v>Ivar Viljaste, Sirje Viljaste</v>
      </c>
      <c r="I83" s="81">
        <v>13</v>
      </c>
    </row>
    <row r="84" spans="1:11" s="42" customFormat="1" x14ac:dyDescent="0.2">
      <c r="E84" s="127" t="str">
        <f>IF(COUNT(E53,E57)=2,IF(E53&lt;E57,C53,C57),"")</f>
        <v>Aarne Välja, Janek Tarto</v>
      </c>
      <c r="F84" s="67"/>
      <c r="G84" s="63">
        <v>3</v>
      </c>
      <c r="H84" s="66"/>
      <c r="I84" s="81"/>
    </row>
    <row r="85" spans="1:11" s="42" customFormat="1" ht="13.5" thickBot="1" x14ac:dyDescent="0.25">
      <c r="E85" s="81"/>
      <c r="F85" s="81"/>
      <c r="G85" s="51"/>
      <c r="H85" s="68"/>
      <c r="I85" s="81"/>
      <c r="J85" s="224" t="str">
        <f>IF(COUNT(I83,I87)=2,IF(I83&gt;I87,G83,G87),"")</f>
        <v>Ivar Viljaste, Sirje Viljaste</v>
      </c>
    </row>
    <row r="86" spans="1:11" s="42" customFormat="1" x14ac:dyDescent="0.2">
      <c r="E86" s="127" t="str">
        <f>IF(COUNT(E61,E65)=2,IF(E61&lt;E65,C61,C65),"")</f>
        <v>Andero Kelu, Margo Peebo</v>
      </c>
      <c r="F86" s="81"/>
      <c r="G86" s="81">
        <v>5</v>
      </c>
      <c r="H86" s="68"/>
      <c r="I86" s="69"/>
      <c r="J86" s="62" t="s">
        <v>76</v>
      </c>
      <c r="K86" s="49"/>
    </row>
    <row r="87" spans="1:11" s="42" customFormat="1" x14ac:dyDescent="0.2">
      <c r="E87" s="65"/>
      <c r="F87" s="66"/>
      <c r="G87" s="126" t="str">
        <f>IF(COUNT(G86,G88)=2,IF(G86&gt;G88,E86,E88),"")</f>
        <v>Kadri Arunurm, Kalju Olmre</v>
      </c>
      <c r="H87" s="50"/>
      <c r="I87" s="63">
        <v>3</v>
      </c>
    </row>
    <row r="88" spans="1:11" s="42" customFormat="1" ht="13.5" thickBot="1" x14ac:dyDescent="0.25">
      <c r="E88" s="127" t="str">
        <f>IF(COUNT(E69,E73)=2,IF(E69&lt;E73,C69,C73),"")</f>
        <v>Kadri Arunurm, Kalju Olmre</v>
      </c>
      <c r="F88" s="67"/>
      <c r="G88" s="63">
        <v>13</v>
      </c>
      <c r="H88" s="81"/>
      <c r="I88" s="51"/>
      <c r="J88" s="224" t="str">
        <f>IF(COUNT(I83,I87)=2,IF(I83&lt;I87,G83,G87),"")</f>
        <v>Kadri Arunurm, Kalju Olmre</v>
      </c>
      <c r="K88" s="47"/>
    </row>
    <row r="89" spans="1:11" s="42" customFormat="1" x14ac:dyDescent="0.2">
      <c r="E89" s="81"/>
      <c r="F89" s="81"/>
      <c r="G89" s="81"/>
      <c r="H89" s="81"/>
      <c r="I89" s="51"/>
      <c r="J89" s="62" t="s">
        <v>77</v>
      </c>
      <c r="K89" s="45"/>
    </row>
    <row r="90" spans="1:11" s="42" customFormat="1" x14ac:dyDescent="0.2">
      <c r="E90" s="81"/>
      <c r="F90" s="51"/>
      <c r="G90" s="223" t="str">
        <f>IF(COUNT(G82,G84)=2,IF(G82&lt;G84,E82,E84),"")</f>
        <v>Aarne Välja, Janek Tarto</v>
      </c>
      <c r="I90" s="81">
        <v>10</v>
      </c>
      <c r="J90" s="45"/>
      <c r="K90" s="45"/>
    </row>
    <row r="91" spans="1:11" s="42" customFormat="1" ht="13.5" thickBot="1" x14ac:dyDescent="0.25">
      <c r="E91" s="81"/>
      <c r="F91" s="51"/>
      <c r="G91" s="309"/>
      <c r="H91" s="44"/>
      <c r="I91" s="47"/>
      <c r="J91" s="224" t="str">
        <f>IF(COUNT(I90,I92)=2,IF(I90&gt;I92,G90,G92),"")</f>
        <v>Andero Kelu, Margo Peebo</v>
      </c>
      <c r="K91" s="47"/>
    </row>
    <row r="92" spans="1:11" s="42" customFormat="1" x14ac:dyDescent="0.2">
      <c r="E92" s="81"/>
      <c r="F92" s="51"/>
      <c r="G92" s="127" t="str">
        <f>IF(COUNT(G86,G88)=2,IF(G86&lt;G88,E86,E88),"")</f>
        <v>Andero Kelu, Margo Peebo</v>
      </c>
      <c r="H92" s="50"/>
      <c r="I92" s="63">
        <v>13</v>
      </c>
      <c r="J92" s="53" t="s">
        <v>78</v>
      </c>
      <c r="K92" s="45"/>
    </row>
    <row r="93" spans="1:11" s="42" customFormat="1" x14ac:dyDescent="0.2">
      <c r="F93" s="45"/>
      <c r="J93" s="45"/>
      <c r="K93" s="45"/>
    </row>
    <row r="94" spans="1:11" s="42" customFormat="1" ht="13.5" thickBot="1" x14ac:dyDescent="0.25">
      <c r="G94" s="45"/>
      <c r="H94" s="45"/>
      <c r="J94" s="47" t="str">
        <f>IF(COUNT(I90,I92)=2,IF(I90&lt;I92,G90,G92),"")</f>
        <v>Aarne Välja, Janek Tarto</v>
      </c>
      <c r="K94" s="47"/>
    </row>
    <row r="95" spans="1:11" s="42" customFormat="1" x14ac:dyDescent="0.2">
      <c r="G95" s="45"/>
      <c r="H95" s="45"/>
      <c r="J95" s="53" t="s">
        <v>79</v>
      </c>
    </row>
    <row r="96" spans="1:11" s="82" customFormat="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47" t="s">
        <v>577</v>
      </c>
    </row>
    <row r="300" spans="1:3" x14ac:dyDescent="0.2">
      <c r="A300" s="54">
        <v>1</v>
      </c>
      <c r="B300" s="129" t="str">
        <f t="shared" ref="B300:B307" si="4">IFERROR(INDEX(J$59:J$94,MATCH(A300&amp;". koht",J$60:J$95,0)),"")</f>
        <v>Kaarel Mikk, Mihkel Filipenko</v>
      </c>
      <c r="C300" s="347">
        <v>25</v>
      </c>
    </row>
    <row r="301" spans="1:3" x14ac:dyDescent="0.2">
      <c r="A301" s="54">
        <v>2</v>
      </c>
      <c r="B301" s="56" t="str">
        <f t="shared" si="4"/>
        <v>Katri Aavekukk, Merike Aava</v>
      </c>
      <c r="C301" s="347">
        <v>20</v>
      </c>
    </row>
    <row r="302" spans="1:3" x14ac:dyDescent="0.2">
      <c r="A302" s="54">
        <v>3</v>
      </c>
      <c r="B302" s="57" t="str">
        <f t="shared" si="4"/>
        <v>Alari Keedus, Ülo Piik</v>
      </c>
      <c r="C302" s="347">
        <v>16</v>
      </c>
    </row>
    <row r="303" spans="1:3" x14ac:dyDescent="0.2">
      <c r="A303" s="54">
        <v>4</v>
      </c>
      <c r="B303" s="58" t="str">
        <f t="shared" si="4"/>
        <v>Hardo Sokk, Peep Puiestik</v>
      </c>
      <c r="C303" s="347">
        <v>12</v>
      </c>
    </row>
    <row r="304" spans="1:3" x14ac:dyDescent="0.2">
      <c r="A304" s="54">
        <v>5</v>
      </c>
      <c r="B304" s="58" t="str">
        <f t="shared" si="4"/>
        <v>Ivar Viljaste, Sirje Viljaste</v>
      </c>
      <c r="C304" s="347">
        <v>9</v>
      </c>
    </row>
    <row r="305" spans="1:3" x14ac:dyDescent="0.2">
      <c r="A305" s="54">
        <v>6</v>
      </c>
      <c r="B305" s="58" t="str">
        <f t="shared" si="4"/>
        <v>Kadri Arunurm, Kalju Olmre</v>
      </c>
      <c r="C305" s="347">
        <v>7</v>
      </c>
    </row>
    <row r="306" spans="1:3" x14ac:dyDescent="0.2">
      <c r="A306" s="54">
        <v>7</v>
      </c>
      <c r="B306" s="58" t="str">
        <f t="shared" si="4"/>
        <v>Andero Kelu, Margo Peebo</v>
      </c>
      <c r="C306" s="347">
        <v>5</v>
      </c>
    </row>
    <row r="307" spans="1:3" x14ac:dyDescent="0.2">
      <c r="A307" s="54">
        <v>8</v>
      </c>
      <c r="B307" s="58" t="str">
        <f t="shared" si="4"/>
        <v>Aarne Välja, Janek Tarto</v>
      </c>
      <c r="C307" s="347">
        <v>4</v>
      </c>
    </row>
    <row r="308" spans="1:3" x14ac:dyDescent="0.2">
      <c r="A308" s="359" t="s">
        <v>579</v>
      </c>
      <c r="B308" s="122" t="s">
        <v>174</v>
      </c>
      <c r="C308" s="347">
        <v>2</v>
      </c>
    </row>
    <row r="309" spans="1:3" x14ac:dyDescent="0.2">
      <c r="A309" s="359" t="s">
        <v>579</v>
      </c>
      <c r="B309" s="122" t="s">
        <v>281</v>
      </c>
      <c r="C309" s="347">
        <v>2</v>
      </c>
    </row>
    <row r="310" spans="1:3" x14ac:dyDescent="0.2">
      <c r="A310" s="359" t="s">
        <v>579</v>
      </c>
      <c r="B310" s="122" t="s">
        <v>587</v>
      </c>
      <c r="C310" s="347">
        <v>2</v>
      </c>
    </row>
    <row r="311" spans="1:3" x14ac:dyDescent="0.2">
      <c r="A311" s="359" t="s">
        <v>579</v>
      </c>
      <c r="B311" s="122" t="s">
        <v>698</v>
      </c>
      <c r="C311" s="347">
        <v>2</v>
      </c>
    </row>
    <row r="312" spans="1:3" x14ac:dyDescent="0.2">
      <c r="A312" s="359" t="s">
        <v>593</v>
      </c>
      <c r="B312" s="122" t="s">
        <v>695</v>
      </c>
      <c r="C312" s="347">
        <v>2</v>
      </c>
    </row>
    <row r="313" spans="1:3" x14ac:dyDescent="0.2">
      <c r="A313" s="359" t="s">
        <v>593</v>
      </c>
      <c r="B313" s="122" t="s">
        <v>697</v>
      </c>
      <c r="C313" s="347">
        <v>2</v>
      </c>
    </row>
    <row r="314" spans="1:3" x14ac:dyDescent="0.2">
      <c r="A314" s="359" t="s">
        <v>593</v>
      </c>
      <c r="B314" s="122" t="s">
        <v>693</v>
      </c>
      <c r="C314" s="347">
        <v>2</v>
      </c>
    </row>
    <row r="315" spans="1:3" x14ac:dyDescent="0.2">
      <c r="A315" s="359" t="s">
        <v>593</v>
      </c>
      <c r="B315" s="122" t="s">
        <v>173</v>
      </c>
      <c r="C315" s="347">
        <v>2</v>
      </c>
    </row>
    <row r="316" spans="1:3" x14ac:dyDescent="0.2">
      <c r="A316" s="359" t="s">
        <v>593</v>
      </c>
      <c r="B316" s="122" t="s">
        <v>284</v>
      </c>
      <c r="C316" s="347">
        <v>2</v>
      </c>
    </row>
    <row r="317" spans="1:3" x14ac:dyDescent="0.2">
      <c r="A317" s="359" t="s">
        <v>593</v>
      </c>
      <c r="B317" s="122" t="s">
        <v>692</v>
      </c>
      <c r="C317" s="347">
        <v>2</v>
      </c>
    </row>
    <row r="318" spans="1:3" x14ac:dyDescent="0.2">
      <c r="A318" s="54">
        <v>19</v>
      </c>
      <c r="B318" s="122" t="s">
        <v>694</v>
      </c>
      <c r="C318" s="347">
        <v>2</v>
      </c>
    </row>
  </sheetData>
  <sortState ref="B312:B317">
    <sortCondition ref="B312"/>
  </sortState>
  <conditionalFormatting sqref="B7:B10">
    <cfRule type="duplicateValues" dxfId="1239" priority="247"/>
  </conditionalFormatting>
  <conditionalFormatting sqref="B37:B40">
    <cfRule type="duplicateValues" dxfId="1238" priority="244"/>
  </conditionalFormatting>
  <conditionalFormatting sqref="B31:B34">
    <cfRule type="duplicateValues" dxfId="1237" priority="243"/>
  </conditionalFormatting>
  <conditionalFormatting sqref="B25:B28">
    <cfRule type="duplicateValues" dxfId="1236" priority="242"/>
  </conditionalFormatting>
  <conditionalFormatting sqref="B19:B22">
    <cfRule type="duplicateValues" dxfId="1235" priority="241"/>
  </conditionalFormatting>
  <conditionalFormatting sqref="B13:B16">
    <cfRule type="duplicateValues" dxfId="1234" priority="240"/>
  </conditionalFormatting>
  <conditionalFormatting sqref="A44:A74">
    <cfRule type="cellIs" dxfId="1233" priority="213" operator="equal">
      <formula>"-"</formula>
    </cfRule>
    <cfRule type="duplicateValues" dxfId="1232" priority="238"/>
  </conditionalFormatting>
  <conditionalFormatting sqref="G82 G84">
    <cfRule type="aboveAverage" dxfId="1231" priority="237"/>
  </conditionalFormatting>
  <conditionalFormatting sqref="G86 G88">
    <cfRule type="aboveAverage" dxfId="1230" priority="236"/>
  </conditionalFormatting>
  <conditionalFormatting sqref="I83 I87">
    <cfRule type="aboveAverage" dxfId="1229" priority="235"/>
  </conditionalFormatting>
  <conditionalFormatting sqref="I90 I92">
    <cfRule type="aboveAverage" dxfId="1228" priority="234"/>
  </conditionalFormatting>
  <conditionalFormatting sqref="G82 G84 G86 G88 I83 I87 I90 I92">
    <cfRule type="containsBlanks" dxfId="1227" priority="233">
      <formula>LEN(TRIM(G82))=0</formula>
    </cfRule>
  </conditionalFormatting>
  <conditionalFormatting sqref="C44 C46">
    <cfRule type="aboveAverage" dxfId="1226" priority="232"/>
  </conditionalFormatting>
  <conditionalFormatting sqref="C48 C50">
    <cfRule type="aboveAverage" dxfId="1225" priority="231"/>
  </conditionalFormatting>
  <conditionalFormatting sqref="E45 E49">
    <cfRule type="aboveAverage" dxfId="1224" priority="230"/>
  </conditionalFormatting>
  <conditionalFormatting sqref="C52 C54">
    <cfRule type="aboveAverage" dxfId="1223" priority="229"/>
  </conditionalFormatting>
  <conditionalFormatting sqref="C56 C58">
    <cfRule type="aboveAverage" dxfId="1222" priority="228"/>
  </conditionalFormatting>
  <conditionalFormatting sqref="E53 E57">
    <cfRule type="aboveAverage" dxfId="1221" priority="227"/>
  </conditionalFormatting>
  <conditionalFormatting sqref="G47 G55">
    <cfRule type="aboveAverage" dxfId="1220" priority="226"/>
  </conditionalFormatting>
  <conditionalFormatting sqref="C60 C62">
    <cfRule type="aboveAverage" dxfId="1219" priority="225"/>
  </conditionalFormatting>
  <conditionalFormatting sqref="C64 C66">
    <cfRule type="aboveAverage" dxfId="1218" priority="224"/>
  </conditionalFormatting>
  <conditionalFormatting sqref="E61 E65">
    <cfRule type="aboveAverage" dxfId="1217" priority="223"/>
  </conditionalFormatting>
  <conditionalFormatting sqref="C68 C70">
    <cfRule type="aboveAverage" dxfId="1216" priority="222"/>
  </conditionalFormatting>
  <conditionalFormatting sqref="C72 C74">
    <cfRule type="aboveAverage" dxfId="1215" priority="221"/>
  </conditionalFormatting>
  <conditionalFormatting sqref="E69 E73">
    <cfRule type="aboveAverage" dxfId="1214" priority="220"/>
  </conditionalFormatting>
  <conditionalFormatting sqref="G63 G71">
    <cfRule type="aboveAverage" dxfId="1213" priority="219"/>
  </conditionalFormatting>
  <conditionalFormatting sqref="I73 I75">
    <cfRule type="aboveAverage" dxfId="1212" priority="218"/>
  </conditionalFormatting>
  <conditionalFormatting sqref="C44 C46 C48 C50 C52 C54 C56 C58 C60 C62 C64 C66 C68 C70 C72 C74 E45 E49 E53 E57 E61 E65 E69 E73 G47 G55 G63 G71 I73 I75">
    <cfRule type="containsBlanks" dxfId="1211" priority="217">
      <formula>LEN(TRIM(C44))=0</formula>
    </cfRule>
  </conditionalFormatting>
  <conditionalFormatting sqref="I51 I67">
    <cfRule type="aboveAverage" dxfId="1210" priority="215"/>
  </conditionalFormatting>
  <conditionalFormatting sqref="I51 I67">
    <cfRule type="containsBlanks" dxfId="1209" priority="214">
      <formula>LEN(TRIM(I51))=0</formula>
    </cfRule>
  </conditionalFormatting>
  <conditionalFormatting sqref="G7:G10">
    <cfRule type="containsText" dxfId="1208" priority="211" operator="containsText" text="2">
      <formula>NOT(ISERROR(SEARCH("2",G7)))</formula>
    </cfRule>
    <cfRule type="containsText" dxfId="1207" priority="212" operator="containsText" text="1">
      <formula>NOT(ISERROR(SEARCH("1",G7)))</formula>
    </cfRule>
  </conditionalFormatting>
  <conditionalFormatting sqref="G10">
    <cfRule type="expression" dxfId="1206" priority="210">
      <formula>B10="-"</formula>
    </cfRule>
  </conditionalFormatting>
  <conditionalFormatting sqref="C7 C10">
    <cfRule type="aboveAverage" dxfId="1205" priority="209"/>
  </conditionalFormatting>
  <conditionalFormatting sqref="C8:C9">
    <cfRule type="aboveAverage" dxfId="1204" priority="208"/>
  </conditionalFormatting>
  <conditionalFormatting sqref="G13:G16">
    <cfRule type="containsText" dxfId="1203" priority="206" operator="containsText" text="2">
      <formula>NOT(ISERROR(SEARCH("2",G13)))</formula>
    </cfRule>
    <cfRule type="containsText" dxfId="1202" priority="207" operator="containsText" text="1">
      <formula>NOT(ISERROR(SEARCH("1",G13)))</formula>
    </cfRule>
  </conditionalFormatting>
  <conditionalFormatting sqref="G16">
    <cfRule type="expression" dxfId="1201" priority="205">
      <formula>B16="-"</formula>
    </cfRule>
  </conditionalFormatting>
  <conditionalFormatting sqref="C13 C16">
    <cfRule type="aboveAverage" dxfId="1200" priority="204"/>
  </conditionalFormatting>
  <conditionalFormatting sqref="C14:C15">
    <cfRule type="aboveAverage" dxfId="1199" priority="203"/>
  </conditionalFormatting>
  <conditionalFormatting sqref="G19:G22">
    <cfRule type="containsText" dxfId="1198" priority="201" operator="containsText" text="2">
      <formula>NOT(ISERROR(SEARCH("2",G19)))</formula>
    </cfRule>
    <cfRule type="containsText" dxfId="1197" priority="202" operator="containsText" text="1">
      <formula>NOT(ISERROR(SEARCH("1",G19)))</formula>
    </cfRule>
  </conditionalFormatting>
  <conditionalFormatting sqref="G22">
    <cfRule type="expression" dxfId="1196" priority="200">
      <formula>B22="-"</formula>
    </cfRule>
  </conditionalFormatting>
  <conditionalFormatting sqref="C19 C22">
    <cfRule type="aboveAverage" dxfId="1195" priority="199"/>
  </conditionalFormatting>
  <conditionalFormatting sqref="C20:C21">
    <cfRule type="aboveAverage" dxfId="1194" priority="198"/>
  </conditionalFormatting>
  <conditionalFormatting sqref="G25:G28">
    <cfRule type="containsText" dxfId="1193" priority="196" operator="containsText" text="2">
      <formula>NOT(ISERROR(SEARCH("2",G25)))</formula>
    </cfRule>
    <cfRule type="containsText" dxfId="1192" priority="197" operator="containsText" text="1">
      <formula>NOT(ISERROR(SEARCH("1",G25)))</formula>
    </cfRule>
  </conditionalFormatting>
  <conditionalFormatting sqref="G28">
    <cfRule type="expression" dxfId="1191" priority="195">
      <formula>B28="-"</formula>
    </cfRule>
  </conditionalFormatting>
  <conditionalFormatting sqref="C25 C28">
    <cfRule type="aboveAverage" dxfId="1190" priority="194"/>
  </conditionalFormatting>
  <conditionalFormatting sqref="C26:C27">
    <cfRule type="aboveAverage" dxfId="1189" priority="193"/>
  </conditionalFormatting>
  <conditionalFormatting sqref="G31:G34">
    <cfRule type="containsText" dxfId="1188" priority="191" operator="containsText" text="2">
      <formula>NOT(ISERROR(SEARCH("2",G31)))</formula>
    </cfRule>
    <cfRule type="containsText" dxfId="1187" priority="192" operator="containsText" text="1">
      <formula>NOT(ISERROR(SEARCH("1",G31)))</formula>
    </cfRule>
  </conditionalFormatting>
  <conditionalFormatting sqref="G34">
    <cfRule type="expression" dxfId="1186" priority="190">
      <formula>B34="-"</formula>
    </cfRule>
  </conditionalFormatting>
  <conditionalFormatting sqref="C31 C34">
    <cfRule type="aboveAverage" dxfId="1185" priority="189"/>
  </conditionalFormatting>
  <conditionalFormatting sqref="C32:C33">
    <cfRule type="aboveAverage" dxfId="1184" priority="188"/>
  </conditionalFormatting>
  <conditionalFormatting sqref="G37:G40">
    <cfRule type="containsText" dxfId="1183" priority="186" operator="containsText" text="2">
      <formula>NOT(ISERROR(SEARCH("2",G37)))</formula>
    </cfRule>
    <cfRule type="containsText" dxfId="1182" priority="187" operator="containsText" text="1">
      <formula>NOT(ISERROR(SEARCH("1",G37)))</formula>
    </cfRule>
  </conditionalFormatting>
  <conditionalFormatting sqref="G40">
    <cfRule type="expression" dxfId="1181" priority="185">
      <formula>B40="-"</formula>
    </cfRule>
  </conditionalFormatting>
  <conditionalFormatting sqref="C37 C40">
    <cfRule type="aboveAverage" dxfId="1180" priority="184"/>
  </conditionalFormatting>
  <conditionalFormatting sqref="C38:C39">
    <cfRule type="aboveAverage" dxfId="1179" priority="183"/>
  </conditionalFormatting>
  <conditionalFormatting sqref="E10">
    <cfRule type="expression" dxfId="1178" priority="172">
      <formula>AND(COUNT(E7:E10)&lt;2,IF(ISNUMBER(C10),C7&gt;C10))</formula>
    </cfRule>
  </conditionalFormatting>
  <conditionalFormatting sqref="E7">
    <cfRule type="expression" dxfId="1177" priority="171">
      <formula>AND(COUNT(E7:E10)&lt;2,IF(ISNUMBER(C7),C10&gt;C7))</formula>
    </cfRule>
  </conditionalFormatting>
  <conditionalFormatting sqref="E8">
    <cfRule type="expression" dxfId="1176" priority="170">
      <formula>AND(COUNT(E7:E10)&lt;2,IF(ISNUMBER(C8),C9&gt;C8))</formula>
    </cfRule>
  </conditionalFormatting>
  <conditionalFormatting sqref="E9">
    <cfRule type="expression" dxfId="1175" priority="169">
      <formula>AND(COUNT(E7:E10)&lt;2,IF(ISNUMBER(C9),C8&gt;C9))</formula>
    </cfRule>
  </conditionalFormatting>
  <conditionalFormatting sqref="E7:E10">
    <cfRule type="aboveAverage" dxfId="1174" priority="168"/>
  </conditionalFormatting>
  <conditionalFormatting sqref="F7">
    <cfRule type="expression" dxfId="1173" priority="163">
      <formula>AND(COUNT(F7:F10)&lt;2,IF(COUNT(E7:E10)=2,IF(AND(ISNUMBER(E7),COUNTIF(E7:E10,E7)=1,E7=MAX(E7:E10)),TRUE,FALSE)))</formula>
    </cfRule>
    <cfRule type="expression" dxfId="1172" priority="167">
      <formula>AND(COUNT(F7:F10)&lt;2,IF(COUNT(D7:D10)=2,IF(AND(ISNUMBER(D7),COUNTIF(D7:D10,D7)=1,D7=MIN(D7:D10)),TRUE,FALSE)))</formula>
    </cfRule>
  </conditionalFormatting>
  <conditionalFormatting sqref="F8">
    <cfRule type="expression" dxfId="1171" priority="162">
      <formula>AND(COUNT(F7:F10)&lt;2,IF(COUNT(E7:E10)=2,IF(AND(ISNUMBER(E8),COUNTIF(E7:E10,E8)=1,E8=MAX(E7:E10)),TRUE,FALSE)))</formula>
    </cfRule>
    <cfRule type="expression" dxfId="1170" priority="166">
      <formula>AND(COUNT(F7:F10)&lt;2,IF(COUNT(D7:D10)=2,IF(AND(ISNUMBER(D8),COUNTIF(D7:D10,D8)=1,D8=MIN(D7:D10)),TRUE,FALSE)))</formula>
    </cfRule>
  </conditionalFormatting>
  <conditionalFormatting sqref="F9">
    <cfRule type="expression" dxfId="1169" priority="161">
      <formula>AND(COUNT(F7:F10)&lt;2,IF(COUNT(E7:E10)=2,IF(AND(ISNUMBER(E9),COUNTIF(E7:E10,E9)=1,E9=MAX(E7:E10)),TRUE,FALSE)))</formula>
    </cfRule>
    <cfRule type="expression" dxfId="1168" priority="165">
      <formula>AND(COUNT(F7:F10)&lt;2,IF(COUNT(D7:D10)=2,IF(AND(ISNUMBER(D9),COUNTIF(D7:D10,D9)=1,D9=MIN(D7:D10)),TRUE,FALSE)))</formula>
    </cfRule>
  </conditionalFormatting>
  <conditionalFormatting sqref="F10">
    <cfRule type="expression" dxfId="1167" priority="160">
      <formula>AND(COUNT(F7:F10)&lt;2,IF(COUNT(E7:E10)=2,IF(AND(ISNUMBER(E10),COUNTIF(E7:E10,E10)=1,E10=MAX(E7:E10)),TRUE,FALSE)))</formula>
    </cfRule>
    <cfRule type="expression" dxfId="1166" priority="164">
      <formula>AND(COUNT(F7:F10)&lt;2,IF(COUNT(D7:D10)=2,IF(AND(ISNUMBER(D10),COUNTIF(D7:D10,D10)=1,D10=MIN(D7:D10)),TRUE,FALSE)))</formula>
    </cfRule>
  </conditionalFormatting>
  <conditionalFormatting sqref="F7:F10">
    <cfRule type="aboveAverage" dxfId="1165" priority="159"/>
  </conditionalFormatting>
  <conditionalFormatting sqref="D7">
    <cfRule type="expression" dxfId="1164" priority="158">
      <formula>AND(COUNT(D7:D10)&lt;2,IF(ISNUMBER(C10),C7&gt;C10))</formula>
    </cfRule>
  </conditionalFormatting>
  <conditionalFormatting sqref="D8">
    <cfRule type="expression" dxfId="1163" priority="157">
      <formula>AND(COUNT(D7:D10)&lt;2,IF(ISNUMBER(C9),C8&gt;C9))</formula>
    </cfRule>
  </conditionalFormatting>
  <conditionalFormatting sqref="D9">
    <cfRule type="expression" dxfId="1162" priority="156">
      <formula>AND(COUNT(D7:D10)&lt;2,IF(ISNUMBER(C8),C9&gt;C8))</formula>
    </cfRule>
  </conditionalFormatting>
  <conditionalFormatting sqref="D10">
    <cfRule type="expression" dxfId="1161" priority="155">
      <formula>AND(COUNT(D7:D10)&lt;2,IF(ISNUMBER(C7),C10&gt;C7))</formula>
    </cfRule>
  </conditionalFormatting>
  <conditionalFormatting sqref="D7:D10">
    <cfRule type="aboveAverage" dxfId="1160" priority="154"/>
  </conditionalFormatting>
  <conditionalFormatting sqref="E16">
    <cfRule type="expression" dxfId="1159" priority="153">
      <formula>AND(COUNT(E13:E16)&lt;2,IF(ISNUMBER(C16),C13&gt;C16))</formula>
    </cfRule>
  </conditionalFormatting>
  <conditionalFormatting sqref="E13">
    <cfRule type="expression" dxfId="1158" priority="152">
      <formula>AND(COUNT(E13:E16)&lt;2,IF(ISNUMBER(C13),C16&gt;C13))</formula>
    </cfRule>
  </conditionalFormatting>
  <conditionalFormatting sqref="E14">
    <cfRule type="expression" dxfId="1157" priority="151">
      <formula>AND(COUNT(E13:E16)&lt;2,IF(ISNUMBER(C14),C15&gt;C14))</formula>
    </cfRule>
  </conditionalFormatting>
  <conditionalFormatting sqref="E15">
    <cfRule type="expression" dxfId="1156" priority="150">
      <formula>AND(COUNT(E13:E16)&lt;2,IF(ISNUMBER(C15),C14&gt;C15))</formula>
    </cfRule>
  </conditionalFormatting>
  <conditionalFormatting sqref="E13:E16">
    <cfRule type="aboveAverage" dxfId="1155" priority="149"/>
  </conditionalFormatting>
  <conditionalFormatting sqref="F13">
    <cfRule type="expression" dxfId="1154" priority="144">
      <formula>AND(COUNT(F13:F16)&lt;2,IF(COUNT(E13:E16)=2,IF(AND(ISNUMBER(E13),COUNTIF(E13:E16,E13)=1,E13=MAX(E13:E16)),TRUE,FALSE)))</formula>
    </cfRule>
    <cfRule type="expression" dxfId="1153" priority="148">
      <formula>AND(COUNT(F13:F16)&lt;2,IF(COUNT(D13:D16)=2,IF(AND(ISNUMBER(D13),COUNTIF(D13:D16,D13)=1,D13=MIN(D13:D16)),TRUE,FALSE)))</formula>
    </cfRule>
  </conditionalFormatting>
  <conditionalFormatting sqref="F14">
    <cfRule type="expression" dxfId="1152" priority="143">
      <formula>AND(COUNT(F13:F16)&lt;2,IF(COUNT(E13:E16)=2,IF(AND(ISNUMBER(E14),COUNTIF(E13:E16,E14)=1,E14=MAX(E13:E16)),TRUE,FALSE)))</formula>
    </cfRule>
    <cfRule type="expression" dxfId="1151" priority="147">
      <formula>AND(COUNT(F13:F16)&lt;2,IF(COUNT(D13:D16)=2,IF(AND(ISNUMBER(D14),COUNTIF(D13:D16,D14)=1,D14=MIN(D13:D16)),TRUE,FALSE)))</formula>
    </cfRule>
  </conditionalFormatting>
  <conditionalFormatting sqref="F15">
    <cfRule type="expression" dxfId="1150" priority="142">
      <formula>AND(COUNT(F13:F16)&lt;2,IF(COUNT(E13:E16)=2,IF(AND(ISNUMBER(E15),COUNTIF(E13:E16,E15)=1,E15=MAX(E13:E16)),TRUE,FALSE)))</formula>
    </cfRule>
    <cfRule type="expression" dxfId="1149" priority="146">
      <formula>AND(COUNT(F13:F16)&lt;2,IF(COUNT(D13:D16)=2,IF(AND(ISNUMBER(D15),COUNTIF(D13:D16,D15)=1,D15=MIN(D13:D16)),TRUE,FALSE)))</formula>
    </cfRule>
  </conditionalFormatting>
  <conditionalFormatting sqref="F16">
    <cfRule type="expression" dxfId="1148" priority="141">
      <formula>AND(COUNT(F13:F16)&lt;2,IF(COUNT(E13:E16)=2,IF(AND(ISNUMBER(E16),COUNTIF(E13:E16,E16)=1,E16=MAX(E13:E16)),TRUE,FALSE)))</formula>
    </cfRule>
    <cfRule type="expression" dxfId="1147" priority="145">
      <formula>AND(COUNT(F13:F16)&lt;2,IF(COUNT(D13:D16)=2,IF(AND(ISNUMBER(D16),COUNTIF(D13:D16,D16)=1,D16=MIN(D13:D16)),TRUE,FALSE)))</formula>
    </cfRule>
  </conditionalFormatting>
  <conditionalFormatting sqref="F13:F16">
    <cfRule type="aboveAverage" dxfId="1146" priority="140"/>
  </conditionalFormatting>
  <conditionalFormatting sqref="D13">
    <cfRule type="expression" dxfId="1145" priority="139">
      <formula>AND(COUNT(D13:D16)&lt;2,IF(ISNUMBER(C16),C13&gt;C16))</formula>
    </cfRule>
  </conditionalFormatting>
  <conditionalFormatting sqref="D14">
    <cfRule type="expression" dxfId="1144" priority="138">
      <formula>AND(COUNT(D13:D16)&lt;2,IF(ISNUMBER(C15),C14&gt;C15))</formula>
    </cfRule>
  </conditionalFormatting>
  <conditionalFormatting sqref="D15">
    <cfRule type="expression" dxfId="1143" priority="137">
      <formula>AND(COUNT(D13:D16)&lt;2,IF(ISNUMBER(C14),C15&gt;C14))</formula>
    </cfRule>
  </conditionalFormatting>
  <conditionalFormatting sqref="D16">
    <cfRule type="expression" dxfId="1142" priority="136">
      <formula>AND(COUNT(D13:D16)&lt;2,IF(ISNUMBER(C13),C16&gt;C13))</formula>
    </cfRule>
  </conditionalFormatting>
  <conditionalFormatting sqref="D13:D16">
    <cfRule type="aboveAverage" dxfId="1141" priority="135"/>
  </conditionalFormatting>
  <conditionalFormatting sqref="E22">
    <cfRule type="expression" dxfId="1140" priority="134">
      <formula>AND(COUNT(E19:E22)&lt;2,IF(ISNUMBER(C22),C19&gt;C22))</formula>
    </cfRule>
  </conditionalFormatting>
  <conditionalFormatting sqref="E19">
    <cfRule type="expression" dxfId="1139" priority="133">
      <formula>AND(COUNT(E19:E22)&lt;2,IF(ISNUMBER(C19),C22&gt;C19))</formula>
    </cfRule>
  </conditionalFormatting>
  <conditionalFormatting sqref="E20">
    <cfRule type="expression" dxfId="1138" priority="132">
      <formula>AND(COUNT(E19:E22)&lt;2,IF(ISNUMBER(C20),C21&gt;C20))</formula>
    </cfRule>
  </conditionalFormatting>
  <conditionalFormatting sqref="E21">
    <cfRule type="expression" dxfId="1137" priority="131">
      <formula>AND(COUNT(E19:E22)&lt;2,IF(ISNUMBER(C21),C20&gt;C21))</formula>
    </cfRule>
  </conditionalFormatting>
  <conditionalFormatting sqref="E19:E22">
    <cfRule type="aboveAverage" dxfId="1136" priority="130"/>
  </conditionalFormatting>
  <conditionalFormatting sqref="F19">
    <cfRule type="expression" dxfId="1135" priority="125">
      <formula>AND(COUNT(F19:F22)&lt;2,IF(COUNT(E19:E22)=2,IF(AND(ISNUMBER(E19),COUNTIF(E19:E22,E19)=1,E19=MAX(E19:E22)),TRUE,FALSE)))</formula>
    </cfRule>
    <cfRule type="expression" dxfId="1134" priority="129">
      <formula>AND(COUNT(F19:F22)&lt;2,IF(COUNT(D19:D22)=2,IF(AND(ISNUMBER(D19),COUNTIF(D19:D22,D19)=1,D19=MIN(D19:D22)),TRUE,FALSE)))</formula>
    </cfRule>
  </conditionalFormatting>
  <conditionalFormatting sqref="F20">
    <cfRule type="expression" dxfId="1133" priority="124">
      <formula>AND(COUNT(F19:F22)&lt;2,IF(COUNT(E19:E22)=2,IF(AND(ISNUMBER(E20),COUNTIF(E19:E22,E20)=1,E20=MAX(E19:E22)),TRUE,FALSE)))</formula>
    </cfRule>
    <cfRule type="expression" dxfId="1132" priority="128">
      <formula>AND(COUNT(F19:F22)&lt;2,IF(COUNT(D19:D22)=2,IF(AND(ISNUMBER(D20),COUNTIF(D19:D22,D20)=1,D20=MIN(D19:D22)),TRUE,FALSE)))</formula>
    </cfRule>
  </conditionalFormatting>
  <conditionalFormatting sqref="F21">
    <cfRule type="expression" dxfId="1131" priority="123">
      <formula>AND(COUNT(F19:F22)&lt;2,IF(COUNT(E19:E22)=2,IF(AND(ISNUMBER(E21),COUNTIF(E19:E22,E21)=1,E21=MAX(E19:E22)),TRUE,FALSE)))</formula>
    </cfRule>
    <cfRule type="expression" dxfId="1130" priority="127">
      <formula>AND(COUNT(F19:F22)&lt;2,IF(COUNT(D19:D22)=2,IF(AND(ISNUMBER(D21),COUNTIF(D19:D22,D21)=1,D21=MIN(D19:D22)),TRUE,FALSE)))</formula>
    </cfRule>
  </conditionalFormatting>
  <conditionalFormatting sqref="F22">
    <cfRule type="expression" dxfId="1129" priority="122">
      <formula>AND(COUNT(F19:F22)&lt;2,IF(COUNT(E19:E22)=2,IF(AND(ISNUMBER(E22),COUNTIF(E19:E22,E22)=1,E22=MAX(E19:E22)),TRUE,FALSE)))</formula>
    </cfRule>
    <cfRule type="expression" dxfId="1128" priority="126">
      <formula>AND(COUNT(F19:F22)&lt;2,IF(COUNT(D19:D22)=2,IF(AND(ISNUMBER(D22),COUNTIF(D19:D22,D22)=1,D22=MIN(D19:D22)),TRUE,FALSE)))</formula>
    </cfRule>
  </conditionalFormatting>
  <conditionalFormatting sqref="F19:F22">
    <cfRule type="aboveAverage" dxfId="1127" priority="121"/>
  </conditionalFormatting>
  <conditionalFormatting sqref="D19">
    <cfRule type="expression" dxfId="1126" priority="120">
      <formula>AND(COUNT(D19:D22)&lt;2,IF(ISNUMBER(C22),C19&gt;C22))</formula>
    </cfRule>
  </conditionalFormatting>
  <conditionalFormatting sqref="D20">
    <cfRule type="expression" dxfId="1125" priority="119">
      <formula>AND(COUNT(D19:D22)&lt;2,IF(ISNUMBER(C21),C20&gt;C21))</formula>
    </cfRule>
  </conditionalFormatting>
  <conditionalFormatting sqref="D21">
    <cfRule type="expression" dxfId="1124" priority="118">
      <formula>AND(COUNT(D19:D22)&lt;2,IF(ISNUMBER(C20),C21&gt;C20))</formula>
    </cfRule>
  </conditionalFormatting>
  <conditionalFormatting sqref="D22">
    <cfRule type="expression" dxfId="1123" priority="117">
      <formula>AND(COUNT(D19:D22)&lt;2,IF(ISNUMBER(C19),C22&gt;C19))</formula>
    </cfRule>
  </conditionalFormatting>
  <conditionalFormatting sqref="D19:D22">
    <cfRule type="aboveAverage" dxfId="1122" priority="116"/>
  </conditionalFormatting>
  <conditionalFormatting sqref="E28">
    <cfRule type="expression" dxfId="1121" priority="115">
      <formula>AND(COUNT(E25:E28)&lt;2,IF(ISNUMBER(C28),C25&gt;C28))</formula>
    </cfRule>
  </conditionalFormatting>
  <conditionalFormatting sqref="E25">
    <cfRule type="expression" dxfId="1120" priority="114">
      <formula>AND(COUNT(E25:E28)&lt;2,IF(ISNUMBER(C25),C28&gt;C25))</formula>
    </cfRule>
  </conditionalFormatting>
  <conditionalFormatting sqref="E26">
    <cfRule type="expression" dxfId="1119" priority="113">
      <formula>AND(COUNT(E25:E28)&lt;2,IF(ISNUMBER(C26),C27&gt;C26))</formula>
    </cfRule>
  </conditionalFormatting>
  <conditionalFormatting sqref="E27">
    <cfRule type="expression" dxfId="1118" priority="112">
      <formula>AND(COUNT(E25:E28)&lt;2,IF(ISNUMBER(C27),C26&gt;C27))</formula>
    </cfRule>
  </conditionalFormatting>
  <conditionalFormatting sqref="E25:E28">
    <cfRule type="aboveAverage" dxfId="1117" priority="111"/>
  </conditionalFormatting>
  <conditionalFormatting sqref="F25">
    <cfRule type="expression" dxfId="1116" priority="106">
      <formula>AND(COUNT(F25:F28)&lt;2,IF(COUNT(E25:E28)=2,IF(AND(ISNUMBER(E25),COUNTIF(E25:E28,E25)=1,E25=MAX(E25:E28)),TRUE,FALSE)))</formula>
    </cfRule>
    <cfRule type="expression" dxfId="1115" priority="110">
      <formula>AND(COUNT(F25:F28)&lt;2,IF(COUNT(D25:D28)=2,IF(AND(ISNUMBER(D25),COUNTIF(D25:D28,D25)=1,D25=MIN(D25:D28)),TRUE,FALSE)))</formula>
    </cfRule>
  </conditionalFormatting>
  <conditionalFormatting sqref="F26">
    <cfRule type="expression" dxfId="1114" priority="105">
      <formula>AND(COUNT(F25:F28)&lt;2,IF(COUNT(E25:E28)=2,IF(AND(ISNUMBER(E26),COUNTIF(E25:E28,E26)=1,E26=MAX(E25:E28)),TRUE,FALSE)))</formula>
    </cfRule>
    <cfRule type="expression" dxfId="1113" priority="109">
      <formula>AND(COUNT(F25:F28)&lt;2,IF(COUNT(D25:D28)=2,IF(AND(ISNUMBER(D26),COUNTIF(D25:D28,D26)=1,D26=MIN(D25:D28)),TRUE,FALSE)))</formula>
    </cfRule>
  </conditionalFormatting>
  <conditionalFormatting sqref="F27">
    <cfRule type="expression" dxfId="1112" priority="104">
      <formula>AND(COUNT(F25:F28)&lt;2,IF(COUNT(E25:E28)=2,IF(AND(ISNUMBER(E27),COUNTIF(E25:E28,E27)=1,E27=MAX(E25:E28)),TRUE,FALSE)))</formula>
    </cfRule>
    <cfRule type="expression" dxfId="1111" priority="108">
      <formula>AND(COUNT(F25:F28)&lt;2,IF(COUNT(D25:D28)=2,IF(AND(ISNUMBER(D27),COUNTIF(D25:D28,D27)=1,D27=MIN(D25:D28)),TRUE,FALSE)))</formula>
    </cfRule>
  </conditionalFormatting>
  <conditionalFormatting sqref="F28">
    <cfRule type="expression" dxfId="1110" priority="103">
      <formula>AND(COUNT(F25:F28)&lt;2,IF(COUNT(E25:E28)=2,IF(AND(ISNUMBER(E28),COUNTIF(E25:E28,E28)=1,E28=MAX(E25:E28)),TRUE,FALSE)))</formula>
    </cfRule>
    <cfRule type="expression" dxfId="1109" priority="107">
      <formula>AND(COUNT(F25:F28)&lt;2,IF(COUNT(D25:D28)=2,IF(AND(ISNUMBER(D28),COUNTIF(D25:D28,D28)=1,D28=MIN(D25:D28)),TRUE,FALSE)))</formula>
    </cfRule>
  </conditionalFormatting>
  <conditionalFormatting sqref="F25:F28">
    <cfRule type="aboveAverage" dxfId="1108" priority="102"/>
  </conditionalFormatting>
  <conditionalFormatting sqref="D25">
    <cfRule type="expression" dxfId="1107" priority="101">
      <formula>AND(COUNT(D25:D28)&lt;2,IF(ISNUMBER(C28),C25&gt;C28))</formula>
    </cfRule>
  </conditionalFormatting>
  <conditionalFormatting sqref="D26">
    <cfRule type="expression" dxfId="1106" priority="100">
      <formula>AND(COUNT(D25:D28)&lt;2,IF(ISNUMBER(C27),C26&gt;C27))</formula>
    </cfRule>
  </conditionalFormatting>
  <conditionalFormatting sqref="D27">
    <cfRule type="expression" dxfId="1105" priority="99">
      <formula>AND(COUNT(D25:D28)&lt;2,IF(ISNUMBER(C26),C27&gt;C26))</formula>
    </cfRule>
  </conditionalFormatting>
  <conditionalFormatting sqref="D28">
    <cfRule type="expression" dxfId="1104" priority="98">
      <formula>AND(COUNT(D25:D28)&lt;2,IF(ISNUMBER(C25),C28&gt;C25))</formula>
    </cfRule>
  </conditionalFormatting>
  <conditionalFormatting sqref="D25:D28">
    <cfRule type="aboveAverage" dxfId="1103" priority="97"/>
  </conditionalFormatting>
  <conditionalFormatting sqref="E34">
    <cfRule type="expression" dxfId="1102" priority="96">
      <formula>AND(COUNT(E31:E34)&lt;2,IF(ISNUMBER(C34),C31&gt;C34))</formula>
    </cfRule>
  </conditionalFormatting>
  <conditionalFormatting sqref="E31">
    <cfRule type="expression" dxfId="1101" priority="95">
      <formula>AND(COUNT(E31:E34)&lt;2,IF(ISNUMBER(C31),C34&gt;C31))</formula>
    </cfRule>
  </conditionalFormatting>
  <conditionalFormatting sqref="E32">
    <cfRule type="expression" dxfId="1100" priority="94">
      <formula>AND(COUNT(E31:E34)&lt;2,IF(ISNUMBER(C32),C33&gt;C32))</formula>
    </cfRule>
  </conditionalFormatting>
  <conditionalFormatting sqref="E33">
    <cfRule type="expression" dxfId="1099" priority="93">
      <formula>AND(COUNT(E31:E34)&lt;2,IF(ISNUMBER(C33),C32&gt;C33))</formula>
    </cfRule>
  </conditionalFormatting>
  <conditionalFormatting sqref="E31:E34">
    <cfRule type="aboveAverage" dxfId="1098" priority="92"/>
  </conditionalFormatting>
  <conditionalFormatting sqref="F31">
    <cfRule type="expression" dxfId="1097" priority="87">
      <formula>AND(COUNT(F31:F34)&lt;2,IF(COUNT(E31:E34)=2,IF(AND(ISNUMBER(E31),COUNTIF(E31:E34,E31)=1,E31=MAX(E31:E34)),TRUE,FALSE)))</formula>
    </cfRule>
    <cfRule type="expression" dxfId="1096" priority="91">
      <formula>AND(COUNT(F31:F34)&lt;2,IF(COUNT(D31:D34)=2,IF(AND(ISNUMBER(D31),COUNTIF(D31:D34,D31)=1,D31=MIN(D31:D34)),TRUE,FALSE)))</formula>
    </cfRule>
  </conditionalFormatting>
  <conditionalFormatting sqref="F32">
    <cfRule type="expression" dxfId="1095" priority="86">
      <formula>AND(COUNT(F31:F34)&lt;2,IF(COUNT(E31:E34)=2,IF(AND(ISNUMBER(E32),COUNTIF(E31:E34,E32)=1,E32=MAX(E31:E34)),TRUE,FALSE)))</formula>
    </cfRule>
    <cfRule type="expression" dxfId="1094" priority="90">
      <formula>AND(COUNT(F31:F34)&lt;2,IF(COUNT(D31:D34)=2,IF(AND(ISNUMBER(D32),COUNTIF(D31:D34,D32)=1,D32=MIN(D31:D34)),TRUE,FALSE)))</formula>
    </cfRule>
  </conditionalFormatting>
  <conditionalFormatting sqref="F33">
    <cfRule type="expression" dxfId="1093" priority="85">
      <formula>AND(COUNT(F31:F34)&lt;2,IF(COUNT(E31:E34)=2,IF(AND(ISNUMBER(E33),COUNTIF(E31:E34,E33)=1,E33=MAX(E31:E34)),TRUE,FALSE)))</formula>
    </cfRule>
    <cfRule type="expression" dxfId="1092" priority="89">
      <formula>AND(COUNT(F31:F34)&lt;2,IF(COUNT(D31:D34)=2,IF(AND(ISNUMBER(D33),COUNTIF(D31:D34,D33)=1,D33=MIN(D31:D34)),TRUE,FALSE)))</formula>
    </cfRule>
  </conditionalFormatting>
  <conditionalFormatting sqref="F34">
    <cfRule type="expression" dxfId="1091" priority="84">
      <formula>AND(COUNT(F31:F34)&lt;2,IF(COUNT(E31:E34)=2,IF(AND(ISNUMBER(E34),COUNTIF(E31:E34,E34)=1,E34=MAX(E31:E34)),TRUE,FALSE)))</formula>
    </cfRule>
    <cfRule type="expression" dxfId="1090" priority="88">
      <formula>AND(COUNT(F31:F34)&lt;2,IF(COUNT(D31:D34)=2,IF(AND(ISNUMBER(D34),COUNTIF(D31:D34,D34)=1,D34=MIN(D31:D34)),TRUE,FALSE)))</formula>
    </cfRule>
  </conditionalFormatting>
  <conditionalFormatting sqref="F31:F34">
    <cfRule type="aboveAverage" dxfId="1089" priority="83"/>
  </conditionalFormatting>
  <conditionalFormatting sqref="D31">
    <cfRule type="expression" dxfId="1088" priority="82">
      <formula>AND(COUNT(D31:D34)&lt;2,IF(ISNUMBER(C34),C31&gt;C34))</formula>
    </cfRule>
  </conditionalFormatting>
  <conditionalFormatting sqref="D32">
    <cfRule type="expression" dxfId="1087" priority="81">
      <formula>AND(COUNT(D31:D34)&lt;2,IF(ISNUMBER(C33),C32&gt;C33))</formula>
    </cfRule>
  </conditionalFormatting>
  <conditionalFormatting sqref="D33">
    <cfRule type="expression" dxfId="1086" priority="80">
      <formula>AND(COUNT(D31:D34)&lt;2,IF(ISNUMBER(C32),C33&gt;C32))</formula>
    </cfRule>
  </conditionalFormatting>
  <conditionalFormatting sqref="D34">
    <cfRule type="expression" dxfId="1085" priority="79">
      <formula>AND(COUNT(D31:D34)&lt;2,IF(ISNUMBER(C31),C34&gt;C31))</formula>
    </cfRule>
  </conditionalFormatting>
  <conditionalFormatting sqref="D31:D34">
    <cfRule type="aboveAverage" dxfId="1084" priority="78"/>
  </conditionalFormatting>
  <conditionalFormatting sqref="E40">
    <cfRule type="expression" dxfId="1083" priority="77">
      <formula>AND(COUNT(E37:E40)&lt;2,IF(ISNUMBER(C40),C37&gt;C40))</formula>
    </cfRule>
  </conditionalFormatting>
  <conditionalFormatting sqref="E37">
    <cfRule type="expression" dxfId="1082" priority="76">
      <formula>AND(COUNT(E37:E40)&lt;2,IF(ISNUMBER(C37),C40&gt;C37))</formula>
    </cfRule>
  </conditionalFormatting>
  <conditionalFormatting sqref="E38">
    <cfRule type="expression" dxfId="1081" priority="75">
      <formula>AND(COUNT(E37:E40)&lt;2,IF(ISNUMBER(C38),C39&gt;C38))</formula>
    </cfRule>
  </conditionalFormatting>
  <conditionalFormatting sqref="E39">
    <cfRule type="expression" dxfId="1080" priority="74">
      <formula>AND(COUNT(E37:E40)&lt;2,IF(ISNUMBER(C39),C38&gt;C39))</formula>
    </cfRule>
  </conditionalFormatting>
  <conditionalFormatting sqref="E37:E40">
    <cfRule type="aboveAverage" dxfId="1079" priority="73"/>
  </conditionalFormatting>
  <conditionalFormatting sqref="F37">
    <cfRule type="expression" dxfId="1078" priority="68">
      <formula>AND(COUNT(F37:F40)&lt;2,IF(COUNT(E37:E40)=2,IF(AND(ISNUMBER(E37),COUNTIF(E37:E40,E37)=1,E37=MAX(E37:E40)),TRUE,FALSE)))</formula>
    </cfRule>
    <cfRule type="expression" dxfId="1077" priority="72">
      <formula>AND(COUNT(F37:F40)&lt;2,IF(COUNT(D37:D40)=2,IF(AND(ISNUMBER(D37),COUNTIF(D37:D40,D37)=1,D37=MIN(D37:D40)),TRUE,FALSE)))</formula>
    </cfRule>
  </conditionalFormatting>
  <conditionalFormatting sqref="F38">
    <cfRule type="expression" dxfId="1076" priority="67">
      <formula>AND(COUNT(F37:F40)&lt;2,IF(COUNT(E37:E40)=2,IF(AND(ISNUMBER(E38),COUNTIF(E37:E40,E38)=1,E38=MAX(E37:E40)),TRUE,FALSE)))</formula>
    </cfRule>
    <cfRule type="expression" dxfId="1075" priority="71">
      <formula>AND(COUNT(F37:F40)&lt;2,IF(COUNT(D37:D40)=2,IF(AND(ISNUMBER(D38),COUNTIF(D37:D40,D38)=1,D38=MIN(D37:D40)),TRUE,FALSE)))</formula>
    </cfRule>
  </conditionalFormatting>
  <conditionalFormatting sqref="F39">
    <cfRule type="expression" dxfId="1074" priority="66">
      <formula>AND(COUNT(F37:F40)&lt;2,IF(COUNT(E37:E40)=2,IF(AND(ISNUMBER(E39),COUNTIF(E37:E40,E39)=1,E39=MAX(E37:E40)),TRUE,FALSE)))</formula>
    </cfRule>
    <cfRule type="expression" dxfId="1073" priority="70">
      <formula>AND(COUNT(F37:F40)&lt;2,IF(COUNT(D37:D40)=2,IF(AND(ISNUMBER(D39),COUNTIF(D37:D40,D39)=1,D39=MIN(D37:D40)),TRUE,FALSE)))</formula>
    </cfRule>
  </conditionalFormatting>
  <conditionalFormatting sqref="F40">
    <cfRule type="expression" dxfId="1072" priority="65">
      <formula>AND(COUNT(F37:F40)&lt;2,IF(COUNT(E37:E40)=2,IF(AND(ISNUMBER(E40),COUNTIF(E37:E40,E40)=1,E40=MAX(E37:E40)),TRUE,FALSE)))</formula>
    </cfRule>
    <cfRule type="expression" dxfId="1071" priority="69">
      <formula>AND(COUNT(F37:F40)&lt;2,IF(COUNT(D37:D40)=2,IF(AND(ISNUMBER(D40),COUNTIF(D37:D40,D40)=1,D40=MIN(D37:D40)),TRUE,FALSE)))</formula>
    </cfRule>
  </conditionalFormatting>
  <conditionalFormatting sqref="F37:F40">
    <cfRule type="aboveAverage" dxfId="1070" priority="64"/>
  </conditionalFormatting>
  <conditionalFormatting sqref="D37">
    <cfRule type="expression" dxfId="1069" priority="63">
      <formula>AND(COUNT(D37:D40)&lt;2,IF(ISNUMBER(C40),C37&gt;C40))</formula>
    </cfRule>
  </conditionalFormatting>
  <conditionalFormatting sqref="D38">
    <cfRule type="expression" dxfId="1068" priority="62">
      <formula>AND(COUNT(D37:D40)&lt;2,IF(ISNUMBER(C39),C38&gt;C39))</formula>
    </cfRule>
  </conditionalFormatting>
  <conditionalFormatting sqref="D39">
    <cfRule type="expression" dxfId="1067" priority="61">
      <formula>AND(COUNT(D37:D40)&lt;2,IF(ISNUMBER(C38),C39&gt;C38))</formula>
    </cfRule>
  </conditionalFormatting>
  <conditionalFormatting sqref="D40">
    <cfRule type="expression" dxfId="1066" priority="60">
      <formula>AND(COUNT(D37:D40)&lt;2,IF(ISNUMBER(C37),C40&gt;C37))</formula>
    </cfRule>
  </conditionalFormatting>
  <conditionalFormatting sqref="D37:D40">
    <cfRule type="aboveAverage" dxfId="1065" priority="59"/>
  </conditionalFormatting>
  <conditionalFormatting sqref="B300:B307">
    <cfRule type="containsBlanks" dxfId="1064" priority="7189">
      <formula>LEN(TRIM(B300))=0</formula>
    </cfRule>
    <cfRule type="duplicateValues" dxfId="1063" priority="7190"/>
  </conditionalFormatting>
  <conditionalFormatting sqref="T7:T34 T37:T40">
    <cfRule type="expression" dxfId="1062" priority="20">
      <formula>AND(U7="",COUNTIF(T7,"*,*")=0)</formula>
    </cfRule>
  </conditionalFormatting>
  <conditionalFormatting sqref="R7:R34 R37:R40">
    <cfRule type="expression" dxfId="1061" priority="19">
      <formula>AND(S7="",COUNTIF(R7,"*,*")=0)</formula>
    </cfRule>
  </conditionalFormatting>
  <conditionalFormatting sqref="N7:N40">
    <cfRule type="expression" dxfId="1060" priority="18">
      <formula>AND(O7="",COUNTIF(N7,"*,*")=0)</formula>
    </cfRule>
  </conditionalFormatting>
  <conditionalFormatting sqref="P7:P40">
    <cfRule type="expression" dxfId="1059" priority="16">
      <formula>AND(Q7="",FIND(",",P7))</formula>
    </cfRule>
    <cfRule type="expression" dxfId="1058" priority="17">
      <formula>AND(Q7="",COUNTIF(P7,"*,*")=0)</formula>
    </cfRule>
  </conditionalFormatting>
  <conditionalFormatting sqref="B318">
    <cfRule type="duplicateValues" dxfId="1057" priority="15"/>
  </conditionalFormatting>
  <conditionalFormatting sqref="B308:B311">
    <cfRule type="containsBlanks" dxfId="1056" priority="13">
      <formula>LEN(TRIM(B308))=0</formula>
    </cfRule>
    <cfRule type="duplicateValues" dxfId="1055" priority="14"/>
  </conditionalFormatting>
  <conditionalFormatting sqref="B312">
    <cfRule type="duplicateValues" dxfId="1054" priority="6"/>
  </conditionalFormatting>
  <conditionalFormatting sqref="B313">
    <cfRule type="duplicateValues" dxfId="1053" priority="5"/>
  </conditionalFormatting>
  <conditionalFormatting sqref="B314">
    <cfRule type="duplicateValues" dxfId="1052" priority="4"/>
  </conditionalFormatting>
  <conditionalFormatting sqref="B315">
    <cfRule type="duplicateValues" dxfId="1051" priority="3"/>
  </conditionalFormatting>
  <conditionalFormatting sqref="B316">
    <cfRule type="duplicateValues" dxfId="1050" priority="2"/>
  </conditionalFormatting>
  <conditionalFormatting sqref="B317">
    <cfRule type="duplicateValues" dxfId="1049"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3" manualBreakCount="3">
    <brk id="40" max="16383" man="1"/>
    <brk id="78" max="16383" man="1"/>
    <brk id="9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2"/>
  <sheetViews>
    <sheetView showGridLines="0" showRowColHeader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79" customWidth="1"/>
    <col min="2" max="2" width="39.570312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1" width="9.140625" style="79" customWidth="1"/>
    <col min="12" max="16384" width="9.140625" style="79"/>
  </cols>
  <sheetData>
    <row r="1" spans="1:11" x14ac:dyDescent="0.2">
      <c r="A1" s="72" t="str">
        <f>UPPER((Kalend!E17)&amp;" - "&amp;(Kalend!C17)&amp;" - "&amp;(Kalend!D17))</f>
        <v>6 - EESTI REITINGUVÕISTLUS - TRIO</v>
      </c>
      <c r="D1" s="41" t="str">
        <f>HYPERLINK("#'Kalend'!I1","Kalender")</f>
        <v>Kalender</v>
      </c>
      <c r="F1" s="41" t="str">
        <f>HYPERLINK("#Üldreiting!W1","Reiting")</f>
        <v>Reiting</v>
      </c>
    </row>
    <row r="2" spans="1:11" x14ac:dyDescent="0.2">
      <c r="A2" s="79" t="str">
        <f>"Toimumisaeg: "&amp;(Kalend!A17)&amp;" kell "&amp;(Kalend!B17)</f>
        <v>Toimumisaeg: P, 07.01.2018 kell 10:00</v>
      </c>
    </row>
    <row r="3" spans="1:11" x14ac:dyDescent="0.2">
      <c r="A3" s="79" t="str">
        <f>"Toimumiskoht: "&amp;(Kalend!F17)</f>
        <v>Toimumiskoht: K-Järve petangihall</v>
      </c>
    </row>
    <row r="4" spans="1:11" x14ac:dyDescent="0.2">
      <c r="A4" s="79" t="str">
        <f>"Korraldaja: "&amp;(Kalend!G17)</f>
        <v>Korraldaja: EPKL, K-Järve SHK</v>
      </c>
    </row>
    <row r="5" spans="1:11" x14ac:dyDescent="0.2">
      <c r="H5" s="42"/>
      <c r="I5" s="42"/>
      <c r="J5" s="42"/>
      <c r="K5" s="42"/>
    </row>
    <row r="6" spans="1:11" s="30" customFormat="1" x14ac:dyDescent="0.2">
      <c r="A6" s="296" t="s">
        <v>291</v>
      </c>
      <c r="B6" s="351"/>
      <c r="C6" s="31" t="s">
        <v>232</v>
      </c>
      <c r="D6" s="296" t="s">
        <v>61</v>
      </c>
      <c r="E6" s="296" t="s">
        <v>62</v>
      </c>
      <c r="F6" s="31" t="s">
        <v>63</v>
      </c>
      <c r="G6" s="31" t="s">
        <v>19</v>
      </c>
      <c r="H6" s="42"/>
      <c r="I6" s="42"/>
      <c r="J6" s="42"/>
      <c r="K6" s="42"/>
    </row>
    <row r="7" spans="1:11" s="30" customFormat="1" x14ac:dyDescent="0.2">
      <c r="A7" s="296">
        <v>1</v>
      </c>
      <c r="B7" s="186" t="s">
        <v>540</v>
      </c>
      <c r="C7" s="124">
        <v>13</v>
      </c>
      <c r="D7" s="124">
        <v>13</v>
      </c>
      <c r="E7" s="32"/>
      <c r="F7" s="314"/>
      <c r="G7" s="32" t="str">
        <f>IF(AND(COUNT(F7:F10)=2,F7=MAX(F7:F10),COUNT(C7:F7)=3),A6&amp;"2",IF(AND(COUNT(E7:E10)=2,ISNUMBER(E7),E7=MIN(E7:E10),D7="",F7=""),A6&amp;"4",IF(AND(COUNT(D7:D10)=2,D7=MAX(D7:D10),E7="",F7=""),A6&amp;"1",IF(COUNT(F7:F10)=2,A6&amp;"3",""))))</f>
        <v>A1</v>
      </c>
      <c r="H7" s="42"/>
      <c r="I7" s="42"/>
      <c r="J7" s="42"/>
      <c r="K7" s="42"/>
    </row>
    <row r="8" spans="1:11" s="30" customFormat="1" x14ac:dyDescent="0.2">
      <c r="A8" s="296">
        <v>2</v>
      </c>
      <c r="B8" s="122" t="s">
        <v>704</v>
      </c>
      <c r="C8" s="336">
        <v>13</v>
      </c>
      <c r="D8" s="124">
        <v>7</v>
      </c>
      <c r="E8" s="32" t="str">
        <f>IF(AND(B10="-",ISNUMBER(C8),C8&lt;C9),13,"")</f>
        <v/>
      </c>
      <c r="F8" s="314">
        <v>13</v>
      </c>
      <c r="G8" s="32" t="str">
        <f>IF(AND(COUNT(F7:F10)=2,F8=MAX(F7:F10),COUNT(C8:F8)=3),A6&amp;"2",IF(AND(COUNT(E7:E10)=2,ISNUMBER(E8),E8=MIN(E7:E10),D8="",F8=""),A6&amp;"4",IF(AND(COUNT(D7:D10)=2,D8=MAX(D7:D10),E8="",F8=""),A6&amp;"1",IF(COUNT(F7:F10)=2,A6&amp;"3",""))))</f>
        <v>A2</v>
      </c>
      <c r="H8" s="42"/>
      <c r="I8" s="42"/>
      <c r="J8" s="42"/>
      <c r="K8" s="42"/>
    </row>
    <row r="9" spans="1:11" s="30" customFormat="1" x14ac:dyDescent="0.2">
      <c r="A9" s="296">
        <v>3</v>
      </c>
      <c r="B9" s="122" t="s">
        <v>707</v>
      </c>
      <c r="C9" s="336">
        <v>4</v>
      </c>
      <c r="D9" s="32"/>
      <c r="E9" s="32">
        <v>9</v>
      </c>
      <c r="F9" s="314"/>
      <c r="G9" s="32" t="str">
        <f>IF(AND(COUNT(F7:F10)=2,F9=MAX(F7:F10),COUNT(C9:F9)=3),A6&amp;"2",IF(AND(COUNT(E7:E10)=2,ISNUMBER(E9),E9=MIN(E7:E10),D9="",F9=""),A6&amp;"4",IF(AND(COUNT(D7:D10)=2,D9=MAX(D7:D10),E9="",F9=""),A6&amp;"1",IF(COUNT(F7:F10)=2,A6&amp;"3",""))))</f>
        <v>A4</v>
      </c>
      <c r="H9" s="42"/>
      <c r="I9" s="42"/>
      <c r="J9" s="42"/>
      <c r="K9" s="42"/>
    </row>
    <row r="10" spans="1:11" s="30" customFormat="1" x14ac:dyDescent="0.2">
      <c r="A10" s="296">
        <v>4</v>
      </c>
      <c r="B10" s="123" t="s">
        <v>708</v>
      </c>
      <c r="C10" s="124">
        <v>9</v>
      </c>
      <c r="D10" s="124"/>
      <c r="E10" s="32">
        <v>13</v>
      </c>
      <c r="F10" s="314">
        <v>6</v>
      </c>
      <c r="G10" s="32" t="str">
        <f>IF(AND(COUNT(F7:F10)=2,F10=MAX(F7:F10),COUNT(C10:F10)=3),A6&amp;"2",IF(AND(COUNT(E7:E10)=2,ISNUMBER(E10),E10=MIN(E7:E10),D10="",F10=""),A6&amp;"4",IF(AND(COUNT(D7:D10)=2,D10=MAX(D7:D10),E10="",F10=""),A6&amp;"1",IF(COUNT(F7:F10)=2,A6&amp;"3",""))))</f>
        <v>A3</v>
      </c>
      <c r="H10" s="42"/>
      <c r="I10" s="42"/>
      <c r="J10" s="42"/>
      <c r="K10" s="42"/>
    </row>
    <row r="11" spans="1:11" x14ac:dyDescent="0.2">
      <c r="B11" s="353" t="s">
        <v>81</v>
      </c>
      <c r="G11" s="353" t="s">
        <v>81</v>
      </c>
      <c r="H11" s="42"/>
      <c r="I11" s="42"/>
      <c r="J11" s="42"/>
      <c r="K11" s="42"/>
    </row>
    <row r="12" spans="1:11" s="30" customFormat="1" x14ac:dyDescent="0.2">
      <c r="A12" s="296" t="s">
        <v>275</v>
      </c>
      <c r="B12" s="351"/>
      <c r="C12" s="31" t="s">
        <v>232</v>
      </c>
      <c r="D12" s="296" t="s">
        <v>61</v>
      </c>
      <c r="E12" s="296" t="s">
        <v>62</v>
      </c>
      <c r="F12" s="31" t="s">
        <v>63</v>
      </c>
      <c r="G12" s="31" t="s">
        <v>19</v>
      </c>
      <c r="H12" s="42"/>
      <c r="I12" s="42"/>
      <c r="J12" s="42"/>
      <c r="K12" s="42"/>
    </row>
    <row r="13" spans="1:11" s="30" customFormat="1" x14ac:dyDescent="0.2">
      <c r="A13" s="296">
        <v>1</v>
      </c>
      <c r="B13" s="186" t="s">
        <v>700</v>
      </c>
      <c r="C13" s="124">
        <f>IF(B16="-",13,"")</f>
        <v>13</v>
      </c>
      <c r="D13" s="124">
        <v>13</v>
      </c>
      <c r="E13" s="32"/>
      <c r="F13" s="314"/>
      <c r="G13" s="32" t="str">
        <f>IF(AND(COUNT(F13:F16)=2,F13=MAX(F13:F16),COUNT(C13:F13)=3),A12&amp;"2",IF(AND(COUNT(E13:E16)=2,ISNUMBER(E13),E13=MIN(E13:E16),D13="",F13=""),A12&amp;"4",IF(AND(COUNT(D13:D16)=2,D13=MAX(D13:D16),E13="",F13=""),A12&amp;"1",IF(COUNT(F13:F16)=2,A12&amp;"3",""))))</f>
        <v>B1</v>
      </c>
      <c r="H13" s="42"/>
      <c r="I13" s="42"/>
      <c r="J13" s="42"/>
      <c r="K13" s="42"/>
    </row>
    <row r="14" spans="1:11" s="30" customFormat="1" x14ac:dyDescent="0.2">
      <c r="A14" s="296">
        <v>2</v>
      </c>
      <c r="B14" s="122" t="s">
        <v>703</v>
      </c>
      <c r="C14" s="336">
        <v>4</v>
      </c>
      <c r="D14" s="124"/>
      <c r="E14" s="32">
        <f>IF(AND(B16="-",ISNUMBER(C14),C14&lt;C15),13,"")</f>
        <v>13</v>
      </c>
      <c r="F14" s="314">
        <v>13</v>
      </c>
      <c r="G14" s="32" t="str">
        <f>IF(AND(COUNT(F13:F16)=2,F14=MAX(F13:F16),COUNT(C14:F14)=3),A12&amp;"2",IF(AND(COUNT(E13:E16)=2,ISNUMBER(E14),E14=MIN(E13:E16),D14="",F14=""),A12&amp;"4",IF(AND(COUNT(D13:D16)=2,D14=MAX(D13:D16),E14="",F14=""),A12&amp;"1",IF(COUNT(F13:F16)=2,A12&amp;"3",""))))</f>
        <v>B2</v>
      </c>
      <c r="H14" s="42"/>
      <c r="I14" s="42"/>
      <c r="J14" s="42"/>
      <c r="K14" s="42"/>
    </row>
    <row r="15" spans="1:11" s="30" customFormat="1" x14ac:dyDescent="0.2">
      <c r="A15" s="296">
        <v>3</v>
      </c>
      <c r="B15" s="122" t="s">
        <v>706</v>
      </c>
      <c r="C15" s="336">
        <v>13</v>
      </c>
      <c r="D15" s="32">
        <v>2</v>
      </c>
      <c r="E15" s="32" t="str">
        <f>IF(AND(B16="-",ISNUMBER(C15),C15&lt;C14),13,"")</f>
        <v/>
      </c>
      <c r="F15" s="314">
        <v>4</v>
      </c>
      <c r="G15" s="32" t="str">
        <f>IF(AND(COUNT(F13:F16)=2,F15=MAX(F13:F16),COUNT(C15:F15)=3),A12&amp;"2",IF(AND(COUNT(E13:E16)=2,ISNUMBER(E15),E15=MIN(E13:E16),D15="",F15=""),A12&amp;"4",IF(AND(COUNT(D13:D16)=2,D15=MAX(D13:D16),E15="",F15=""),A12&amp;"1",IF(COUNT(F13:F16)=2,A12&amp;"3",""))))</f>
        <v>B3</v>
      </c>
      <c r="H15" s="42"/>
      <c r="I15" s="42"/>
      <c r="J15" s="42"/>
      <c r="K15" s="42"/>
    </row>
    <row r="16" spans="1:11" s="30" customFormat="1" x14ac:dyDescent="0.2">
      <c r="A16" s="296">
        <v>4</v>
      </c>
      <c r="B16" s="123" t="s">
        <v>81</v>
      </c>
      <c r="C16" s="124">
        <f>IF(B16="-",0,"")</f>
        <v>0</v>
      </c>
      <c r="D16" s="124"/>
      <c r="E16" s="32">
        <f>IF(B16="-",0,"")</f>
        <v>0</v>
      </c>
      <c r="F16" s="314"/>
      <c r="G16" s="32" t="str">
        <f>IF(AND(COUNT(F13:F16)=2,F16=MAX(F13:F16),COUNT(C16:F16)=3),A12&amp;"2",IF(AND(COUNT(E13:E16)=2,ISNUMBER(E16),E16=MIN(E13:E16),D16="",F16=""),A12&amp;"4",IF(AND(COUNT(D13:D16)=2,D16=MAX(D13:D16),E16="",F16=""),A12&amp;"1",IF(COUNT(F13:F16)=2,A12&amp;"3",""))))</f>
        <v>B4</v>
      </c>
      <c r="H16" s="42"/>
      <c r="I16" s="42"/>
      <c r="J16" s="42"/>
      <c r="K16" s="42"/>
    </row>
    <row r="17" spans="1:11" x14ac:dyDescent="0.2">
      <c r="H17" s="42"/>
      <c r="I17" s="42"/>
      <c r="J17" s="42"/>
      <c r="K17" s="42"/>
    </row>
    <row r="18" spans="1:11" s="30" customFormat="1" x14ac:dyDescent="0.2">
      <c r="A18" s="296" t="s">
        <v>292</v>
      </c>
      <c r="B18" s="351"/>
      <c r="C18" s="31" t="s">
        <v>232</v>
      </c>
      <c r="D18" s="296" t="s">
        <v>61</v>
      </c>
      <c r="E18" s="296" t="s">
        <v>62</v>
      </c>
      <c r="F18" s="31" t="s">
        <v>63</v>
      </c>
      <c r="G18" s="31" t="s">
        <v>19</v>
      </c>
      <c r="H18" s="42"/>
      <c r="I18" s="42"/>
      <c r="J18" s="42"/>
      <c r="K18" s="42"/>
    </row>
    <row r="19" spans="1:11" s="30" customFormat="1" x14ac:dyDescent="0.2">
      <c r="A19" s="296">
        <v>1</v>
      </c>
      <c r="B19" s="186" t="s">
        <v>701</v>
      </c>
      <c r="C19" s="124">
        <f>IF(B22="-",13,"")</f>
        <v>13</v>
      </c>
      <c r="D19" s="124">
        <v>8</v>
      </c>
      <c r="E19" s="32"/>
      <c r="F19" s="314">
        <v>0</v>
      </c>
      <c r="G19" s="32" t="str">
        <f>IF(AND(COUNT(F19:F22)=2,F19=MAX(F19:F22),COUNT(C19:F19)=3),A18&amp;"2",IF(AND(COUNT(E19:E22)=2,ISNUMBER(E19),E19=MIN(E19:E22),D19="",F19=""),A18&amp;"4",IF(AND(COUNT(D19:D22)=2,D19=MAX(D19:D22),E19="",F19=""),A18&amp;"1",IF(COUNT(F19:F22)=2,A18&amp;"3",""))))</f>
        <v>C3</v>
      </c>
      <c r="H19" s="42"/>
      <c r="I19" s="42"/>
      <c r="J19" s="42"/>
      <c r="K19" s="42"/>
    </row>
    <row r="20" spans="1:11" s="30" customFormat="1" x14ac:dyDescent="0.2">
      <c r="A20" s="296">
        <v>2</v>
      </c>
      <c r="B20" s="122" t="s">
        <v>705</v>
      </c>
      <c r="C20" s="336">
        <v>9</v>
      </c>
      <c r="D20" s="124">
        <v>13</v>
      </c>
      <c r="E20" s="32" t="str">
        <f>IF(AND(B22="-",ISNUMBER(C20),C20&lt;C21),13,"")</f>
        <v/>
      </c>
      <c r="F20" s="314"/>
      <c r="G20" s="32" t="str">
        <f>IF(AND(COUNT(F19:F22)=2,F20=MAX(F19:F22),COUNT(C20:F20)=3),A18&amp;"2",IF(AND(COUNT(E19:E22)=2,ISNUMBER(E20),E20=MIN(E19:E22),D20="",F20=""),A18&amp;"4",IF(AND(COUNT(D19:D22)=2,D20=MAX(D19:D22),E20="",F20=""),A18&amp;"1",IF(COUNT(F19:F22)=2,A18&amp;"3",""))))</f>
        <v>C1</v>
      </c>
      <c r="H20" s="42"/>
      <c r="I20" s="42"/>
      <c r="J20" s="42"/>
      <c r="K20" s="42"/>
    </row>
    <row r="21" spans="1:11" s="30" customFormat="1" x14ac:dyDescent="0.2">
      <c r="A21" s="296">
        <v>3</v>
      </c>
      <c r="B21" s="122" t="s">
        <v>539</v>
      </c>
      <c r="C21" s="336">
        <v>7</v>
      </c>
      <c r="D21" s="32"/>
      <c r="E21" s="32">
        <f>IF(AND(B22="-",ISNUMBER(C21),C21&lt;C20),13,"")</f>
        <v>13</v>
      </c>
      <c r="F21" s="314">
        <v>13</v>
      </c>
      <c r="G21" s="32" t="str">
        <f>IF(AND(COUNT(F19:F22)=2,F21=MAX(F19:F22),COUNT(C21:F21)=3),A18&amp;"2",IF(AND(COUNT(E19:E22)=2,ISNUMBER(E21),E21=MIN(E19:E22),D21="",F21=""),A18&amp;"4",IF(AND(COUNT(D19:D22)=2,D21=MAX(D19:D22),E21="",F21=""),A18&amp;"1",IF(COUNT(F19:F22)=2,A18&amp;"3",""))))</f>
        <v>C2</v>
      </c>
      <c r="H21" s="42"/>
      <c r="I21" s="42"/>
      <c r="J21" s="42"/>
      <c r="K21" s="42"/>
    </row>
    <row r="22" spans="1:11" s="30" customFormat="1" x14ac:dyDescent="0.2">
      <c r="A22" s="296">
        <v>4</v>
      </c>
      <c r="B22" s="123" t="s">
        <v>81</v>
      </c>
      <c r="C22" s="124">
        <f>IF(B22="-",0,"")</f>
        <v>0</v>
      </c>
      <c r="D22" s="124"/>
      <c r="E22" s="32">
        <f>IF(B22="-",0,"")</f>
        <v>0</v>
      </c>
      <c r="F22" s="314"/>
      <c r="G22" s="32" t="str">
        <f>IF(AND(COUNT(F19:F22)=2,F22=MAX(F19:F22),COUNT(C22:F22)=3),A18&amp;"2",IF(AND(COUNT(E19:E22)=2,ISNUMBER(E22),E22=MIN(E19:E22),D22="",F22=""),A18&amp;"4",IF(AND(COUNT(D19:D22)=2,D22=MAX(D19:D22),E22="",F22=""),A18&amp;"1",IF(COUNT(F19:F22)=2,A18&amp;"3",""))))</f>
        <v>C4</v>
      </c>
      <c r="H22" s="42"/>
      <c r="I22" s="42"/>
      <c r="J22" s="42"/>
      <c r="K22" s="42"/>
    </row>
    <row r="23" spans="1:11" x14ac:dyDescent="0.2">
      <c r="H23" s="42"/>
      <c r="I23" s="42"/>
      <c r="J23" s="42"/>
      <c r="K23" s="42"/>
    </row>
    <row r="24" spans="1:11" s="30" customFormat="1" x14ac:dyDescent="0.2">
      <c r="A24" s="296" t="s">
        <v>293</v>
      </c>
      <c r="B24" s="351"/>
      <c r="C24" s="31" t="s">
        <v>232</v>
      </c>
      <c r="D24" s="296" t="s">
        <v>61</v>
      </c>
      <c r="E24" s="296" t="s">
        <v>62</v>
      </c>
      <c r="F24" s="31" t="s">
        <v>63</v>
      </c>
      <c r="G24" s="31" t="s">
        <v>19</v>
      </c>
      <c r="H24" s="42"/>
      <c r="I24" s="42"/>
      <c r="J24" s="42"/>
      <c r="K24" s="42"/>
    </row>
    <row r="25" spans="1:11" s="30" customFormat="1" x14ac:dyDescent="0.2">
      <c r="A25" s="296">
        <v>1</v>
      </c>
      <c r="B25" s="186" t="s">
        <v>702</v>
      </c>
      <c r="C25" s="124">
        <f>IF(B28="-",13,"")</f>
        <v>13</v>
      </c>
      <c r="D25" s="124">
        <v>7</v>
      </c>
      <c r="E25" s="32"/>
      <c r="F25" s="314">
        <v>5</v>
      </c>
      <c r="G25" s="32" t="str">
        <f>IF(AND(COUNT(F25:F28)=2,F25=MAX(F25:F28),COUNT(C25:F25)=3),A24&amp;"2",IF(AND(COUNT(E25:E28)=2,ISNUMBER(E25),E25=MIN(E25:E28),D25="",F25=""),A24&amp;"4",IF(AND(COUNT(D25:D28)=2,D25=MAX(D25:D28),E25="",F25=""),A24&amp;"1",IF(COUNT(F25:F28)=2,A24&amp;"3",""))))</f>
        <v>D3</v>
      </c>
      <c r="H25" s="42"/>
      <c r="I25" s="42"/>
      <c r="J25" s="42"/>
      <c r="K25" s="42"/>
    </row>
    <row r="26" spans="1:11" s="30" customFormat="1" x14ac:dyDescent="0.2">
      <c r="A26" s="296">
        <v>2</v>
      </c>
      <c r="B26" s="122" t="s">
        <v>538</v>
      </c>
      <c r="C26" s="336">
        <v>7</v>
      </c>
      <c r="D26" s="124"/>
      <c r="E26" s="32">
        <f>IF(AND(B28="-",ISNUMBER(C26),C26&lt;C27),13,"")</f>
        <v>13</v>
      </c>
      <c r="F26" s="314">
        <v>13</v>
      </c>
      <c r="G26" s="32" t="str">
        <f>IF(AND(COUNT(F25:F28)=2,F26=MAX(F25:F28),COUNT(C26:F26)=3),A24&amp;"2",IF(AND(COUNT(E25:E28)=2,ISNUMBER(E26),E26=MIN(E25:E28),D26="",F26=""),A24&amp;"4",IF(AND(COUNT(D25:D28)=2,D26=MAX(D25:D28),E26="",F26=""),A24&amp;"1",IF(COUNT(F25:F28)=2,A24&amp;"3",""))))</f>
        <v>D2</v>
      </c>
      <c r="H26" s="42"/>
      <c r="I26" s="42"/>
      <c r="J26" s="42"/>
      <c r="K26" s="42"/>
    </row>
    <row r="27" spans="1:11" s="30" customFormat="1" x14ac:dyDescent="0.2">
      <c r="A27" s="296">
        <v>3</v>
      </c>
      <c r="B27" s="122" t="s">
        <v>177</v>
      </c>
      <c r="C27" s="336">
        <v>13</v>
      </c>
      <c r="D27" s="32">
        <v>13</v>
      </c>
      <c r="E27" s="32" t="str">
        <f>IF(AND(B28="-",ISNUMBER(C27),C27&lt;C26),13,"")</f>
        <v/>
      </c>
      <c r="F27" s="314"/>
      <c r="G27" s="32" t="str">
        <f>IF(AND(COUNT(F25:F28)=2,F27=MAX(F25:F28),COUNT(C27:F27)=3),A24&amp;"2",IF(AND(COUNT(E25:E28)=2,ISNUMBER(E27),E27=MIN(E25:E28),D27="",F27=""),A24&amp;"4",IF(AND(COUNT(D25:D28)=2,D27=MAX(D25:D28),E27="",F27=""),A24&amp;"1",IF(COUNT(F25:F28)=2,A24&amp;"3",""))))</f>
        <v>D1</v>
      </c>
      <c r="H27" s="42"/>
      <c r="I27" s="42"/>
      <c r="J27" s="42"/>
      <c r="K27" s="42"/>
    </row>
    <row r="28" spans="1:11" s="30" customFormat="1" x14ac:dyDescent="0.2">
      <c r="A28" s="296">
        <v>4</v>
      </c>
      <c r="B28" s="123" t="s">
        <v>81</v>
      </c>
      <c r="C28" s="124">
        <f>IF(B28="-",0,"")</f>
        <v>0</v>
      </c>
      <c r="D28" s="124"/>
      <c r="E28" s="32">
        <f>IF(B28="-",0,"")</f>
        <v>0</v>
      </c>
      <c r="F28" s="314"/>
      <c r="G28" s="32" t="str">
        <f>IF(AND(COUNT(F25:F28)=2,F28=MAX(F25:F28),COUNT(C28:F28)=3),A24&amp;"2",IF(AND(COUNT(E25:E28)=2,ISNUMBER(E28),E28=MIN(E25:E28),D28="",F28=""),A24&amp;"4",IF(AND(COUNT(D25:D28)=2,D28=MAX(D25:D28),E28="",F28=""),A24&amp;"1",IF(COUNT(F25:F28)=2,A24&amp;"3",""))))</f>
        <v>D4</v>
      </c>
      <c r="H28" s="42"/>
      <c r="I28" s="42"/>
      <c r="J28" s="42"/>
      <c r="K28" s="42"/>
    </row>
    <row r="29" spans="1:11" s="30" customFormat="1" x14ac:dyDescent="0.2">
      <c r="A29" s="34"/>
      <c r="B29" s="38"/>
      <c r="C29" s="36"/>
      <c r="D29" s="36"/>
      <c r="E29" s="36"/>
      <c r="F29" s="36"/>
      <c r="G29" s="39"/>
      <c r="H29" s="42"/>
      <c r="I29" s="42"/>
      <c r="J29" s="42"/>
      <c r="K29" s="42"/>
    </row>
    <row r="30" spans="1:11" s="42" customFormat="1" x14ac:dyDescent="0.2">
      <c r="A30" s="60" t="s">
        <v>90</v>
      </c>
      <c r="B30" s="45"/>
      <c r="C30" s="35"/>
      <c r="D30" s="35"/>
      <c r="E30" s="35"/>
      <c r="F30" s="36"/>
      <c r="G30" s="37"/>
    </row>
    <row r="31" spans="1:11" s="42" customFormat="1" x14ac:dyDescent="0.2"/>
    <row r="32" spans="1:11" s="42" customFormat="1" x14ac:dyDescent="0.2">
      <c r="A32" s="61" t="s">
        <v>73</v>
      </c>
      <c r="B32" s="310" t="str">
        <f>IFERROR(INDEX(B$7:B$28,MATCH(A32,G$7:G$28,0)),"")</f>
        <v>Aimar Poom, Alari Keedus, Ülo Piik</v>
      </c>
      <c r="C32" s="81">
        <v>13</v>
      </c>
    </row>
    <row r="33" spans="1:9" s="42" customFormat="1" x14ac:dyDescent="0.2">
      <c r="A33" s="43"/>
      <c r="B33" s="311"/>
      <c r="C33" s="126" t="str">
        <f>IF(COUNT(C32,C34)=2,IF(C32&gt;C34,B32,B34),"")</f>
        <v>Aimar Poom, Alari Keedus, Ülo Piik</v>
      </c>
      <c r="E33" s="81">
        <v>13</v>
      </c>
    </row>
    <row r="34" spans="1:9" s="42" customFormat="1" x14ac:dyDescent="0.2">
      <c r="A34" s="43" t="s">
        <v>72</v>
      </c>
      <c r="B34" s="312" t="str">
        <f>IFERROR(INDEX(B$7:B$28,MATCH(A34,G$7:G$28,0)),"")</f>
        <v>Mait Metsla, Matti Vinni, Oskar Sepp</v>
      </c>
      <c r="C34" s="63">
        <v>11</v>
      </c>
      <c r="D34" s="345"/>
    </row>
    <row r="35" spans="1:9" s="42" customFormat="1" x14ac:dyDescent="0.2">
      <c r="A35" s="43"/>
      <c r="B35" s="313"/>
      <c r="D35" s="46"/>
      <c r="E35" s="126" t="str">
        <f>IF(COUNT(E33,E37)=2,IF(E33&gt;E37,C33,C37),"")</f>
        <v>Aimar Poom, Alari Keedus, Ülo Piik</v>
      </c>
      <c r="G35" s="81">
        <v>13</v>
      </c>
    </row>
    <row r="36" spans="1:9" s="42" customFormat="1" x14ac:dyDescent="0.2">
      <c r="A36" s="43" t="s">
        <v>71</v>
      </c>
      <c r="B36" s="310" t="str">
        <f>IFERROR(INDEX(B$7:B$28,MATCH(A36,G$7:G$28,0)),"")</f>
        <v>Kaido Kopel, Piret Kopel, Triin Gretel Tauk</v>
      </c>
      <c r="C36" s="81">
        <v>12</v>
      </c>
      <c r="D36" s="46"/>
      <c r="E36" s="343"/>
      <c r="F36" s="345"/>
    </row>
    <row r="37" spans="1:9" s="42" customFormat="1" x14ac:dyDescent="0.2">
      <c r="A37" s="43"/>
      <c r="B37" s="311"/>
      <c r="C37" s="126" t="str">
        <f>IF(COUNT(C36,C38)=2,IF(C36&gt;C38,B36,B38),"")</f>
        <v>Ivar Viljaste, Janek Tarto, Kristo Viljaste</v>
      </c>
      <c r="D37" s="50"/>
      <c r="E37" s="63">
        <v>9</v>
      </c>
      <c r="F37" s="46"/>
    </row>
    <row r="38" spans="1:9" s="42" customFormat="1" x14ac:dyDescent="0.2">
      <c r="A38" s="43" t="s">
        <v>74</v>
      </c>
      <c r="B38" s="312" t="str">
        <f>IFERROR(INDEX(B$7:B$28,MATCH(A38,G$7:G$28,0)),"")</f>
        <v>Ivar Viljaste, Janek Tarto, Kristo Viljaste</v>
      </c>
      <c r="C38" s="63">
        <v>13</v>
      </c>
      <c r="E38" s="45"/>
      <c r="F38" s="46"/>
    </row>
    <row r="39" spans="1:9" s="42" customFormat="1" ht="13.5" thickBot="1" x14ac:dyDescent="0.25">
      <c r="A39" s="52"/>
      <c r="B39" s="313"/>
      <c r="E39" s="45"/>
      <c r="F39" s="46"/>
      <c r="H39" s="224" t="str">
        <f>IF(COUNT(G35,G43)=2,IF(G35&gt;G43,E35,E43),"")</f>
        <v>Aimar Poom, Alari Keedus, Ülo Piik</v>
      </c>
    </row>
    <row r="40" spans="1:9" s="42" customFormat="1" x14ac:dyDescent="0.2">
      <c r="A40" s="61" t="s">
        <v>69</v>
      </c>
      <c r="B40" s="310" t="str">
        <f>IFERROR(INDEX(B$7:B$28,MATCH(A40,G$7:G$28,0)),"")</f>
        <v>Aigi Orro, Elmo Lageda, Kalle Orro</v>
      </c>
      <c r="C40" s="81">
        <v>9</v>
      </c>
      <c r="F40" s="46"/>
      <c r="G40" s="48"/>
      <c r="H40" s="62" t="s">
        <v>277</v>
      </c>
      <c r="I40" s="49"/>
    </row>
    <row r="41" spans="1:9" s="42" customFormat="1" x14ac:dyDescent="0.2">
      <c r="A41" s="43"/>
      <c r="B41" s="311"/>
      <c r="C41" s="126" t="str">
        <f>IF(COUNT(C40,C42)=2,IF(C40&gt;C42,B40,B42),"")</f>
        <v>Janek Kiisk, Marek Lehis, Margo Peebo</v>
      </c>
      <c r="E41" s="81">
        <v>13</v>
      </c>
      <c r="F41" s="46"/>
      <c r="G41" s="45"/>
    </row>
    <row r="42" spans="1:9" s="42" customFormat="1" x14ac:dyDescent="0.2">
      <c r="A42" s="43" t="s">
        <v>70</v>
      </c>
      <c r="B42" s="312" t="str">
        <f>IFERROR(INDEX(B$7:B$28,MATCH(A42,G$7:G$28,0)),"")</f>
        <v>Janek Kiisk, Marek Lehis, Margo Peebo</v>
      </c>
      <c r="C42" s="63">
        <v>13</v>
      </c>
      <c r="D42" s="345"/>
      <c r="F42" s="46"/>
      <c r="G42" s="45"/>
    </row>
    <row r="43" spans="1:9" s="42" customFormat="1" x14ac:dyDescent="0.2">
      <c r="A43" s="43"/>
      <c r="B43" s="313"/>
      <c r="D43" s="46"/>
      <c r="E43" s="126" t="str">
        <f>IF(COUNT(E41,E45)=2,IF(E41&gt;E45,C41,C45),"")</f>
        <v>Janek Kiisk, Marek Lehis, Margo Peebo</v>
      </c>
      <c r="F43" s="50"/>
      <c r="G43" s="63">
        <v>10</v>
      </c>
    </row>
    <row r="44" spans="1:9" s="42" customFormat="1" ht="13.5" thickBot="1" x14ac:dyDescent="0.25">
      <c r="A44" s="43" t="s">
        <v>67</v>
      </c>
      <c r="B44" s="310" t="str">
        <f>IFERROR(INDEX(B$7:B$28,MATCH(A44,G$7:G$28,0)),"")</f>
        <v>Aarne Välja, Andres Veski, Svetlana Veski</v>
      </c>
      <c r="C44" s="81">
        <v>13</v>
      </c>
      <c r="D44" s="46"/>
      <c r="E44" s="343"/>
      <c r="F44" s="45"/>
      <c r="G44" s="45"/>
      <c r="H44" s="224" t="str">
        <f>IF(COUNT(G35,G43)=2,IF(G35&lt;G43,E35,E43),"")</f>
        <v>Janek Kiisk, Marek Lehis, Margo Peebo</v>
      </c>
      <c r="I44" s="47"/>
    </row>
    <row r="45" spans="1:9" s="42" customFormat="1" x14ac:dyDescent="0.2">
      <c r="A45" s="43"/>
      <c r="B45" s="311"/>
      <c r="C45" s="126" t="str">
        <f>IF(COUNT(C44,C46)=2,IF(C44&gt;C46,B44,B46),"")</f>
        <v>Aarne Välja, Andres Veski, Svetlana Veski</v>
      </c>
      <c r="D45" s="50"/>
      <c r="E45" s="63">
        <v>10</v>
      </c>
      <c r="G45" s="45"/>
      <c r="H45" s="62" t="s">
        <v>278</v>
      </c>
      <c r="I45" s="45"/>
    </row>
    <row r="46" spans="1:9" s="42" customFormat="1" x14ac:dyDescent="0.2">
      <c r="A46" s="43" t="s">
        <v>68</v>
      </c>
      <c r="B46" s="312" t="str">
        <f>IFERROR(INDEX(B$7:B$28,MATCH(A46,G$7:G$28,0)),"")</f>
        <v>Aigar Lusbo, Merike Lusbo, Sirje Viljaste</v>
      </c>
      <c r="C46" s="63">
        <v>10</v>
      </c>
      <c r="E46" s="45"/>
      <c r="F46" s="45"/>
      <c r="G46" s="45"/>
    </row>
    <row r="47" spans="1:9" s="42" customFormat="1" x14ac:dyDescent="0.2">
      <c r="A47" s="52"/>
      <c r="B47" s="313"/>
      <c r="E47" s="223" t="str">
        <f>IF(COUNT(E33,E37)=2,IF(E33&lt;E37,C33,C37),"")</f>
        <v>Ivar Viljaste, Janek Tarto, Kristo Viljaste</v>
      </c>
      <c r="G47" s="81">
        <v>13</v>
      </c>
    </row>
    <row r="48" spans="1:9" s="42" customFormat="1" ht="13.5" thickBot="1" x14ac:dyDescent="0.25">
      <c r="E48" s="309"/>
      <c r="F48" s="345"/>
      <c r="G48" s="47"/>
      <c r="H48" s="224" t="str">
        <f>IF(COUNT(G47,G49)=2,IF(G47&gt;G49,E47,E49),"")</f>
        <v>Ivar Viljaste, Janek Tarto, Kristo Viljaste</v>
      </c>
      <c r="I48" s="47"/>
    </row>
    <row r="49" spans="1:10" s="42" customFormat="1" x14ac:dyDescent="0.2">
      <c r="E49" s="127" t="str">
        <f>IF(COUNT(E41,E45)=2,IF(E41&lt;E45,C41,C45),"")</f>
        <v>Aarne Välja, Andres Veski, Svetlana Veski</v>
      </c>
      <c r="F49" s="50"/>
      <c r="G49" s="63">
        <v>4</v>
      </c>
      <c r="H49" s="53" t="s">
        <v>279</v>
      </c>
      <c r="I49" s="45"/>
    </row>
    <row r="50" spans="1:10" s="42" customFormat="1" x14ac:dyDescent="0.2">
      <c r="H50" s="45"/>
      <c r="I50" s="45"/>
    </row>
    <row r="51" spans="1:10" s="42" customFormat="1" ht="13.5" thickBot="1" x14ac:dyDescent="0.25">
      <c r="E51" s="45"/>
      <c r="F51" s="45"/>
      <c r="H51" s="224" t="str">
        <f>IF(COUNT(G47,G49)=2,IF(G47&lt;G49,E47,E49),"")</f>
        <v>Aarne Välja, Andres Veski, Svetlana Veski</v>
      </c>
      <c r="I51" s="47"/>
    </row>
    <row r="52" spans="1:10" s="42" customFormat="1" x14ac:dyDescent="0.2">
      <c r="H52" s="52" t="s">
        <v>75</v>
      </c>
    </row>
    <row r="53" spans="1:10" s="42" customFormat="1" x14ac:dyDescent="0.2">
      <c r="J53" s="52"/>
    </row>
    <row r="54" spans="1:10" s="42" customFormat="1" x14ac:dyDescent="0.2">
      <c r="A54" s="64" t="s">
        <v>95</v>
      </c>
      <c r="G54" s="45"/>
      <c r="H54" s="45"/>
      <c r="J54" s="52"/>
    </row>
    <row r="55" spans="1:10" s="42" customFormat="1" x14ac:dyDescent="0.2">
      <c r="A55" s="125"/>
      <c r="G55" s="45"/>
      <c r="H55" s="45"/>
      <c r="J55" s="52"/>
    </row>
    <row r="56" spans="1:10" s="42" customFormat="1" x14ac:dyDescent="0.2">
      <c r="C56" s="127" t="str">
        <f>IF(COUNT(C32,C34)=2,IF(C32&lt;C34,B32,B34),"")</f>
        <v>Mait Metsla, Matti Vinni, Oskar Sepp</v>
      </c>
      <c r="E56" s="81">
        <v>13</v>
      </c>
      <c r="F56" s="81"/>
      <c r="G56" s="81"/>
    </row>
    <row r="57" spans="1:10" s="42" customFormat="1" x14ac:dyDescent="0.2">
      <c r="C57" s="65"/>
      <c r="D57" s="66"/>
      <c r="E57" s="126" t="str">
        <f>IF(COUNT(E56,E58)=2,IF(E56&gt;E58,C56,C58),"")</f>
        <v>Mait Metsla, Matti Vinni, Oskar Sepp</v>
      </c>
      <c r="G57" s="81">
        <v>13</v>
      </c>
    </row>
    <row r="58" spans="1:10" s="42" customFormat="1" x14ac:dyDescent="0.2">
      <c r="C58" s="127" t="str">
        <f>IF(COUNT(C36,C38)=2,IF(C36&lt;C38,B36,B38),"")</f>
        <v>Kaido Kopel, Piret Kopel, Triin Gretel Tauk</v>
      </c>
      <c r="D58" s="67"/>
      <c r="E58" s="63">
        <v>12</v>
      </c>
      <c r="F58" s="66"/>
      <c r="G58" s="81"/>
    </row>
    <row r="59" spans="1:10" s="42" customFormat="1" ht="13.5" thickBot="1" x14ac:dyDescent="0.25">
      <c r="C59" s="81"/>
      <c r="D59" s="81"/>
      <c r="E59" s="51"/>
      <c r="F59" s="68"/>
      <c r="G59" s="81"/>
      <c r="H59" s="224" t="str">
        <f>IF(COUNT(G57,G61)=2,IF(G57&gt;G61,E57,E61),"")</f>
        <v>Mait Metsla, Matti Vinni, Oskar Sepp</v>
      </c>
    </row>
    <row r="60" spans="1:10" s="42" customFormat="1" x14ac:dyDescent="0.2">
      <c r="C60" s="127" t="str">
        <f>IF(COUNT(C40,C42)=2,IF(C40&lt;C42,B40,B42),"")</f>
        <v>Aigi Orro, Elmo Lageda, Kalle Orro</v>
      </c>
      <c r="D60" s="81"/>
      <c r="E60" s="81">
        <v>13</v>
      </c>
      <c r="F60" s="68"/>
      <c r="G60" s="69"/>
      <c r="H60" s="62" t="s">
        <v>76</v>
      </c>
      <c r="I60" s="49"/>
    </row>
    <row r="61" spans="1:10" s="42" customFormat="1" x14ac:dyDescent="0.2">
      <c r="C61" s="65"/>
      <c r="D61" s="66"/>
      <c r="E61" s="126" t="str">
        <f>IF(COUNT(E60,E62)=2,IF(E60&gt;E62,C60,C62),"")</f>
        <v>Aigi Orro, Elmo Lageda, Kalle Orro</v>
      </c>
      <c r="F61" s="50"/>
      <c r="G61" s="63">
        <v>10</v>
      </c>
    </row>
    <row r="62" spans="1:10" s="42" customFormat="1" ht="13.5" thickBot="1" x14ac:dyDescent="0.25">
      <c r="C62" s="127" t="str">
        <f>IF(COUNT(C44,C46)=2,IF(C44&lt;C46,B44,B46),"")</f>
        <v>Aigar Lusbo, Merike Lusbo, Sirje Viljaste</v>
      </c>
      <c r="D62" s="67"/>
      <c r="E62" s="63">
        <v>8</v>
      </c>
      <c r="F62" s="81"/>
      <c r="G62" s="51"/>
      <c r="H62" s="224" t="str">
        <f>IF(COUNT(G57,G61)=2,IF(G57&lt;G61,E57,E61),"")</f>
        <v>Aigi Orro, Elmo Lageda, Kalle Orro</v>
      </c>
      <c r="I62" s="47"/>
    </row>
    <row r="63" spans="1:10" s="42" customFormat="1" x14ac:dyDescent="0.2">
      <c r="C63" s="81"/>
      <c r="D63" s="81"/>
      <c r="E63" s="81"/>
      <c r="F63" s="81"/>
      <c r="G63" s="51"/>
      <c r="H63" s="62" t="s">
        <v>77</v>
      </c>
      <c r="I63" s="45"/>
    </row>
    <row r="64" spans="1:10" s="42" customFormat="1" x14ac:dyDescent="0.2">
      <c r="C64" s="81"/>
      <c r="D64" s="51"/>
      <c r="E64" s="223" t="str">
        <f>IF(COUNT(E56,E58)=2,IF(E56&lt;E58,C56,C58),"")</f>
        <v>Kaido Kopel, Piret Kopel, Triin Gretel Tauk</v>
      </c>
      <c r="G64" s="454">
        <v>13</v>
      </c>
      <c r="H64" s="45"/>
      <c r="I64" s="45"/>
    </row>
    <row r="65" spans="3:9" s="42" customFormat="1" ht="13.5" thickBot="1" x14ac:dyDescent="0.25">
      <c r="C65" s="81"/>
      <c r="D65" s="51"/>
      <c r="E65" s="309"/>
      <c r="F65" s="44"/>
      <c r="G65" s="47"/>
      <c r="H65" s="224" t="str">
        <f>IF(COUNT(G64,G66)=2,IF(G64&gt;G66,E64,E66),"")</f>
        <v>Kaido Kopel, Piret Kopel, Triin Gretel Tauk</v>
      </c>
      <c r="I65" s="47"/>
    </row>
    <row r="66" spans="3:9" s="42" customFormat="1" x14ac:dyDescent="0.2">
      <c r="C66" s="81"/>
      <c r="D66" s="51"/>
      <c r="E66" s="127" t="str">
        <f>IF(COUNT(E60,E62)=2,IF(E60&lt;E62,C60,C62),"")</f>
        <v>Aigar Lusbo, Merike Lusbo, Sirje Viljaste</v>
      </c>
      <c r="F66" s="50"/>
      <c r="G66" s="455">
        <v>7</v>
      </c>
      <c r="H66" s="53" t="s">
        <v>78</v>
      </c>
      <c r="I66" s="45"/>
    </row>
    <row r="67" spans="3:9" s="42" customFormat="1" x14ac:dyDescent="0.2">
      <c r="D67" s="45"/>
      <c r="H67" s="45"/>
      <c r="I67" s="45"/>
    </row>
    <row r="68" spans="3:9" s="42" customFormat="1" ht="13.5" thickBot="1" x14ac:dyDescent="0.25">
      <c r="E68" s="45"/>
      <c r="F68" s="45"/>
      <c r="H68" s="47" t="str">
        <f>IF(COUNT(G64,G66)=2,IF(G64&lt;G66,E64,E66),"")</f>
        <v>Aigar Lusbo, Merike Lusbo, Sirje Viljaste</v>
      </c>
      <c r="I68" s="47"/>
    </row>
    <row r="69" spans="3:9" s="42" customFormat="1" x14ac:dyDescent="0.2">
      <c r="E69" s="45"/>
      <c r="F69" s="45"/>
      <c r="H69" s="53" t="s">
        <v>79</v>
      </c>
    </row>
    <row r="70" spans="3:9" s="82" customFormat="1" x14ac:dyDescent="0.2"/>
    <row r="71" spans="3:9" hidden="1" x14ac:dyDescent="0.2"/>
    <row r="72" spans="3:9" hidden="1" x14ac:dyDescent="0.2"/>
    <row r="73" spans="3:9" hidden="1" x14ac:dyDescent="0.2"/>
    <row r="74" spans="3:9" hidden="1" x14ac:dyDescent="0.2"/>
    <row r="75" spans="3:9" hidden="1" x14ac:dyDescent="0.2"/>
    <row r="76" spans="3:9" hidden="1" x14ac:dyDescent="0.2"/>
    <row r="77" spans="3:9" hidden="1" x14ac:dyDescent="0.2"/>
    <row r="78" spans="3:9" hidden="1" x14ac:dyDescent="0.2"/>
    <row r="79" spans="3:9" hidden="1" x14ac:dyDescent="0.2"/>
    <row r="80" spans="3:9"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19" t="s">
        <v>577</v>
      </c>
    </row>
    <row r="300" spans="1:3" x14ac:dyDescent="0.2">
      <c r="A300" s="54">
        <v>1</v>
      </c>
      <c r="B300" s="55" t="str">
        <f t="shared" ref="B300:B307" si="0">IFERROR(INDEX(H$39:H$68,MATCH(A300&amp;". koht",H$40:H$69,0)),"")</f>
        <v>Aimar Poom, Alari Keedus, Ülo Piik</v>
      </c>
      <c r="C300" s="79">
        <v>20</v>
      </c>
    </row>
    <row r="301" spans="1:3" x14ac:dyDescent="0.2">
      <c r="A301" s="54">
        <v>2</v>
      </c>
      <c r="B301" s="56" t="str">
        <f t="shared" si="0"/>
        <v>Janek Kiisk, Marek Lehis, Margo Peebo</v>
      </c>
      <c r="C301" s="79">
        <v>16</v>
      </c>
    </row>
    <row r="302" spans="1:3" x14ac:dyDescent="0.2">
      <c r="A302" s="54">
        <v>3</v>
      </c>
      <c r="B302" s="57" t="str">
        <f t="shared" si="0"/>
        <v>Ivar Viljaste, Janek Tarto, Kristo Viljaste</v>
      </c>
      <c r="C302" s="79">
        <v>12</v>
      </c>
    </row>
    <row r="303" spans="1:3" x14ac:dyDescent="0.2">
      <c r="A303" s="54">
        <v>4</v>
      </c>
      <c r="B303" s="58" t="str">
        <f t="shared" si="0"/>
        <v>Aarne Välja, Andres Veski, Svetlana Veski</v>
      </c>
      <c r="C303" s="79">
        <v>9</v>
      </c>
    </row>
    <row r="304" spans="1:3" x14ac:dyDescent="0.2">
      <c r="A304" s="54">
        <v>5</v>
      </c>
      <c r="B304" s="58" t="str">
        <f t="shared" si="0"/>
        <v>Mait Metsla, Matti Vinni, Oskar Sepp</v>
      </c>
      <c r="C304" s="79">
        <v>7</v>
      </c>
    </row>
    <row r="305" spans="1:3" x14ac:dyDescent="0.2">
      <c r="A305" s="54">
        <v>6</v>
      </c>
      <c r="B305" s="58" t="str">
        <f t="shared" si="0"/>
        <v>Aigi Orro, Elmo Lageda, Kalle Orro</v>
      </c>
      <c r="C305" s="79">
        <v>5</v>
      </c>
    </row>
    <row r="306" spans="1:3" x14ac:dyDescent="0.2">
      <c r="A306" s="54">
        <v>7</v>
      </c>
      <c r="B306" s="58" t="str">
        <f t="shared" si="0"/>
        <v>Kaido Kopel, Piret Kopel, Triin Gretel Tauk</v>
      </c>
      <c r="C306" s="79">
        <v>4</v>
      </c>
    </row>
    <row r="307" spans="1:3" x14ac:dyDescent="0.2">
      <c r="A307" s="54">
        <v>8</v>
      </c>
      <c r="B307" s="58" t="str">
        <f t="shared" si="0"/>
        <v>Aigar Lusbo, Merike Lusbo, Sirje Viljaste</v>
      </c>
      <c r="C307" s="79">
        <v>3</v>
      </c>
    </row>
    <row r="308" spans="1:3" x14ac:dyDescent="0.2">
      <c r="A308" s="350" t="s">
        <v>579</v>
      </c>
      <c r="B308" s="186" t="s">
        <v>702</v>
      </c>
      <c r="C308" s="79">
        <v>1</v>
      </c>
    </row>
    <row r="309" spans="1:3" x14ac:dyDescent="0.2">
      <c r="A309" s="350" t="s">
        <v>579</v>
      </c>
      <c r="B309" s="123" t="s">
        <v>708</v>
      </c>
      <c r="C309" s="79">
        <v>1</v>
      </c>
    </row>
    <row r="310" spans="1:3" x14ac:dyDescent="0.2">
      <c r="A310" s="350" t="s">
        <v>579</v>
      </c>
      <c r="B310" s="122" t="s">
        <v>706</v>
      </c>
      <c r="C310" s="79">
        <v>1</v>
      </c>
    </row>
    <row r="311" spans="1:3" x14ac:dyDescent="0.2">
      <c r="A311" s="350" t="s">
        <v>579</v>
      </c>
      <c r="B311" s="186" t="s">
        <v>701</v>
      </c>
      <c r="C311" s="79">
        <v>1</v>
      </c>
    </row>
    <row r="312" spans="1:3" x14ac:dyDescent="0.2">
      <c r="A312" s="350">
        <v>13</v>
      </c>
      <c r="B312" s="122" t="s">
        <v>707</v>
      </c>
      <c r="C312" s="79">
        <v>1</v>
      </c>
    </row>
  </sheetData>
  <sortState ref="B308:B311">
    <sortCondition ref="B307"/>
  </sortState>
  <conditionalFormatting sqref="B7:B10">
    <cfRule type="duplicateValues" dxfId="1048" priority="134"/>
  </conditionalFormatting>
  <conditionalFormatting sqref="B25:B28">
    <cfRule type="duplicateValues" dxfId="1047" priority="133"/>
  </conditionalFormatting>
  <conditionalFormatting sqref="B19:B22">
    <cfRule type="duplicateValues" dxfId="1046" priority="132"/>
  </conditionalFormatting>
  <conditionalFormatting sqref="B13:B16">
    <cfRule type="duplicateValues" dxfId="1045" priority="131"/>
  </conditionalFormatting>
  <conditionalFormatting sqref="A32:A46">
    <cfRule type="cellIs" dxfId="1044" priority="115" operator="equal">
      <formula>"-"</formula>
    </cfRule>
    <cfRule type="duplicateValues" dxfId="1043" priority="130"/>
  </conditionalFormatting>
  <conditionalFormatting sqref="E56 E58">
    <cfRule type="aboveAverage" dxfId="1042" priority="129"/>
  </conditionalFormatting>
  <conditionalFormatting sqref="E60 E62">
    <cfRule type="aboveAverage" dxfId="1041" priority="128"/>
  </conditionalFormatting>
  <conditionalFormatting sqref="G57 G61">
    <cfRule type="aboveAverage" dxfId="1040" priority="127"/>
  </conditionalFormatting>
  <conditionalFormatting sqref="G64 G66">
    <cfRule type="aboveAverage" dxfId="1039" priority="126"/>
  </conditionalFormatting>
  <conditionalFormatting sqref="E56 E58 E60 E62 G57 G61 G64 G66">
    <cfRule type="containsBlanks" dxfId="1038" priority="125">
      <formula>LEN(TRIM(E56))=0</formula>
    </cfRule>
  </conditionalFormatting>
  <conditionalFormatting sqref="C32 C34">
    <cfRule type="aboveAverage" dxfId="1037" priority="124"/>
  </conditionalFormatting>
  <conditionalFormatting sqref="C36 C38">
    <cfRule type="aboveAverage" dxfId="1036" priority="123"/>
  </conditionalFormatting>
  <conditionalFormatting sqref="E33 E37">
    <cfRule type="aboveAverage" dxfId="1035" priority="122"/>
  </conditionalFormatting>
  <conditionalFormatting sqref="C40 C42">
    <cfRule type="aboveAverage" dxfId="1034" priority="121"/>
  </conditionalFormatting>
  <conditionalFormatting sqref="C44 C46">
    <cfRule type="aboveAverage" dxfId="1033" priority="120"/>
  </conditionalFormatting>
  <conditionalFormatting sqref="E41 E45">
    <cfRule type="aboveAverage" dxfId="1032" priority="119"/>
  </conditionalFormatting>
  <conditionalFormatting sqref="G35 G43">
    <cfRule type="aboveAverage" dxfId="1031" priority="118"/>
  </conditionalFormatting>
  <conditionalFormatting sqref="G47 G49">
    <cfRule type="aboveAverage" dxfId="1030" priority="117"/>
  </conditionalFormatting>
  <conditionalFormatting sqref="C32 C34 C36 C38 C40 C42 C44 C46 E33 E37 E41 E45 G35 G43 G47 G49">
    <cfRule type="containsBlanks" dxfId="1029" priority="116">
      <formula>LEN(TRIM(C32))=0</formula>
    </cfRule>
  </conditionalFormatting>
  <conditionalFormatting sqref="G7:G10">
    <cfRule type="containsText" dxfId="1028" priority="113" operator="containsText" text="2">
      <formula>NOT(ISERROR(SEARCH("2",G7)))</formula>
    </cfRule>
    <cfRule type="containsText" dxfId="1027" priority="114" operator="containsText" text="1">
      <formula>NOT(ISERROR(SEARCH("1",G7)))</formula>
    </cfRule>
  </conditionalFormatting>
  <conditionalFormatting sqref="G10">
    <cfRule type="expression" dxfId="1026" priority="112">
      <formula>B10="-"</formula>
    </cfRule>
  </conditionalFormatting>
  <conditionalFormatting sqref="C7 C10">
    <cfRule type="aboveAverage" dxfId="1025" priority="111"/>
  </conditionalFormatting>
  <conditionalFormatting sqref="C8:C9">
    <cfRule type="aboveAverage" dxfId="1024" priority="110"/>
  </conditionalFormatting>
  <conditionalFormatting sqref="G13:G16">
    <cfRule type="containsText" dxfId="1023" priority="108" operator="containsText" text="2">
      <formula>NOT(ISERROR(SEARCH("2",G13)))</formula>
    </cfRule>
    <cfRule type="containsText" dxfId="1022" priority="109" operator="containsText" text="1">
      <formula>NOT(ISERROR(SEARCH("1",G13)))</formula>
    </cfRule>
  </conditionalFormatting>
  <conditionalFormatting sqref="G16">
    <cfRule type="expression" dxfId="1021" priority="107">
      <formula>B16="-"</formula>
    </cfRule>
  </conditionalFormatting>
  <conditionalFormatting sqref="C13 C16">
    <cfRule type="aboveAverage" dxfId="1020" priority="106"/>
  </conditionalFormatting>
  <conditionalFormatting sqref="C14:C15">
    <cfRule type="aboveAverage" dxfId="1019" priority="105"/>
  </conditionalFormatting>
  <conditionalFormatting sqref="G19:G22">
    <cfRule type="containsText" dxfId="1018" priority="103" operator="containsText" text="2">
      <formula>NOT(ISERROR(SEARCH("2",G19)))</formula>
    </cfRule>
    <cfRule type="containsText" dxfId="1017" priority="104" operator="containsText" text="1">
      <formula>NOT(ISERROR(SEARCH("1",G19)))</formula>
    </cfRule>
  </conditionalFormatting>
  <conditionalFormatting sqref="G22">
    <cfRule type="expression" dxfId="1016" priority="102">
      <formula>B22="-"</formula>
    </cfRule>
  </conditionalFormatting>
  <conditionalFormatting sqref="C19 C22">
    <cfRule type="aboveAverage" dxfId="1015" priority="101"/>
  </conditionalFormatting>
  <conditionalFormatting sqref="C20:C21">
    <cfRule type="aboveAverage" dxfId="1014" priority="100"/>
  </conditionalFormatting>
  <conditionalFormatting sqref="G25:G28">
    <cfRule type="containsText" dxfId="1013" priority="98" operator="containsText" text="2">
      <formula>NOT(ISERROR(SEARCH("2",G25)))</formula>
    </cfRule>
    <cfRule type="containsText" dxfId="1012" priority="99" operator="containsText" text="1">
      <formula>NOT(ISERROR(SEARCH("1",G25)))</formula>
    </cfRule>
  </conditionalFormatting>
  <conditionalFormatting sqref="G28">
    <cfRule type="expression" dxfId="1011" priority="97">
      <formula>B28="-"</formula>
    </cfRule>
  </conditionalFormatting>
  <conditionalFormatting sqref="C25 C28">
    <cfRule type="aboveAverage" dxfId="1010" priority="96"/>
  </conditionalFormatting>
  <conditionalFormatting sqref="C26:C27">
    <cfRule type="aboveAverage" dxfId="1009" priority="95"/>
  </conditionalFormatting>
  <conditionalFormatting sqref="E10">
    <cfRule type="expression" dxfId="1008" priority="94">
      <formula>AND(COUNT(E7:E10)&lt;2,IF(ISNUMBER(C10),C7&gt;C10))</formula>
    </cfRule>
  </conditionalFormatting>
  <conditionalFormatting sqref="E7">
    <cfRule type="expression" dxfId="1007" priority="93">
      <formula>AND(COUNT(E7:E10)&lt;2,IF(ISNUMBER(C7),C10&gt;C7))</formula>
    </cfRule>
  </conditionalFormatting>
  <conditionalFormatting sqref="E8">
    <cfRule type="expression" dxfId="1006" priority="92">
      <formula>AND(COUNT(E7:E10)&lt;2,IF(ISNUMBER(C8),C9&gt;C8))</formula>
    </cfRule>
  </conditionalFormatting>
  <conditionalFormatting sqref="E9">
    <cfRule type="expression" dxfId="1005" priority="91">
      <formula>AND(COUNT(E7:E10)&lt;2,IF(ISNUMBER(C9),C8&gt;C9))</formula>
    </cfRule>
  </conditionalFormatting>
  <conditionalFormatting sqref="E7:E10">
    <cfRule type="aboveAverage" dxfId="1004" priority="90"/>
  </conditionalFormatting>
  <conditionalFormatting sqref="F7">
    <cfRule type="expression" dxfId="1003" priority="85">
      <formula>AND(COUNT(F7:F10)&lt;2,IF(COUNT(E7:E10)=2,IF(AND(ISNUMBER(E7),COUNTIF(E7:E10,E7)=1,E7=MAX(E7:E10)),TRUE,FALSE)))</formula>
    </cfRule>
    <cfRule type="expression" dxfId="1002" priority="89">
      <formula>AND(COUNT(F7:F10)&lt;2,IF(COUNT(D7:D10)=2,IF(AND(ISNUMBER(D7),COUNTIF(D7:D10,D7)=1,D7=MIN(D7:D10)),TRUE,FALSE)))</formula>
    </cfRule>
  </conditionalFormatting>
  <conditionalFormatting sqref="F8">
    <cfRule type="expression" dxfId="1001" priority="84">
      <formula>AND(COUNT(F7:F10)&lt;2,IF(COUNT(E7:E10)=2,IF(AND(ISNUMBER(E8),COUNTIF(E7:E10,E8)=1,E8=MAX(E7:E10)),TRUE,FALSE)))</formula>
    </cfRule>
    <cfRule type="expression" dxfId="1000" priority="88">
      <formula>AND(COUNT(F7:F10)&lt;2,IF(COUNT(D7:D10)=2,IF(AND(ISNUMBER(D8),COUNTIF(D7:D10,D8)=1,D8=MIN(D7:D10)),TRUE,FALSE)))</formula>
    </cfRule>
  </conditionalFormatting>
  <conditionalFormatting sqref="F9">
    <cfRule type="expression" dxfId="999" priority="83">
      <formula>AND(COUNT(F7:F10)&lt;2,IF(COUNT(E7:E10)=2,IF(AND(ISNUMBER(E9),COUNTIF(E7:E10,E9)=1,E9=MAX(E7:E10)),TRUE,FALSE)))</formula>
    </cfRule>
    <cfRule type="expression" dxfId="998" priority="87">
      <formula>AND(COUNT(F7:F10)&lt;2,IF(COUNT(D7:D10)=2,IF(AND(ISNUMBER(D9),COUNTIF(D7:D10,D9)=1,D9=MIN(D7:D10)),TRUE,FALSE)))</formula>
    </cfRule>
  </conditionalFormatting>
  <conditionalFormatting sqref="F10">
    <cfRule type="expression" dxfId="997" priority="82">
      <formula>AND(COUNT(F7:F10)&lt;2,IF(COUNT(E7:E10)=2,IF(AND(ISNUMBER(E10),COUNTIF(E7:E10,E10)=1,E10=MAX(E7:E10)),TRUE,FALSE)))</formula>
    </cfRule>
    <cfRule type="expression" dxfId="996" priority="86">
      <formula>AND(COUNT(F7:F10)&lt;2,IF(COUNT(D7:D10)=2,IF(AND(ISNUMBER(D10),COUNTIF(D7:D10,D10)=1,D10=MIN(D7:D10)),TRUE,FALSE)))</formula>
    </cfRule>
  </conditionalFormatting>
  <conditionalFormatting sqref="F7:F10">
    <cfRule type="aboveAverage" dxfId="995" priority="81"/>
  </conditionalFormatting>
  <conditionalFormatting sqref="D7">
    <cfRule type="expression" dxfId="994" priority="80">
      <formula>AND(COUNT(D7:D10)&lt;2,IF(ISNUMBER(C10),C7&gt;C10))</formula>
    </cfRule>
  </conditionalFormatting>
  <conditionalFormatting sqref="D8">
    <cfRule type="expression" dxfId="993" priority="79">
      <formula>AND(COUNT(D7:D10)&lt;2,IF(ISNUMBER(C9),C8&gt;C9))</formula>
    </cfRule>
  </conditionalFormatting>
  <conditionalFormatting sqref="D9">
    <cfRule type="expression" dxfId="992" priority="78">
      <formula>AND(COUNT(D7:D10)&lt;2,IF(ISNUMBER(C8),C9&gt;C8))</formula>
    </cfRule>
  </conditionalFormatting>
  <conditionalFormatting sqref="D10">
    <cfRule type="expression" dxfId="991" priority="77">
      <formula>AND(COUNT(D7:D10)&lt;2,IF(ISNUMBER(C7),C10&gt;C7))</formula>
    </cfRule>
  </conditionalFormatting>
  <conditionalFormatting sqref="D7:D10">
    <cfRule type="aboveAverage" dxfId="990" priority="76"/>
  </conditionalFormatting>
  <conditionalFormatting sqref="E16">
    <cfRule type="expression" dxfId="989" priority="75">
      <formula>AND(COUNT(E13:E16)&lt;2,IF(ISNUMBER(C16),C13&gt;C16))</formula>
    </cfRule>
  </conditionalFormatting>
  <conditionalFormatting sqref="E13">
    <cfRule type="expression" dxfId="988" priority="74">
      <formula>AND(COUNT(E13:E16)&lt;2,IF(ISNUMBER(C13),C16&gt;C13))</formula>
    </cfRule>
  </conditionalFormatting>
  <conditionalFormatting sqref="E14">
    <cfRule type="expression" dxfId="987" priority="73">
      <formula>AND(COUNT(E13:E16)&lt;2,IF(ISNUMBER(C14),C15&gt;C14))</formula>
    </cfRule>
  </conditionalFormatting>
  <conditionalFormatting sqref="E15">
    <cfRule type="expression" dxfId="986" priority="72">
      <formula>AND(COUNT(E13:E16)&lt;2,IF(ISNUMBER(C15),C14&gt;C15))</formula>
    </cfRule>
  </conditionalFormatting>
  <conditionalFormatting sqref="E13:E16">
    <cfRule type="aboveAverage" dxfId="985" priority="71"/>
  </conditionalFormatting>
  <conditionalFormatting sqref="F13">
    <cfRule type="expression" dxfId="984" priority="66">
      <formula>AND(COUNT(F13:F16)&lt;2,IF(COUNT(E13:E16)=2,IF(AND(ISNUMBER(E13),COUNTIF(E13:E16,E13)=1,E13=MAX(E13:E16)),TRUE,FALSE)))</formula>
    </cfRule>
    <cfRule type="expression" dxfId="983" priority="70">
      <formula>AND(COUNT(F13:F16)&lt;2,IF(COUNT(D13:D16)=2,IF(AND(ISNUMBER(D13),COUNTIF(D13:D16,D13)=1,D13=MIN(D13:D16)),TRUE,FALSE)))</formula>
    </cfRule>
  </conditionalFormatting>
  <conditionalFormatting sqref="F14">
    <cfRule type="expression" dxfId="982" priority="65">
      <formula>AND(COUNT(F13:F16)&lt;2,IF(COUNT(E13:E16)=2,IF(AND(ISNUMBER(E14),COUNTIF(E13:E16,E14)=1,E14=MAX(E13:E16)),TRUE,FALSE)))</formula>
    </cfRule>
    <cfRule type="expression" dxfId="981" priority="69">
      <formula>AND(COUNT(F13:F16)&lt;2,IF(COUNT(D13:D16)=2,IF(AND(ISNUMBER(D14),COUNTIF(D13:D16,D14)=1,D14=MIN(D13:D16)),TRUE,FALSE)))</formula>
    </cfRule>
  </conditionalFormatting>
  <conditionalFormatting sqref="F15">
    <cfRule type="expression" dxfId="980" priority="64">
      <formula>AND(COUNT(F13:F16)&lt;2,IF(COUNT(E13:E16)=2,IF(AND(ISNUMBER(E15),COUNTIF(E13:E16,E15)=1,E15=MAX(E13:E16)),TRUE,FALSE)))</formula>
    </cfRule>
    <cfRule type="expression" dxfId="979" priority="68">
      <formula>AND(COUNT(F13:F16)&lt;2,IF(COUNT(D13:D16)=2,IF(AND(ISNUMBER(D15),COUNTIF(D13:D16,D15)=1,D15=MIN(D13:D16)),TRUE,FALSE)))</formula>
    </cfRule>
  </conditionalFormatting>
  <conditionalFormatting sqref="F16">
    <cfRule type="expression" dxfId="978" priority="63">
      <formula>AND(COUNT(F13:F16)&lt;2,IF(COUNT(E13:E16)=2,IF(AND(ISNUMBER(E16),COUNTIF(E13:E16,E16)=1,E16=MAX(E13:E16)),TRUE,FALSE)))</formula>
    </cfRule>
    <cfRule type="expression" dxfId="977" priority="67">
      <formula>AND(COUNT(F13:F16)&lt;2,IF(COUNT(D13:D16)=2,IF(AND(ISNUMBER(D16),COUNTIF(D13:D16,D16)=1,D16=MIN(D13:D16)),TRUE,FALSE)))</formula>
    </cfRule>
  </conditionalFormatting>
  <conditionalFormatting sqref="F13:F16">
    <cfRule type="aboveAverage" dxfId="976" priority="62"/>
  </conditionalFormatting>
  <conditionalFormatting sqref="D13">
    <cfRule type="expression" dxfId="975" priority="61">
      <formula>AND(COUNT(D13:D16)&lt;2,IF(ISNUMBER(C16),C13&gt;C16))</formula>
    </cfRule>
  </conditionalFormatting>
  <conditionalFormatting sqref="D14">
    <cfRule type="expression" dxfId="974" priority="60">
      <formula>AND(COUNT(D13:D16)&lt;2,IF(ISNUMBER(C15),C14&gt;C15))</formula>
    </cfRule>
  </conditionalFormatting>
  <conditionalFormatting sqref="D15">
    <cfRule type="expression" dxfId="973" priority="59">
      <formula>AND(COUNT(D13:D16)&lt;2,IF(ISNUMBER(C14),C15&gt;C14))</formula>
    </cfRule>
  </conditionalFormatting>
  <conditionalFormatting sqref="D16">
    <cfRule type="expression" dxfId="972" priority="58">
      <formula>AND(COUNT(D13:D16)&lt;2,IF(ISNUMBER(C13),C16&gt;C13))</formula>
    </cfRule>
  </conditionalFormatting>
  <conditionalFormatting sqref="D13:D16">
    <cfRule type="aboveAverage" dxfId="971" priority="57"/>
  </conditionalFormatting>
  <conditionalFormatting sqref="E22">
    <cfRule type="expression" dxfId="970" priority="56">
      <formula>AND(COUNT(E19:E22)&lt;2,IF(ISNUMBER(C22),C19&gt;C22))</formula>
    </cfRule>
  </conditionalFormatting>
  <conditionalFormatting sqref="E19">
    <cfRule type="expression" dxfId="969" priority="55">
      <formula>AND(COUNT(E19:E22)&lt;2,IF(ISNUMBER(C19),C22&gt;C19))</formula>
    </cfRule>
  </conditionalFormatting>
  <conditionalFormatting sqref="E20">
    <cfRule type="expression" dxfId="968" priority="54">
      <formula>AND(COUNT(E19:E22)&lt;2,IF(ISNUMBER(C20),C21&gt;C20))</formula>
    </cfRule>
  </conditionalFormatting>
  <conditionalFormatting sqref="E21">
    <cfRule type="expression" dxfId="967" priority="53">
      <formula>AND(COUNT(E19:E22)&lt;2,IF(ISNUMBER(C21),C20&gt;C21))</formula>
    </cfRule>
  </conditionalFormatting>
  <conditionalFormatting sqref="E19:E22">
    <cfRule type="aboveAverage" dxfId="966" priority="52"/>
  </conditionalFormatting>
  <conditionalFormatting sqref="F19">
    <cfRule type="expression" dxfId="965" priority="47">
      <formula>AND(COUNT(F19:F22)&lt;2,IF(COUNT(E19:E22)=2,IF(AND(ISNUMBER(E19),COUNTIF(E19:E22,E19)=1,E19=MAX(E19:E22)),TRUE,FALSE)))</formula>
    </cfRule>
    <cfRule type="expression" dxfId="964" priority="51">
      <formula>AND(COUNT(F19:F22)&lt;2,IF(COUNT(D19:D22)=2,IF(AND(ISNUMBER(D19),COUNTIF(D19:D22,D19)=1,D19=MIN(D19:D22)),TRUE,FALSE)))</formula>
    </cfRule>
  </conditionalFormatting>
  <conditionalFormatting sqref="F20">
    <cfRule type="expression" dxfId="963" priority="46">
      <formula>AND(COUNT(F19:F22)&lt;2,IF(COUNT(E19:E22)=2,IF(AND(ISNUMBER(E20),COUNTIF(E19:E22,E20)=1,E20=MAX(E19:E22)),TRUE,FALSE)))</formula>
    </cfRule>
    <cfRule type="expression" dxfId="962" priority="50">
      <formula>AND(COUNT(F19:F22)&lt;2,IF(COUNT(D19:D22)=2,IF(AND(ISNUMBER(D20),COUNTIF(D19:D22,D20)=1,D20=MIN(D19:D22)),TRUE,FALSE)))</formula>
    </cfRule>
  </conditionalFormatting>
  <conditionalFormatting sqref="F21">
    <cfRule type="expression" dxfId="961" priority="45">
      <formula>AND(COUNT(F19:F22)&lt;2,IF(COUNT(E19:E22)=2,IF(AND(ISNUMBER(E21),COUNTIF(E19:E22,E21)=1,E21=MAX(E19:E22)),TRUE,FALSE)))</formula>
    </cfRule>
    <cfRule type="expression" dxfId="960" priority="49">
      <formula>AND(COUNT(F19:F22)&lt;2,IF(COUNT(D19:D22)=2,IF(AND(ISNUMBER(D21),COUNTIF(D19:D22,D21)=1,D21=MIN(D19:D22)),TRUE,FALSE)))</formula>
    </cfRule>
  </conditionalFormatting>
  <conditionalFormatting sqref="F22">
    <cfRule type="expression" dxfId="959" priority="44">
      <formula>AND(COUNT(F19:F22)&lt;2,IF(COUNT(E19:E22)=2,IF(AND(ISNUMBER(E22),COUNTIF(E19:E22,E22)=1,E22=MAX(E19:E22)),TRUE,FALSE)))</formula>
    </cfRule>
    <cfRule type="expression" dxfId="958" priority="48">
      <formula>AND(COUNT(F19:F22)&lt;2,IF(COUNT(D19:D22)=2,IF(AND(ISNUMBER(D22),COUNTIF(D19:D22,D22)=1,D22=MIN(D19:D22)),TRUE,FALSE)))</formula>
    </cfRule>
  </conditionalFormatting>
  <conditionalFormatting sqref="F19:F22">
    <cfRule type="aboveAverage" dxfId="957" priority="43"/>
  </conditionalFormatting>
  <conditionalFormatting sqref="D19">
    <cfRule type="expression" dxfId="956" priority="42">
      <formula>AND(COUNT(D19:D22)&lt;2,IF(ISNUMBER(C22),C19&gt;C22))</formula>
    </cfRule>
  </conditionalFormatting>
  <conditionalFormatting sqref="D20">
    <cfRule type="expression" dxfId="955" priority="41">
      <formula>AND(COUNT(D19:D22)&lt;2,IF(ISNUMBER(C21),C20&gt;C21))</formula>
    </cfRule>
  </conditionalFormatting>
  <conditionalFormatting sqref="D21">
    <cfRule type="expression" dxfId="954" priority="40">
      <formula>AND(COUNT(D19:D22)&lt;2,IF(ISNUMBER(C20),C21&gt;C20))</formula>
    </cfRule>
  </conditionalFormatting>
  <conditionalFormatting sqref="D22">
    <cfRule type="expression" dxfId="953" priority="39">
      <formula>AND(COUNT(D19:D22)&lt;2,IF(ISNUMBER(C19),C22&gt;C19))</formula>
    </cfRule>
  </conditionalFormatting>
  <conditionalFormatting sqref="D19:D22">
    <cfRule type="aboveAverage" dxfId="952" priority="38"/>
  </conditionalFormatting>
  <conditionalFormatting sqref="E28">
    <cfRule type="expression" dxfId="951" priority="37">
      <formula>AND(COUNT(E25:E28)&lt;2,IF(ISNUMBER(C28),C25&gt;C28))</formula>
    </cfRule>
  </conditionalFormatting>
  <conditionalFormatting sqref="E25">
    <cfRule type="expression" dxfId="950" priority="36">
      <formula>AND(COUNT(E25:E28)&lt;2,IF(ISNUMBER(C25),C28&gt;C25))</formula>
    </cfRule>
  </conditionalFormatting>
  <conditionalFormatting sqref="E26">
    <cfRule type="expression" dxfId="949" priority="35">
      <formula>AND(COUNT(E25:E28)&lt;2,IF(ISNUMBER(C26),C27&gt;C26))</formula>
    </cfRule>
  </conditionalFormatting>
  <conditionalFormatting sqref="E27">
    <cfRule type="expression" dxfId="948" priority="34">
      <formula>AND(COUNT(E25:E28)&lt;2,IF(ISNUMBER(C27),C26&gt;C27))</formula>
    </cfRule>
  </conditionalFormatting>
  <conditionalFormatting sqref="E25:E28">
    <cfRule type="aboveAverage" dxfId="947" priority="33"/>
  </conditionalFormatting>
  <conditionalFormatting sqref="F25">
    <cfRule type="expression" dxfId="946" priority="28">
      <formula>AND(COUNT(F25:F28)&lt;2,IF(COUNT(E25:E28)=2,IF(AND(ISNUMBER(E25),COUNTIF(E25:E28,E25)=1,E25=MAX(E25:E28)),TRUE,FALSE)))</formula>
    </cfRule>
    <cfRule type="expression" dxfId="945" priority="32">
      <formula>AND(COUNT(F25:F28)&lt;2,IF(COUNT(D25:D28)=2,IF(AND(ISNUMBER(D25),COUNTIF(D25:D28,D25)=1,D25=MIN(D25:D28)),TRUE,FALSE)))</formula>
    </cfRule>
  </conditionalFormatting>
  <conditionalFormatting sqref="F26">
    <cfRule type="expression" dxfId="944" priority="27">
      <formula>AND(COUNT(F25:F28)&lt;2,IF(COUNT(E25:E28)=2,IF(AND(ISNUMBER(E26),COUNTIF(E25:E28,E26)=1,E26=MAX(E25:E28)),TRUE,FALSE)))</formula>
    </cfRule>
    <cfRule type="expression" dxfId="943" priority="31">
      <formula>AND(COUNT(F25:F28)&lt;2,IF(COUNT(D25:D28)=2,IF(AND(ISNUMBER(D26),COUNTIF(D25:D28,D26)=1,D26=MIN(D25:D28)),TRUE,FALSE)))</formula>
    </cfRule>
  </conditionalFormatting>
  <conditionalFormatting sqref="F27">
    <cfRule type="expression" dxfId="942" priority="26">
      <formula>AND(COUNT(F25:F28)&lt;2,IF(COUNT(E25:E28)=2,IF(AND(ISNUMBER(E27),COUNTIF(E25:E28,E27)=1,E27=MAX(E25:E28)),TRUE,FALSE)))</formula>
    </cfRule>
    <cfRule type="expression" dxfId="941" priority="30">
      <formula>AND(COUNT(F25:F28)&lt;2,IF(COUNT(D25:D28)=2,IF(AND(ISNUMBER(D27),COUNTIF(D25:D28,D27)=1,D27=MIN(D25:D28)),TRUE,FALSE)))</formula>
    </cfRule>
  </conditionalFormatting>
  <conditionalFormatting sqref="F28">
    <cfRule type="expression" dxfId="940" priority="25">
      <formula>AND(COUNT(F25:F28)&lt;2,IF(COUNT(E25:E28)=2,IF(AND(ISNUMBER(E28),COUNTIF(E25:E28,E28)=1,E28=MAX(E25:E28)),TRUE,FALSE)))</formula>
    </cfRule>
    <cfRule type="expression" dxfId="939" priority="29">
      <formula>AND(COUNT(F25:F28)&lt;2,IF(COUNT(D25:D28)=2,IF(AND(ISNUMBER(D28),COUNTIF(D25:D28,D28)=1,D28=MIN(D25:D28)),TRUE,FALSE)))</formula>
    </cfRule>
  </conditionalFormatting>
  <conditionalFormatting sqref="F25:F28">
    <cfRule type="aboveAverage" dxfId="938" priority="24"/>
  </conditionalFormatting>
  <conditionalFormatting sqref="D25">
    <cfRule type="expression" dxfId="937" priority="23">
      <formula>AND(COUNT(D25:D28)&lt;2,IF(ISNUMBER(C28),C25&gt;C28))</formula>
    </cfRule>
  </conditionalFormatting>
  <conditionalFormatting sqref="D26">
    <cfRule type="expression" dxfId="936" priority="22">
      <formula>AND(COUNT(D25:D28)&lt;2,IF(ISNUMBER(C27),C26&gt;C27))</formula>
    </cfRule>
  </conditionalFormatting>
  <conditionalFormatting sqref="D27">
    <cfRule type="expression" dxfId="935" priority="21">
      <formula>AND(COUNT(D25:D28)&lt;2,IF(ISNUMBER(C26),C27&gt;C26))</formula>
    </cfRule>
  </conditionalFormatting>
  <conditionalFormatting sqref="D28">
    <cfRule type="expression" dxfId="934" priority="20">
      <formula>AND(COUNT(D25:D28)&lt;2,IF(ISNUMBER(C25),C28&gt;C25))</formula>
    </cfRule>
  </conditionalFormatting>
  <conditionalFormatting sqref="D25:D28">
    <cfRule type="aboveAverage" dxfId="933" priority="19"/>
  </conditionalFormatting>
  <conditionalFormatting sqref="B300:B307 B312">
    <cfRule type="containsBlanks" dxfId="932" priority="7189">
      <formula>LEN(TRIM(B300))=0</formula>
    </cfRule>
    <cfRule type="duplicateValues" dxfId="931" priority="7190"/>
  </conditionalFormatting>
  <conditionalFormatting sqref="B308">
    <cfRule type="duplicateValues" dxfId="930" priority="4"/>
  </conditionalFormatting>
  <conditionalFormatting sqref="B309">
    <cfRule type="duplicateValues" dxfId="929" priority="3"/>
  </conditionalFormatting>
  <conditionalFormatting sqref="B310">
    <cfRule type="duplicateValues" dxfId="928" priority="2"/>
  </conditionalFormatting>
  <conditionalFormatting sqref="B311">
    <cfRule type="duplicateValues" dxfId="927"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28" max="16383" man="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69"/>
  <sheetViews>
    <sheetView showGridLines="0" showRowColHeaders="0" zoomScaleNormal="100" workbookViewId="0">
      <pane ySplit="2" topLeftCell="A3" activePane="bottomLeft" state="frozen"/>
      <selection activeCell="G1" sqref="G1"/>
      <selection pane="bottomLeft" activeCell="I1" sqref="I1"/>
    </sheetView>
  </sheetViews>
  <sheetFormatPr defaultRowHeight="12.75" x14ac:dyDescent="0.2"/>
  <cols>
    <col min="1" max="1" width="3.5703125" style="79" customWidth="1"/>
    <col min="2" max="2" width="53.7109375" style="79" customWidth="1"/>
    <col min="3" max="11" width="4.7109375" style="79" customWidth="1"/>
    <col min="12" max="12" width="2.7109375" style="79" bestFit="1" customWidth="1"/>
    <col min="13" max="13" width="2.7109375" style="79" customWidth="1"/>
    <col min="14" max="14" width="28.42578125" style="79" customWidth="1"/>
    <col min="15" max="16384" width="9.140625" style="79"/>
  </cols>
  <sheetData>
    <row r="1" spans="1:13" x14ac:dyDescent="0.2">
      <c r="A1" s="72" t="str">
        <f>UPPER((Kalend!E18)&amp;" - "&amp;(Kalend!C18)&amp;" - "&amp;(Kalend!D18))</f>
        <v>KL-S - KLUBIDE SARI - ÜKSIK, DUO, TRIO</v>
      </c>
      <c r="C1" s="41" t="str">
        <f>HYPERLINK("#'Kalend'!I1","Kalender")</f>
        <v>Kalender</v>
      </c>
      <c r="F1" s="41" t="str">
        <f>HYPERLINK("#Üldreiting!s1","Reiting")</f>
        <v>Reiting</v>
      </c>
    </row>
    <row r="2" spans="1:13" x14ac:dyDescent="0.2">
      <c r="A2" s="79" t="str">
        <f>"Toimumisaeg: "&amp;(Kalend!A18)&amp;" kell "&amp;(Kalend!B18)</f>
        <v>Toimumisaeg: L, 20.01.2018 kell 10:00</v>
      </c>
    </row>
    <row r="3" spans="1:13" x14ac:dyDescent="0.2">
      <c r="A3" s="79" t="str">
        <f>"Toimumiskoht: "&amp;(Kalend!F18)</f>
        <v>Toimumiskoht: Tallinn, Algi 38</v>
      </c>
    </row>
    <row r="4" spans="1:13" x14ac:dyDescent="0.2">
      <c r="A4" s="79" t="str">
        <f>"Korraldaja: "&amp;(Kalend!G18)</f>
        <v>Korraldaja: EPKL</v>
      </c>
    </row>
    <row r="5" spans="1:13" x14ac:dyDescent="0.2">
      <c r="A5"/>
      <c r="B5"/>
      <c r="C5"/>
      <c r="D5"/>
      <c r="E5"/>
      <c r="F5"/>
      <c r="G5"/>
      <c r="H5"/>
      <c r="I5"/>
      <c r="J5" s="458" t="str">
        <f>IF(COUNTIF(J7:J13,"3-2")&gt;=4,"Kontrolli omavaheliste mängude võite!","")</f>
        <v/>
      </c>
      <c r="K5"/>
      <c r="L5"/>
      <c r="M5"/>
    </row>
    <row r="6" spans="1:13" s="30" customFormat="1" x14ac:dyDescent="0.2">
      <c r="A6" s="459"/>
      <c r="B6" s="459"/>
      <c r="C6" s="460">
        <v>1</v>
      </c>
      <c r="D6" s="460">
        <v>2</v>
      </c>
      <c r="E6" s="460">
        <v>3</v>
      </c>
      <c r="F6" s="460">
        <v>4</v>
      </c>
      <c r="G6" s="460">
        <v>5</v>
      </c>
      <c r="H6" s="460">
        <v>6</v>
      </c>
      <c r="I6" s="482">
        <v>7</v>
      </c>
      <c r="J6" s="491" t="s">
        <v>713</v>
      </c>
      <c r="K6" s="487" t="s">
        <v>87</v>
      </c>
    </row>
    <row r="7" spans="1:13" s="30" customFormat="1" ht="25.5" x14ac:dyDescent="0.2">
      <c r="A7" s="466">
        <v>1</v>
      </c>
      <c r="B7" s="461" t="s">
        <v>742</v>
      </c>
      <c r="C7" s="469"/>
      <c r="D7" s="476" t="s">
        <v>750</v>
      </c>
      <c r="E7" s="480" t="s">
        <v>751</v>
      </c>
      <c r="F7" s="481" t="s">
        <v>750</v>
      </c>
      <c r="G7" s="480" t="s">
        <v>751</v>
      </c>
      <c r="H7" s="474" t="s">
        <v>751</v>
      </c>
      <c r="I7" s="483" t="s">
        <v>731</v>
      </c>
      <c r="J7" s="488" t="s">
        <v>720</v>
      </c>
      <c r="K7" s="489">
        <v>6</v>
      </c>
      <c r="L7" s="901" t="s">
        <v>757</v>
      </c>
      <c r="M7" s="494" t="s">
        <v>758</v>
      </c>
    </row>
    <row r="8" spans="1:13" s="30" customFormat="1" ht="25.5" x14ac:dyDescent="0.2">
      <c r="A8" s="466">
        <v>2</v>
      </c>
      <c r="B8" s="461" t="s">
        <v>743</v>
      </c>
      <c r="C8" s="475" t="s">
        <v>731</v>
      </c>
      <c r="D8" s="469"/>
      <c r="E8" s="476" t="s">
        <v>752</v>
      </c>
      <c r="F8" s="476" t="s">
        <v>750</v>
      </c>
      <c r="G8" s="476" t="s">
        <v>750</v>
      </c>
      <c r="H8" s="474" t="s">
        <v>751</v>
      </c>
      <c r="I8" s="483" t="s">
        <v>731</v>
      </c>
      <c r="J8" s="490" t="s">
        <v>753</v>
      </c>
      <c r="K8" s="489"/>
      <c r="M8" s="492"/>
    </row>
    <row r="9" spans="1:13" s="30" customFormat="1" ht="25.5" x14ac:dyDescent="0.2">
      <c r="A9" s="466">
        <v>3</v>
      </c>
      <c r="B9" s="461" t="s">
        <v>744</v>
      </c>
      <c r="C9" s="481" t="s">
        <v>752</v>
      </c>
      <c r="D9" s="470" t="s">
        <v>751</v>
      </c>
      <c r="E9" s="469"/>
      <c r="F9" s="480" t="s">
        <v>731</v>
      </c>
      <c r="G9" s="481" t="s">
        <v>750</v>
      </c>
      <c r="H9" s="474" t="s">
        <v>731</v>
      </c>
      <c r="I9" s="483" t="s">
        <v>751</v>
      </c>
      <c r="J9" s="488" t="s">
        <v>720</v>
      </c>
      <c r="K9" s="489">
        <v>4</v>
      </c>
      <c r="L9" s="902" t="s">
        <v>756</v>
      </c>
      <c r="M9" s="493" t="s">
        <v>758</v>
      </c>
    </row>
    <row r="10" spans="1:13" s="30" customFormat="1" ht="25.5" x14ac:dyDescent="0.2">
      <c r="A10" s="466">
        <v>4</v>
      </c>
      <c r="B10" s="461" t="s">
        <v>745</v>
      </c>
      <c r="C10" s="480" t="s">
        <v>731</v>
      </c>
      <c r="D10" s="471" t="s">
        <v>731</v>
      </c>
      <c r="E10" s="481" t="s">
        <v>750</v>
      </c>
      <c r="F10" s="469"/>
      <c r="G10" s="480" t="s">
        <v>731</v>
      </c>
      <c r="H10" s="477" t="s">
        <v>750</v>
      </c>
      <c r="I10" s="484" t="s">
        <v>731</v>
      </c>
      <c r="J10" s="488" t="s">
        <v>720</v>
      </c>
      <c r="K10" s="489">
        <v>7</v>
      </c>
      <c r="L10" s="901" t="s">
        <v>757</v>
      </c>
      <c r="M10" s="494" t="s">
        <v>605</v>
      </c>
    </row>
    <row r="11" spans="1:13" ht="25.5" x14ac:dyDescent="0.2">
      <c r="A11" s="466">
        <v>5</v>
      </c>
      <c r="B11" s="462" t="s">
        <v>746</v>
      </c>
      <c r="C11" s="481" t="s">
        <v>752</v>
      </c>
      <c r="D11" s="474" t="s">
        <v>731</v>
      </c>
      <c r="E11" s="480" t="s">
        <v>731</v>
      </c>
      <c r="F11" s="481" t="s">
        <v>750</v>
      </c>
      <c r="G11" s="469"/>
      <c r="H11" s="474" t="s">
        <v>751</v>
      </c>
      <c r="I11" s="483" t="s">
        <v>731</v>
      </c>
      <c r="J11" s="488" t="s">
        <v>720</v>
      </c>
      <c r="K11" s="489">
        <v>5</v>
      </c>
      <c r="L11" s="902" t="s">
        <v>756</v>
      </c>
      <c r="M11" s="493" t="s">
        <v>605</v>
      </c>
    </row>
    <row r="12" spans="1:13" s="30" customFormat="1" ht="25.5" x14ac:dyDescent="0.2">
      <c r="A12" s="466">
        <v>6</v>
      </c>
      <c r="B12" s="461" t="s">
        <v>747</v>
      </c>
      <c r="C12" s="478" t="s">
        <v>752</v>
      </c>
      <c r="D12" s="479" t="s">
        <v>752</v>
      </c>
      <c r="E12" s="479" t="s">
        <v>750</v>
      </c>
      <c r="F12" s="472" t="s">
        <v>731</v>
      </c>
      <c r="G12" s="479" t="s">
        <v>752</v>
      </c>
      <c r="H12" s="473"/>
      <c r="I12" s="485" t="s">
        <v>731</v>
      </c>
      <c r="J12" s="490" t="s">
        <v>754</v>
      </c>
      <c r="K12" s="489">
        <v>2</v>
      </c>
      <c r="M12" s="492"/>
    </row>
    <row r="13" spans="1:13" s="30" customFormat="1" ht="25.5" x14ac:dyDescent="0.2">
      <c r="A13" s="466">
        <v>7</v>
      </c>
      <c r="B13" s="461" t="s">
        <v>748</v>
      </c>
      <c r="C13" s="478" t="s">
        <v>750</v>
      </c>
      <c r="D13" s="478" t="s">
        <v>750</v>
      </c>
      <c r="E13" s="478" t="s">
        <v>752</v>
      </c>
      <c r="F13" s="478" t="s">
        <v>750</v>
      </c>
      <c r="G13" s="478" t="s">
        <v>750</v>
      </c>
      <c r="H13" s="478" t="s">
        <v>750</v>
      </c>
      <c r="I13" s="486"/>
      <c r="J13" s="490" t="s">
        <v>755</v>
      </c>
      <c r="K13" s="489">
        <v>1</v>
      </c>
      <c r="M13" s="492"/>
    </row>
    <row r="14" spans="1:13" s="30" customFormat="1" x14ac:dyDescent="0.2">
      <c r="J14" s="79"/>
      <c r="K14" s="79"/>
      <c r="L14" s="79"/>
      <c r="M14" s="79"/>
    </row>
    <row r="15" spans="1:13" s="30" customFormat="1" x14ac:dyDescent="0.2">
      <c r="B15" s="463" t="s">
        <v>714</v>
      </c>
      <c r="C15" s="464" t="s">
        <v>734</v>
      </c>
      <c r="D15" s="37" t="s">
        <v>721</v>
      </c>
      <c r="E15" s="37" t="s">
        <v>729</v>
      </c>
      <c r="J15" s="79"/>
      <c r="K15" s="79"/>
      <c r="L15" s="79"/>
      <c r="M15" s="79"/>
    </row>
    <row r="16" spans="1:13" s="30" customFormat="1" x14ac:dyDescent="0.2">
      <c r="B16" s="463" t="s">
        <v>718</v>
      </c>
      <c r="C16" s="464" t="s">
        <v>736</v>
      </c>
      <c r="D16" s="37" t="s">
        <v>728</v>
      </c>
      <c r="E16" s="37" t="s">
        <v>732</v>
      </c>
      <c r="J16" s="79"/>
      <c r="K16" s="79"/>
      <c r="L16" s="79"/>
      <c r="M16" s="79"/>
    </row>
    <row r="17" spans="1:14" x14ac:dyDescent="0.2">
      <c r="A17" s="30"/>
      <c r="B17" s="463" t="s">
        <v>722</v>
      </c>
      <c r="C17" s="464" t="s">
        <v>715</v>
      </c>
      <c r="D17" s="37" t="s">
        <v>716</v>
      </c>
      <c r="E17" s="37" t="s">
        <v>717</v>
      </c>
      <c r="F17" s="30"/>
      <c r="G17" s="30"/>
      <c r="H17" s="30"/>
      <c r="I17" s="30"/>
    </row>
    <row r="18" spans="1:14" s="30" customFormat="1" x14ac:dyDescent="0.2">
      <c r="B18" s="463" t="s">
        <v>726</v>
      </c>
      <c r="C18" s="464" t="s">
        <v>719</v>
      </c>
      <c r="D18" s="37" t="s">
        <v>720</v>
      </c>
      <c r="E18" s="464" t="s">
        <v>737</v>
      </c>
      <c r="J18" s="79"/>
      <c r="K18" s="79"/>
      <c r="L18" s="79"/>
      <c r="M18" s="79"/>
    </row>
    <row r="19" spans="1:14" s="30" customFormat="1" x14ac:dyDescent="0.2">
      <c r="B19" s="463" t="s">
        <v>730</v>
      </c>
      <c r="C19" s="37" t="s">
        <v>727</v>
      </c>
      <c r="D19" s="464" t="s">
        <v>739</v>
      </c>
      <c r="E19" s="37" t="s">
        <v>725</v>
      </c>
      <c r="J19" s="79"/>
      <c r="K19" s="79"/>
      <c r="L19" s="79"/>
      <c r="M19" s="79"/>
    </row>
    <row r="20" spans="1:14" s="30" customFormat="1" x14ac:dyDescent="0.2">
      <c r="B20" s="465" t="s">
        <v>740</v>
      </c>
      <c r="C20" s="37" t="s">
        <v>723</v>
      </c>
      <c r="D20" s="37" t="s">
        <v>724</v>
      </c>
      <c r="E20" s="464" t="s">
        <v>738</v>
      </c>
      <c r="J20" s="79"/>
      <c r="K20" s="79"/>
      <c r="L20" s="79"/>
      <c r="M20" s="79"/>
    </row>
    <row r="21" spans="1:14" s="30" customFormat="1" x14ac:dyDescent="0.2">
      <c r="B21" s="465" t="s">
        <v>735</v>
      </c>
      <c r="C21" s="37" t="s">
        <v>731</v>
      </c>
      <c r="D21" s="37" t="s">
        <v>733</v>
      </c>
      <c r="E21" s="464" t="s">
        <v>741</v>
      </c>
      <c r="J21" s="79"/>
      <c r="K21" s="79"/>
      <c r="L21" s="79"/>
      <c r="M21" s="79"/>
    </row>
    <row r="22" spans="1:14" s="30" customFormat="1" x14ac:dyDescent="0.2"/>
    <row r="23" spans="1:14" s="42" customFormat="1" x14ac:dyDescent="0.2">
      <c r="A23" s="60" t="s">
        <v>90</v>
      </c>
      <c r="B23" s="45"/>
      <c r="C23" s="35"/>
      <c r="F23" s="36"/>
      <c r="G23" s="37"/>
    </row>
    <row r="24" spans="1:14" s="42" customFormat="1" x14ac:dyDescent="0.2">
      <c r="E24" s="464"/>
    </row>
    <row r="25" spans="1:14" s="42" customFormat="1" ht="25.5" x14ac:dyDescent="0.2">
      <c r="A25" s="61"/>
      <c r="B25" s="495" t="s">
        <v>748</v>
      </c>
      <c r="C25" s="507"/>
      <c r="D25" s="37"/>
      <c r="E25" s="37"/>
    </row>
    <row r="26" spans="1:14" s="42" customFormat="1" x14ac:dyDescent="0.2">
      <c r="A26" s="43"/>
      <c r="B26" s="496"/>
      <c r="C26" s="504" t="s">
        <v>762</v>
      </c>
      <c r="E26" s="798">
        <v>1</v>
      </c>
    </row>
    <row r="27" spans="1:14" s="42" customFormat="1" ht="25.5" x14ac:dyDescent="0.2">
      <c r="A27" s="43"/>
      <c r="B27" s="499" t="s">
        <v>761</v>
      </c>
      <c r="C27" s="506"/>
      <c r="D27" s="345"/>
    </row>
    <row r="28" spans="1:14" s="42" customFormat="1" x14ac:dyDescent="0.2">
      <c r="A28" s="43"/>
      <c r="B28" s="498"/>
      <c r="D28" s="46"/>
      <c r="E28" s="504" t="s">
        <v>763</v>
      </c>
      <c r="G28" s="798">
        <v>1</v>
      </c>
    </row>
    <row r="29" spans="1:14" s="42" customFormat="1" ht="25.5" x14ac:dyDescent="0.2">
      <c r="A29" s="43"/>
      <c r="B29" s="495" t="s">
        <v>744</v>
      </c>
      <c r="C29" s="798">
        <v>1</v>
      </c>
      <c r="D29" s="46"/>
      <c r="E29" s="343"/>
      <c r="F29" s="345"/>
      <c r="H29" s="917"/>
      <c r="I29" s="917"/>
      <c r="J29" s="917"/>
      <c r="K29" s="917"/>
      <c r="L29" s="917"/>
      <c r="M29" s="917"/>
      <c r="N29" s="917"/>
    </row>
    <row r="30" spans="1:14" s="42" customFormat="1" x14ac:dyDescent="0.2">
      <c r="A30" s="43"/>
      <c r="B30" s="496"/>
      <c r="C30" s="504" t="s">
        <v>763</v>
      </c>
      <c r="D30" s="50"/>
      <c r="E30" s="63">
        <v>2</v>
      </c>
      <c r="F30" s="46"/>
      <c r="H30" s="916" t="s">
        <v>747</v>
      </c>
      <c r="I30" s="916"/>
      <c r="J30" s="916"/>
      <c r="K30" s="916"/>
      <c r="L30" s="916"/>
      <c r="M30" s="916"/>
      <c r="N30" s="916"/>
    </row>
    <row r="31" spans="1:14" s="42" customFormat="1" ht="25.5" customHeight="1" thickBot="1" x14ac:dyDescent="0.25">
      <c r="A31" s="43"/>
      <c r="B31" s="497" t="s">
        <v>746</v>
      </c>
      <c r="C31" s="799">
        <v>2</v>
      </c>
      <c r="E31" s="45"/>
      <c r="F31" s="46"/>
      <c r="H31" s="916"/>
      <c r="I31" s="916"/>
      <c r="J31" s="916"/>
      <c r="K31" s="916"/>
      <c r="L31" s="916"/>
      <c r="M31" s="916"/>
      <c r="N31" s="916"/>
    </row>
    <row r="32" spans="1:14" s="42" customFormat="1" x14ac:dyDescent="0.2">
      <c r="A32" s="52"/>
      <c r="B32" s="498"/>
      <c r="E32" s="45"/>
      <c r="F32" s="46"/>
      <c r="G32" s="48"/>
      <c r="H32" s="501" t="s">
        <v>277</v>
      </c>
      <c r="I32" s="502"/>
      <c r="J32" s="49"/>
      <c r="K32" s="49"/>
      <c r="L32" s="49"/>
      <c r="M32" s="49"/>
    </row>
    <row r="33" spans="1:14" s="42" customFormat="1" ht="25.5" x14ac:dyDescent="0.2">
      <c r="A33" s="61"/>
      <c r="B33" s="495" t="s">
        <v>743</v>
      </c>
      <c r="C33" s="798">
        <v>2</v>
      </c>
      <c r="F33" s="46"/>
    </row>
    <row r="34" spans="1:14" s="42" customFormat="1" x14ac:dyDescent="0.2">
      <c r="A34" s="43"/>
      <c r="B34" s="496"/>
      <c r="C34" s="504" t="s">
        <v>764</v>
      </c>
      <c r="E34" s="798">
        <v>0</v>
      </c>
      <c r="F34" s="46"/>
      <c r="G34" s="45"/>
    </row>
    <row r="35" spans="1:14" s="42" customFormat="1" ht="25.5" x14ac:dyDescent="0.2">
      <c r="A35" s="43"/>
      <c r="B35" s="497" t="s">
        <v>742</v>
      </c>
      <c r="C35" s="799">
        <v>1</v>
      </c>
      <c r="D35" s="345"/>
      <c r="F35" s="46"/>
      <c r="G35" s="45"/>
    </row>
    <row r="36" spans="1:14" s="42" customFormat="1" x14ac:dyDescent="0.2">
      <c r="A36" s="43"/>
      <c r="B36" s="498"/>
      <c r="D36" s="46"/>
      <c r="E36" s="504" t="s">
        <v>765</v>
      </c>
      <c r="F36" s="50"/>
      <c r="G36" s="799">
        <v>2</v>
      </c>
      <c r="H36" s="916" t="s">
        <v>746</v>
      </c>
      <c r="I36" s="916"/>
      <c r="J36" s="916"/>
      <c r="K36" s="916"/>
      <c r="L36" s="916"/>
      <c r="M36" s="916"/>
      <c r="N36" s="916"/>
    </row>
    <row r="37" spans="1:14" s="42" customFormat="1" ht="26.25" thickBot="1" x14ac:dyDescent="0.25">
      <c r="A37" s="43"/>
      <c r="B37" s="500" t="s">
        <v>761</v>
      </c>
      <c r="C37" s="507"/>
      <c r="D37" s="46"/>
      <c r="E37" s="343"/>
      <c r="F37" s="45"/>
      <c r="G37" s="45"/>
      <c r="H37" s="916"/>
      <c r="I37" s="916"/>
      <c r="J37" s="916"/>
      <c r="K37" s="916"/>
      <c r="L37" s="916"/>
      <c r="M37" s="916"/>
      <c r="N37" s="916"/>
    </row>
    <row r="38" spans="1:14" s="42" customFormat="1" x14ac:dyDescent="0.2">
      <c r="A38" s="43"/>
      <c r="B38" s="496"/>
      <c r="C38" s="504" t="s">
        <v>765</v>
      </c>
      <c r="D38" s="50"/>
      <c r="E38" s="799">
        <v>3</v>
      </c>
      <c r="G38" s="45"/>
      <c r="H38" s="503" t="s">
        <v>278</v>
      </c>
      <c r="I38" s="502"/>
      <c r="J38" s="49"/>
      <c r="K38" s="49"/>
      <c r="L38" s="49"/>
      <c r="M38" s="49"/>
    </row>
    <row r="39" spans="1:14" s="42" customFormat="1" ht="25.5" x14ac:dyDescent="0.2">
      <c r="A39" s="43"/>
      <c r="B39" s="497" t="s">
        <v>747</v>
      </c>
      <c r="C39" s="506"/>
      <c r="E39" s="45"/>
      <c r="F39" s="45"/>
      <c r="G39" s="45"/>
    </row>
    <row r="40" spans="1:14" s="42" customFormat="1" x14ac:dyDescent="0.2">
      <c r="A40" s="52"/>
      <c r="B40" s="313"/>
      <c r="E40" s="53" t="s">
        <v>762</v>
      </c>
      <c r="G40" s="798">
        <v>2</v>
      </c>
      <c r="H40" s="916" t="s">
        <v>748</v>
      </c>
      <c r="I40" s="916"/>
      <c r="J40" s="916"/>
      <c r="K40" s="916"/>
      <c r="L40" s="916"/>
      <c r="M40" s="916"/>
      <c r="N40" s="916"/>
    </row>
    <row r="41" spans="1:14" s="42" customFormat="1" ht="13.5" thickBot="1" x14ac:dyDescent="0.25">
      <c r="E41" s="309"/>
      <c r="F41" s="345"/>
      <c r="G41" s="47"/>
      <c r="H41" s="916"/>
      <c r="I41" s="916"/>
      <c r="J41" s="916"/>
      <c r="K41" s="916"/>
      <c r="L41" s="916"/>
      <c r="M41" s="916"/>
      <c r="N41" s="916"/>
    </row>
    <row r="42" spans="1:14" s="42" customFormat="1" x14ac:dyDescent="0.2">
      <c r="E42" s="505" t="s">
        <v>764</v>
      </c>
      <c r="F42" s="50"/>
      <c r="G42" s="799">
        <v>1</v>
      </c>
      <c r="H42" s="503" t="s">
        <v>279</v>
      </c>
      <c r="I42" s="502"/>
      <c r="J42" s="49"/>
      <c r="K42" s="49"/>
      <c r="L42" s="49"/>
      <c r="M42" s="49"/>
    </row>
    <row r="43" spans="1:14" s="42" customFormat="1" x14ac:dyDescent="0.2">
      <c r="E43" s="468"/>
      <c r="F43" s="45"/>
      <c r="H43" s="53"/>
      <c r="I43" s="45"/>
    </row>
    <row r="44" spans="1:14" s="42" customFormat="1" x14ac:dyDescent="0.2">
      <c r="H44" s="916" t="s">
        <v>743</v>
      </c>
      <c r="I44" s="916"/>
      <c r="J44" s="916"/>
      <c r="K44" s="916"/>
      <c r="L44" s="916"/>
      <c r="M44" s="916"/>
      <c r="N44" s="916"/>
    </row>
    <row r="45" spans="1:14" s="42" customFormat="1" ht="13.5" thickBot="1" x14ac:dyDescent="0.25">
      <c r="E45" s="45"/>
      <c r="F45" s="45"/>
      <c r="H45" s="916"/>
      <c r="I45" s="916"/>
      <c r="J45" s="916"/>
      <c r="K45" s="916"/>
      <c r="L45" s="916"/>
      <c r="M45" s="916"/>
      <c r="N45" s="916"/>
    </row>
    <row r="46" spans="1:14" s="42" customFormat="1" x14ac:dyDescent="0.2">
      <c r="H46" s="503" t="s">
        <v>75</v>
      </c>
      <c r="I46" s="502"/>
      <c r="J46" s="49"/>
      <c r="K46" s="49"/>
      <c r="L46" s="49"/>
      <c r="M46" s="49"/>
    </row>
    <row r="47" spans="1:14" s="42" customFormat="1" x14ac:dyDescent="0.2">
      <c r="J47" s="52"/>
    </row>
    <row r="48" spans="1:14" s="42" customFormat="1" x14ac:dyDescent="0.2">
      <c r="A48" s="64" t="s">
        <v>760</v>
      </c>
      <c r="H48" s="45"/>
      <c r="J48" s="52"/>
    </row>
    <row r="49" spans="1:14" s="42" customFormat="1" x14ac:dyDescent="0.2"/>
    <row r="50" spans="1:14" s="42" customFormat="1" x14ac:dyDescent="0.2">
      <c r="H50" s="916" t="s">
        <v>744</v>
      </c>
      <c r="I50" s="916"/>
      <c r="J50" s="916"/>
      <c r="K50" s="916"/>
      <c r="L50" s="916"/>
      <c r="M50" s="916"/>
      <c r="N50" s="916"/>
    </row>
    <row r="51" spans="1:14" s="42" customFormat="1" ht="13.5" thickBot="1" x14ac:dyDescent="0.25">
      <c r="H51" s="916"/>
      <c r="I51" s="916"/>
      <c r="J51" s="916"/>
      <c r="K51" s="916"/>
      <c r="L51" s="916"/>
      <c r="M51" s="916"/>
      <c r="N51" s="916"/>
    </row>
    <row r="52" spans="1:14" s="42" customFormat="1" x14ac:dyDescent="0.2">
      <c r="H52" s="503" t="s">
        <v>759</v>
      </c>
      <c r="I52" s="502"/>
      <c r="J52" s="49"/>
      <c r="K52" s="49"/>
      <c r="L52" s="49"/>
      <c r="M52" s="49"/>
    </row>
    <row r="53" spans="1:14" s="42" customFormat="1" x14ac:dyDescent="0.2">
      <c r="H53" s="53"/>
      <c r="I53" s="45"/>
    </row>
    <row r="54" spans="1:14" s="42" customFormat="1" x14ac:dyDescent="0.2">
      <c r="H54" s="916" t="s">
        <v>742</v>
      </c>
      <c r="I54" s="916"/>
      <c r="J54" s="916"/>
      <c r="K54" s="916"/>
      <c r="L54" s="916"/>
      <c r="M54" s="916"/>
      <c r="N54" s="916"/>
    </row>
    <row r="55" spans="1:14" s="42" customFormat="1" ht="13.5" thickBot="1" x14ac:dyDescent="0.25">
      <c r="H55" s="916"/>
      <c r="I55" s="916"/>
      <c r="J55" s="916"/>
      <c r="K55" s="916"/>
      <c r="L55" s="916"/>
      <c r="M55" s="916"/>
      <c r="N55" s="916"/>
    </row>
    <row r="56" spans="1:14" s="42" customFormat="1" x14ac:dyDescent="0.2">
      <c r="H56" s="503" t="s">
        <v>759</v>
      </c>
      <c r="I56" s="502"/>
      <c r="J56" s="49"/>
      <c r="K56" s="49"/>
      <c r="L56" s="49"/>
      <c r="M56" s="49"/>
    </row>
    <row r="57" spans="1:14" s="42" customFormat="1" x14ac:dyDescent="0.2">
      <c r="H57" s="53"/>
      <c r="I57" s="45"/>
    </row>
    <row r="58" spans="1:14" s="42" customFormat="1" x14ac:dyDescent="0.2">
      <c r="H58" s="916" t="s">
        <v>745</v>
      </c>
      <c r="I58" s="916"/>
      <c r="J58" s="916"/>
      <c r="K58" s="916"/>
      <c r="L58" s="916"/>
      <c r="M58" s="916"/>
      <c r="N58" s="916"/>
    </row>
    <row r="59" spans="1:14" s="42" customFormat="1" ht="13.5" thickBot="1" x14ac:dyDescent="0.25">
      <c r="H59" s="916"/>
      <c r="I59" s="916"/>
      <c r="J59" s="916"/>
      <c r="K59" s="916"/>
      <c r="L59" s="916"/>
      <c r="M59" s="916"/>
      <c r="N59" s="916"/>
    </row>
    <row r="60" spans="1:14" s="42" customFormat="1" x14ac:dyDescent="0.2">
      <c r="C60" s="81"/>
      <c r="H60" s="503" t="s">
        <v>78</v>
      </c>
      <c r="I60" s="502"/>
      <c r="J60" s="49"/>
      <c r="K60" s="49"/>
      <c r="L60" s="49"/>
      <c r="M60" s="49"/>
    </row>
    <row r="61" spans="1:14" s="42" customFormat="1" x14ac:dyDescent="0.2">
      <c r="H61" s="45"/>
      <c r="I61" s="45"/>
    </row>
    <row r="62" spans="1:14" s="42" customFormat="1" x14ac:dyDescent="0.2">
      <c r="E62" s="45"/>
      <c r="F62" s="45"/>
      <c r="G62" s="79"/>
      <c r="H62" s="79"/>
      <c r="I62" s="79"/>
      <c r="J62" s="79"/>
      <c r="K62" s="79"/>
    </row>
    <row r="63" spans="1:14" s="42" customFormat="1" ht="25.5" customHeight="1" x14ac:dyDescent="0.2">
      <c r="A63" s="511">
        <v>1</v>
      </c>
      <c r="B63" s="467" t="s">
        <v>772</v>
      </c>
      <c r="G63" s="79"/>
      <c r="H63" s="79"/>
      <c r="I63" s="79"/>
      <c r="J63" s="79"/>
      <c r="K63" s="79"/>
    </row>
    <row r="64" spans="1:14" ht="25.5" customHeight="1" x14ac:dyDescent="0.2">
      <c r="A64" s="511">
        <v>2</v>
      </c>
      <c r="B64" s="508" t="s">
        <v>766</v>
      </c>
    </row>
    <row r="65" spans="1:2" ht="25.5" customHeight="1" x14ac:dyDescent="0.2">
      <c r="A65" s="511">
        <v>3</v>
      </c>
      <c r="B65" s="509" t="s">
        <v>767</v>
      </c>
    </row>
    <row r="66" spans="1:2" ht="25.5" customHeight="1" x14ac:dyDescent="0.2">
      <c r="A66" s="511">
        <v>4</v>
      </c>
      <c r="B66" s="510" t="s">
        <v>768</v>
      </c>
    </row>
    <row r="67" spans="1:2" ht="25.5" customHeight="1" x14ac:dyDescent="0.2">
      <c r="A67" s="512" t="s">
        <v>725</v>
      </c>
      <c r="B67" s="510" t="s">
        <v>769</v>
      </c>
    </row>
    <row r="68" spans="1:2" ht="25.5" customHeight="1" x14ac:dyDescent="0.2">
      <c r="A68" s="512" t="s">
        <v>725</v>
      </c>
      <c r="B68" s="510" t="s">
        <v>770</v>
      </c>
    </row>
    <row r="69" spans="1:2" ht="25.5" x14ac:dyDescent="0.2">
      <c r="A69" s="511">
        <v>7</v>
      </c>
      <c r="B69" s="510" t="s">
        <v>771</v>
      </c>
    </row>
  </sheetData>
  <mergeCells count="8">
    <mergeCell ref="H50:N51"/>
    <mergeCell ref="H54:N55"/>
    <mergeCell ref="H58:N59"/>
    <mergeCell ref="H29:N29"/>
    <mergeCell ref="H30:N31"/>
    <mergeCell ref="H36:N37"/>
    <mergeCell ref="H40:N41"/>
    <mergeCell ref="H44:N45"/>
  </mergeCells>
  <conditionalFormatting sqref="A25:A39">
    <cfRule type="cellIs" dxfId="926" priority="118" operator="equal">
      <formula>"-"</formula>
    </cfRule>
  </conditionalFormatting>
  <conditionalFormatting sqref="C25 C27">
    <cfRule type="aboveAverage" dxfId="925" priority="128"/>
  </conditionalFormatting>
  <conditionalFormatting sqref="C29 C31">
    <cfRule type="aboveAverage" dxfId="924" priority="127"/>
  </conditionalFormatting>
  <conditionalFormatting sqref="E26 E30">
    <cfRule type="aboveAverage" dxfId="923" priority="126"/>
  </conditionalFormatting>
  <conditionalFormatting sqref="C33 C35">
    <cfRule type="aboveAverage" dxfId="922" priority="125"/>
  </conditionalFormatting>
  <conditionalFormatting sqref="C37 C39">
    <cfRule type="aboveAverage" dxfId="921" priority="124"/>
  </conditionalFormatting>
  <conditionalFormatting sqref="E34 E38">
    <cfRule type="aboveAverage" dxfId="920" priority="123"/>
  </conditionalFormatting>
  <conditionalFormatting sqref="G28 G36">
    <cfRule type="aboveAverage" dxfId="919" priority="122"/>
  </conditionalFormatting>
  <conditionalFormatting sqref="G40 G42">
    <cfRule type="aboveAverage" dxfId="918" priority="121"/>
  </conditionalFormatting>
  <conditionalFormatting sqref="K7:K13">
    <cfRule type="expression" dxfId="917" priority="26">
      <formula>FIND(2,K7,1)</formula>
    </cfRule>
    <cfRule type="expression" dxfId="916" priority="27">
      <formula>FIND(1,K7,1)</formula>
    </cfRule>
  </conditionalFormatting>
  <conditionalFormatting sqref="C8 D7">
    <cfRule type="aboveAverage" dxfId="915" priority="24"/>
  </conditionalFormatting>
  <conditionalFormatting sqref="E7 C9">
    <cfRule type="aboveAverage" dxfId="914" priority="23"/>
  </conditionalFormatting>
  <conditionalFormatting sqref="F7 C10">
    <cfRule type="aboveAverage" dxfId="913" priority="22"/>
  </conditionalFormatting>
  <conditionalFormatting sqref="D9 E8">
    <cfRule type="aboveAverage" dxfId="912" priority="21"/>
  </conditionalFormatting>
  <conditionalFormatting sqref="C11 G7">
    <cfRule type="aboveAverage" dxfId="911" priority="20"/>
  </conditionalFormatting>
  <conditionalFormatting sqref="D10 F8">
    <cfRule type="aboveAverage" dxfId="910" priority="19"/>
  </conditionalFormatting>
  <conditionalFormatting sqref="C12 H7">
    <cfRule type="aboveAverage" dxfId="909" priority="18"/>
  </conditionalFormatting>
  <conditionalFormatting sqref="D11 G8">
    <cfRule type="aboveAverage" dxfId="908" priority="17"/>
  </conditionalFormatting>
  <conditionalFormatting sqref="E10 F9">
    <cfRule type="aboveAverage" dxfId="907" priority="16"/>
  </conditionalFormatting>
  <conditionalFormatting sqref="C13 I7">
    <cfRule type="aboveAverage" dxfId="906" priority="15"/>
  </conditionalFormatting>
  <conditionalFormatting sqref="D12 H8">
    <cfRule type="aboveAverage" dxfId="905" priority="14"/>
  </conditionalFormatting>
  <conditionalFormatting sqref="E11 G9">
    <cfRule type="aboveAverage" dxfId="904" priority="13"/>
  </conditionalFormatting>
  <conditionalFormatting sqref="D13 I8">
    <cfRule type="aboveAverage" dxfId="903" priority="12"/>
  </conditionalFormatting>
  <conditionalFormatting sqref="E12 H9">
    <cfRule type="aboveAverage" dxfId="902" priority="11"/>
  </conditionalFormatting>
  <conditionalFormatting sqref="F11 G10">
    <cfRule type="aboveAverage" dxfId="901" priority="10"/>
  </conditionalFormatting>
  <conditionalFormatting sqref="E13 I9">
    <cfRule type="aboveAverage" dxfId="900" priority="9"/>
  </conditionalFormatting>
  <conditionalFormatting sqref="F12 H10">
    <cfRule type="aboveAverage" dxfId="899" priority="8"/>
  </conditionalFormatting>
  <conditionalFormatting sqref="F13 I10">
    <cfRule type="aboveAverage" dxfId="898" priority="7"/>
  </conditionalFormatting>
  <conditionalFormatting sqref="G12 H11">
    <cfRule type="aboveAverage" dxfId="897" priority="6"/>
  </conditionalFormatting>
  <conditionalFormatting sqref="G13 I11">
    <cfRule type="aboveAverage" dxfId="896" priority="5"/>
  </conditionalFormatting>
  <conditionalFormatting sqref="H13 I12">
    <cfRule type="aboveAverage" dxfId="895" priority="4"/>
  </conditionalFormatting>
  <conditionalFormatting sqref="B63:B69">
    <cfRule type="duplicateValues" dxfId="894" priority="7198"/>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21" max="16383" man="1"/>
    <brk id="4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9"/>
  <sheetViews>
    <sheetView showGridLines="0" showRowColHeaders="0" zoomScaleNormal="100" workbookViewId="0">
      <pane ySplit="2" topLeftCell="A3" activePane="bottomLeft" state="frozen"/>
      <selection activeCell="G1" sqref="G1"/>
      <selection pane="bottomLeft" activeCell="J1" sqref="J1"/>
    </sheetView>
  </sheetViews>
  <sheetFormatPr defaultRowHeight="12.75" x14ac:dyDescent="0.2"/>
  <cols>
    <col min="1" max="1" width="5.5703125" style="79" customWidth="1"/>
    <col min="2" max="2" width="42.5703125" style="79" bestFit="1" customWidth="1"/>
    <col min="3" max="3" width="3" style="79" customWidth="1"/>
    <col min="4" max="4" width="3.5703125" style="79" customWidth="1"/>
    <col min="5" max="5" width="1.5703125" style="79" customWidth="1"/>
    <col min="6" max="6" width="4.140625" style="79" customWidth="1"/>
    <col min="7" max="7" width="3" style="79" customWidth="1"/>
    <col min="8" max="8" width="39.7109375" style="79" bestFit="1" customWidth="1"/>
    <col min="9" max="9" width="2.5703125" style="79" bestFit="1" customWidth="1"/>
    <col min="10" max="10" width="9.140625" style="79" customWidth="1"/>
    <col min="11" max="16384" width="9.140625" style="79"/>
  </cols>
  <sheetData>
    <row r="1" spans="1:10" x14ac:dyDescent="0.2">
      <c r="A1" s="72" t="str">
        <f>UPPER((Kalend!E26)&amp;" - "&amp;(Kalend!C26)&amp;" - "&amp;(Kalend!D26))</f>
        <v>7 - EESTI REITINGUVÕISTLUS - TRIO</v>
      </c>
      <c r="C1" s="41" t="str">
        <f>HYPERLINK("#'Kalend'!I1","Kalender")</f>
        <v>Kalender</v>
      </c>
      <c r="G1" s="41" t="str">
        <f>HYPERLINK("#Üldreiting!W1","Reiting")</f>
        <v>Reiting</v>
      </c>
      <c r="I1" s="555" t="s">
        <v>790</v>
      </c>
      <c r="J1" s="319"/>
    </row>
    <row r="2" spans="1:10" x14ac:dyDescent="0.2">
      <c r="A2" s="79" t="str">
        <f>"Toimumisaeg: "&amp;(Kalend!A26)&amp;" kell "&amp;(Kalend!B26)</f>
        <v>Toimumisaeg: P, 04.02.2018 kell 10:00</v>
      </c>
      <c r="I2" s="555" t="s">
        <v>791</v>
      </c>
    </row>
    <row r="3" spans="1:10" x14ac:dyDescent="0.2">
      <c r="A3" s="79" t="str">
        <f>"Toimumiskoht: "&amp;(Kalend!F26)</f>
        <v>Toimumiskoht: Tallinn, Algi 38</v>
      </c>
    </row>
    <row r="4" spans="1:10" x14ac:dyDescent="0.2">
      <c r="A4" s="79" t="str">
        <f>"Korraldaja: "&amp;(Kalend!G26)</f>
        <v>Korraldaja: EPKL</v>
      </c>
    </row>
    <row r="6" spans="1:10" x14ac:dyDescent="0.2">
      <c r="A6" s="513" t="s">
        <v>714</v>
      </c>
      <c r="B6" s="514"/>
      <c r="C6" s="515" t="s">
        <v>610</v>
      </c>
      <c r="D6" s="516"/>
      <c r="E6" s="517" t="s">
        <v>785</v>
      </c>
      <c r="F6" s="517"/>
      <c r="G6" s="515" t="s">
        <v>610</v>
      </c>
    </row>
    <row r="7" spans="1:10" x14ac:dyDescent="0.2">
      <c r="A7" s="518" t="s">
        <v>291</v>
      </c>
      <c r="B7" s="519" t="s">
        <v>782</v>
      </c>
      <c r="C7" s="520">
        <f>IF(D7=13,1,0)</f>
        <v>1</v>
      </c>
      <c r="D7" s="521">
        <v>13</v>
      </c>
      <c r="E7" s="522" t="s">
        <v>786</v>
      </c>
      <c r="F7" s="523">
        <v>7</v>
      </c>
      <c r="G7" s="520">
        <f>IF(F7=13,1,0)</f>
        <v>0</v>
      </c>
      <c r="H7" s="519" t="s">
        <v>707</v>
      </c>
      <c r="I7" s="556" t="s">
        <v>294</v>
      </c>
    </row>
    <row r="8" spans="1:10" x14ac:dyDescent="0.2">
      <c r="A8" s="518" t="s">
        <v>275</v>
      </c>
      <c r="B8" s="524" t="s">
        <v>781</v>
      </c>
      <c r="C8" s="520">
        <f t="shared" ref="C8:C11" si="0">IF(D8=13,1,0)</f>
        <v>0</v>
      </c>
      <c r="D8" s="533">
        <v>11</v>
      </c>
      <c r="E8" s="522" t="s">
        <v>786</v>
      </c>
      <c r="F8" s="523">
        <v>10</v>
      </c>
      <c r="G8" s="520">
        <f t="shared" ref="G8:G11" si="1">IF(F8=13,1,0)</f>
        <v>0</v>
      </c>
      <c r="H8" s="525" t="s">
        <v>780</v>
      </c>
      <c r="I8" s="556" t="s">
        <v>295</v>
      </c>
    </row>
    <row r="9" spans="1:10" x14ac:dyDescent="0.2">
      <c r="A9" s="518" t="s">
        <v>292</v>
      </c>
      <c r="B9" s="519" t="s">
        <v>777</v>
      </c>
      <c r="C9" s="520">
        <f t="shared" si="0"/>
        <v>0</v>
      </c>
      <c r="D9" s="521">
        <v>10</v>
      </c>
      <c r="E9" s="522" t="s">
        <v>786</v>
      </c>
      <c r="F9" s="523">
        <v>13</v>
      </c>
      <c r="G9" s="520">
        <f t="shared" si="1"/>
        <v>1</v>
      </c>
      <c r="H9" s="525" t="s">
        <v>701</v>
      </c>
      <c r="I9" s="556" t="s">
        <v>296</v>
      </c>
    </row>
    <row r="10" spans="1:10" x14ac:dyDescent="0.2">
      <c r="A10" s="518" t="s">
        <v>293</v>
      </c>
      <c r="B10" s="519" t="s">
        <v>540</v>
      </c>
      <c r="C10" s="520">
        <f t="shared" si="0"/>
        <v>0</v>
      </c>
      <c r="D10" s="521">
        <v>5</v>
      </c>
      <c r="E10" s="522" t="s">
        <v>786</v>
      </c>
      <c r="F10" s="523">
        <v>13</v>
      </c>
      <c r="G10" s="520">
        <f t="shared" si="1"/>
        <v>1</v>
      </c>
      <c r="H10" s="526" t="s">
        <v>778</v>
      </c>
      <c r="I10" s="556" t="s">
        <v>64</v>
      </c>
    </row>
    <row r="11" spans="1:10" x14ac:dyDescent="0.2">
      <c r="A11" s="518" t="s">
        <v>276</v>
      </c>
      <c r="B11" s="525" t="s">
        <v>539</v>
      </c>
      <c r="C11" s="520">
        <f t="shared" si="0"/>
        <v>0</v>
      </c>
      <c r="D11" s="521">
        <v>3</v>
      </c>
      <c r="E11" s="522" t="s">
        <v>786</v>
      </c>
      <c r="F11" s="523">
        <v>13</v>
      </c>
      <c r="G11" s="520">
        <f t="shared" si="1"/>
        <v>1</v>
      </c>
      <c r="H11" s="534" t="s">
        <v>779</v>
      </c>
      <c r="I11" s="556" t="s">
        <v>195</v>
      </c>
    </row>
    <row r="12" spans="1:10" x14ac:dyDescent="0.2">
      <c r="A12" s="518"/>
      <c r="B12" s="78"/>
      <c r="C12" s="527"/>
      <c r="D12" s="527"/>
      <c r="E12" s="528"/>
      <c r="F12" s="527"/>
      <c r="G12" s="527"/>
      <c r="H12" s="529"/>
    </row>
    <row r="13" spans="1:10" x14ac:dyDescent="0.2">
      <c r="A13" s="530" t="s">
        <v>718</v>
      </c>
      <c r="B13" s="514"/>
      <c r="C13" s="515" t="s">
        <v>610</v>
      </c>
      <c r="D13" s="516"/>
      <c r="E13" s="517" t="s">
        <v>785</v>
      </c>
      <c r="F13" s="517"/>
      <c r="G13" s="515" t="s">
        <v>610</v>
      </c>
    </row>
    <row r="14" spans="1:10" x14ac:dyDescent="0.2">
      <c r="A14" s="518" t="s">
        <v>195</v>
      </c>
      <c r="B14" s="534" t="s">
        <v>779</v>
      </c>
      <c r="C14" s="520">
        <f>IF(D14=13,1,0)</f>
        <v>1</v>
      </c>
      <c r="D14" s="521">
        <v>13</v>
      </c>
      <c r="E14" s="522" t="s">
        <v>786</v>
      </c>
      <c r="F14" s="523">
        <v>4</v>
      </c>
      <c r="G14" s="520">
        <f>IF(F14=13,1,0)</f>
        <v>0</v>
      </c>
      <c r="H14" s="526" t="s">
        <v>778</v>
      </c>
      <c r="I14" s="556" t="s">
        <v>64</v>
      </c>
    </row>
    <row r="15" spans="1:10" x14ac:dyDescent="0.2">
      <c r="A15" s="518" t="s">
        <v>291</v>
      </c>
      <c r="B15" s="519" t="s">
        <v>782</v>
      </c>
      <c r="C15" s="520">
        <f t="shared" ref="C15:C18" si="2">IF(D15=13,1,0)</f>
        <v>1</v>
      </c>
      <c r="D15" s="521">
        <v>13</v>
      </c>
      <c r="E15" s="522" t="s">
        <v>786</v>
      </c>
      <c r="F15" s="523">
        <v>8</v>
      </c>
      <c r="G15" s="520">
        <f t="shared" ref="G15:G18" si="3">IF(F15=13,1,0)</f>
        <v>0</v>
      </c>
      <c r="H15" s="525" t="s">
        <v>701</v>
      </c>
      <c r="I15" s="556" t="s">
        <v>296</v>
      </c>
    </row>
    <row r="16" spans="1:10" x14ac:dyDescent="0.2">
      <c r="A16" s="518" t="s">
        <v>275</v>
      </c>
      <c r="B16" s="524" t="s">
        <v>781</v>
      </c>
      <c r="C16" s="520">
        <f t="shared" si="2"/>
        <v>0</v>
      </c>
      <c r="D16" s="521">
        <v>5</v>
      </c>
      <c r="E16" s="522" t="s">
        <v>786</v>
      </c>
      <c r="F16" s="531">
        <v>11</v>
      </c>
      <c r="G16" s="520">
        <f t="shared" si="3"/>
        <v>0</v>
      </c>
      <c r="H16" s="519" t="s">
        <v>777</v>
      </c>
      <c r="I16" s="556" t="s">
        <v>292</v>
      </c>
    </row>
    <row r="17" spans="1:9" x14ac:dyDescent="0.2">
      <c r="A17" s="518" t="s">
        <v>295</v>
      </c>
      <c r="B17" s="525" t="s">
        <v>780</v>
      </c>
      <c r="C17" s="520">
        <f t="shared" si="2"/>
        <v>1</v>
      </c>
      <c r="D17" s="521">
        <v>13</v>
      </c>
      <c r="E17" s="522" t="s">
        <v>786</v>
      </c>
      <c r="F17" s="523">
        <v>5</v>
      </c>
      <c r="G17" s="520">
        <f t="shared" si="3"/>
        <v>0</v>
      </c>
      <c r="H17" s="519" t="s">
        <v>707</v>
      </c>
      <c r="I17" s="556" t="s">
        <v>294</v>
      </c>
    </row>
    <row r="18" spans="1:9" x14ac:dyDescent="0.2">
      <c r="A18" s="518" t="s">
        <v>293</v>
      </c>
      <c r="B18" s="519" t="s">
        <v>540</v>
      </c>
      <c r="C18" s="520">
        <f t="shared" si="2"/>
        <v>0</v>
      </c>
      <c r="D18" s="533">
        <v>12</v>
      </c>
      <c r="E18" s="522" t="s">
        <v>786</v>
      </c>
      <c r="F18" s="523">
        <v>9</v>
      </c>
      <c r="G18" s="520">
        <f t="shared" si="3"/>
        <v>0</v>
      </c>
      <c r="H18" s="525" t="s">
        <v>539</v>
      </c>
      <c r="I18" s="556" t="s">
        <v>276</v>
      </c>
    </row>
    <row r="19" spans="1:9" x14ac:dyDescent="0.2">
      <c r="A19" s="532"/>
      <c r="B19" s="243"/>
      <c r="C19" s="527"/>
      <c r="D19" s="527"/>
      <c r="E19" s="528"/>
      <c r="F19" s="527"/>
      <c r="G19" s="527"/>
      <c r="H19" s="78"/>
    </row>
    <row r="20" spans="1:9" x14ac:dyDescent="0.2">
      <c r="A20" s="513" t="s">
        <v>722</v>
      </c>
      <c r="B20" s="514"/>
      <c r="C20" s="515" t="s">
        <v>610</v>
      </c>
      <c r="D20" s="516"/>
      <c r="E20" s="517" t="s">
        <v>785</v>
      </c>
      <c r="F20" s="517"/>
      <c r="G20" s="515" t="s">
        <v>610</v>
      </c>
    </row>
    <row r="21" spans="1:9" x14ac:dyDescent="0.2">
      <c r="A21" s="518" t="s">
        <v>195</v>
      </c>
      <c r="B21" s="534" t="s">
        <v>779</v>
      </c>
      <c r="C21" s="520">
        <f>IF(D21=13,1,0)</f>
        <v>0</v>
      </c>
      <c r="D21" s="521">
        <v>8</v>
      </c>
      <c r="E21" s="522" t="s">
        <v>786</v>
      </c>
      <c r="F21" s="523">
        <v>13</v>
      </c>
      <c r="G21" s="520">
        <f>IF(F21=13,1,0)</f>
        <v>1</v>
      </c>
      <c r="H21" s="519" t="s">
        <v>782</v>
      </c>
      <c r="I21" s="556" t="s">
        <v>291</v>
      </c>
    </row>
    <row r="22" spans="1:9" x14ac:dyDescent="0.2">
      <c r="A22" s="518" t="s">
        <v>64</v>
      </c>
      <c r="B22" s="526" t="s">
        <v>778</v>
      </c>
      <c r="C22" s="520">
        <f t="shared" ref="C22:C25" si="4">IF(D22=13,1,0)</f>
        <v>1</v>
      </c>
      <c r="D22" s="521">
        <v>13</v>
      </c>
      <c r="E22" s="522" t="s">
        <v>786</v>
      </c>
      <c r="F22" s="523">
        <v>2</v>
      </c>
      <c r="G22" s="520">
        <f t="shared" ref="G22:G25" si="5">IF(F22=13,1,0)</f>
        <v>0</v>
      </c>
      <c r="H22" s="525" t="s">
        <v>701</v>
      </c>
      <c r="I22" s="556" t="s">
        <v>296</v>
      </c>
    </row>
    <row r="23" spans="1:9" x14ac:dyDescent="0.2">
      <c r="A23" s="518" t="s">
        <v>292</v>
      </c>
      <c r="B23" s="519" t="s">
        <v>777</v>
      </c>
      <c r="C23" s="520">
        <f t="shared" si="4"/>
        <v>1</v>
      </c>
      <c r="D23" s="521">
        <v>13</v>
      </c>
      <c r="E23" s="522" t="s">
        <v>786</v>
      </c>
      <c r="F23" s="523">
        <v>0</v>
      </c>
      <c r="G23" s="520">
        <f t="shared" si="5"/>
        <v>0</v>
      </c>
      <c r="H23" s="525" t="s">
        <v>780</v>
      </c>
      <c r="I23" s="556" t="s">
        <v>295</v>
      </c>
    </row>
    <row r="24" spans="1:9" x14ac:dyDescent="0.2">
      <c r="A24" s="518" t="s">
        <v>275</v>
      </c>
      <c r="B24" s="524" t="s">
        <v>781</v>
      </c>
      <c r="C24" s="520">
        <f t="shared" si="4"/>
        <v>0</v>
      </c>
      <c r="D24" s="521">
        <v>2</v>
      </c>
      <c r="E24" s="522" t="s">
        <v>786</v>
      </c>
      <c r="F24" s="523">
        <v>13</v>
      </c>
      <c r="G24" s="520">
        <f t="shared" si="5"/>
        <v>1</v>
      </c>
      <c r="H24" s="519" t="s">
        <v>540</v>
      </c>
      <c r="I24" s="556" t="s">
        <v>293</v>
      </c>
    </row>
    <row r="25" spans="1:9" x14ac:dyDescent="0.2">
      <c r="A25" s="518" t="s">
        <v>276</v>
      </c>
      <c r="B25" s="525" t="s">
        <v>539</v>
      </c>
      <c r="C25" s="520">
        <f t="shared" si="4"/>
        <v>1</v>
      </c>
      <c r="D25" s="521">
        <v>13</v>
      </c>
      <c r="E25" s="522" t="s">
        <v>786</v>
      </c>
      <c r="F25" s="523">
        <v>11</v>
      </c>
      <c r="G25" s="520">
        <f t="shared" si="5"/>
        <v>0</v>
      </c>
      <c r="H25" s="519" t="s">
        <v>707</v>
      </c>
      <c r="I25" s="556" t="s">
        <v>294</v>
      </c>
    </row>
    <row r="26" spans="1:9" x14ac:dyDescent="0.2">
      <c r="A26" s="532"/>
      <c r="B26" s="243"/>
      <c r="C26" s="527"/>
      <c r="D26" s="527"/>
      <c r="E26" s="528"/>
      <c r="F26" s="527"/>
      <c r="G26" s="527"/>
      <c r="H26" s="243"/>
    </row>
    <row r="27" spans="1:9" x14ac:dyDescent="0.2">
      <c r="A27" s="513" t="s">
        <v>726</v>
      </c>
      <c r="B27" s="514"/>
      <c r="C27" s="515" t="s">
        <v>610</v>
      </c>
      <c r="D27" s="516"/>
      <c r="E27" s="517" t="s">
        <v>785</v>
      </c>
      <c r="F27" s="517"/>
      <c r="G27" s="515" t="s">
        <v>610</v>
      </c>
    </row>
    <row r="28" spans="1:9" x14ac:dyDescent="0.2">
      <c r="A28" s="518" t="s">
        <v>291</v>
      </c>
      <c r="B28" s="519" t="s">
        <v>782</v>
      </c>
      <c r="C28" s="520">
        <f>IF(D28=13,1,0)</f>
        <v>1</v>
      </c>
      <c r="D28" s="521">
        <v>13</v>
      </c>
      <c r="E28" s="522" t="s">
        <v>786</v>
      </c>
      <c r="F28" s="523">
        <v>2</v>
      </c>
      <c r="G28" s="520">
        <f>IF(F28=13,1,0)</f>
        <v>0</v>
      </c>
      <c r="H28" s="526" t="s">
        <v>778</v>
      </c>
      <c r="I28" s="556" t="s">
        <v>64</v>
      </c>
    </row>
    <row r="29" spans="1:9" x14ac:dyDescent="0.2">
      <c r="A29" s="518" t="s">
        <v>195</v>
      </c>
      <c r="B29" s="534" t="s">
        <v>779</v>
      </c>
      <c r="C29" s="520">
        <f t="shared" ref="C29:C32" si="6">IF(D29=13,1,0)</f>
        <v>1</v>
      </c>
      <c r="D29" s="533">
        <v>13</v>
      </c>
      <c r="E29" s="522" t="s">
        <v>786</v>
      </c>
      <c r="F29" s="523">
        <v>8</v>
      </c>
      <c r="G29" s="520">
        <f t="shared" ref="G29:G32" si="7">IF(F29=13,1,0)</f>
        <v>0</v>
      </c>
      <c r="H29" s="519" t="s">
        <v>540</v>
      </c>
      <c r="I29" s="556" t="s">
        <v>293</v>
      </c>
    </row>
    <row r="30" spans="1:9" x14ac:dyDescent="0.2">
      <c r="A30" s="518" t="s">
        <v>292</v>
      </c>
      <c r="B30" s="519" t="s">
        <v>777</v>
      </c>
      <c r="C30" s="520">
        <f t="shared" si="6"/>
        <v>0</v>
      </c>
      <c r="D30" s="521">
        <v>3</v>
      </c>
      <c r="E30" s="522" t="s">
        <v>786</v>
      </c>
      <c r="F30" s="523">
        <v>13</v>
      </c>
      <c r="G30" s="520">
        <f t="shared" si="7"/>
        <v>1</v>
      </c>
      <c r="H30" s="525" t="s">
        <v>539</v>
      </c>
      <c r="I30" s="556" t="s">
        <v>276</v>
      </c>
    </row>
    <row r="31" spans="1:9" x14ac:dyDescent="0.2">
      <c r="A31" s="518" t="s">
        <v>296</v>
      </c>
      <c r="B31" s="525" t="s">
        <v>701</v>
      </c>
      <c r="C31" s="520">
        <f t="shared" si="6"/>
        <v>1</v>
      </c>
      <c r="D31" s="521">
        <v>13</v>
      </c>
      <c r="E31" s="522" t="s">
        <v>786</v>
      </c>
      <c r="F31" s="523">
        <v>7</v>
      </c>
      <c r="G31" s="520">
        <f t="shared" si="7"/>
        <v>0</v>
      </c>
      <c r="H31" s="525" t="s">
        <v>780</v>
      </c>
      <c r="I31" s="556" t="s">
        <v>295</v>
      </c>
    </row>
    <row r="32" spans="1:9" x14ac:dyDescent="0.2">
      <c r="A32" s="518" t="s">
        <v>275</v>
      </c>
      <c r="B32" s="524" t="s">
        <v>781</v>
      </c>
      <c r="C32" s="520">
        <f t="shared" si="6"/>
        <v>1</v>
      </c>
      <c r="D32" s="521">
        <v>13</v>
      </c>
      <c r="E32" s="522" t="s">
        <v>786</v>
      </c>
      <c r="F32" s="523">
        <v>6</v>
      </c>
      <c r="G32" s="520">
        <f t="shared" si="7"/>
        <v>0</v>
      </c>
      <c r="H32" s="519" t="s">
        <v>707</v>
      </c>
      <c r="I32" s="556" t="s">
        <v>294</v>
      </c>
    </row>
    <row r="34" spans="1:7" x14ac:dyDescent="0.2">
      <c r="A34" s="535" t="s">
        <v>787</v>
      </c>
      <c r="B34" s="529"/>
      <c r="C34" s="527"/>
      <c r="D34" s="528"/>
      <c r="E34" s="527"/>
      <c r="F34" s="536"/>
      <c r="G34" s="402"/>
    </row>
    <row r="35" spans="1:7" x14ac:dyDescent="0.2">
      <c r="A35" s="535"/>
      <c r="B35" s="529"/>
      <c r="C35" s="527"/>
      <c r="D35" s="528"/>
      <c r="E35" s="527"/>
      <c r="F35" s="536"/>
      <c r="G35" s="402"/>
    </row>
    <row r="36" spans="1:7" x14ac:dyDescent="0.2">
      <c r="A36" s="518"/>
      <c r="B36" s="529"/>
      <c r="C36" s="537" t="s">
        <v>64</v>
      </c>
      <c r="D36" s="919" t="s">
        <v>65</v>
      </c>
      <c r="E36" s="919"/>
      <c r="F36" s="533" t="s">
        <v>66</v>
      </c>
      <c r="G36" s="538"/>
    </row>
    <row r="37" spans="1:7" x14ac:dyDescent="0.2">
      <c r="A37" s="518"/>
      <c r="B37" s="539"/>
      <c r="C37" s="540" t="s">
        <v>788</v>
      </c>
      <c r="D37" s="920" t="s">
        <v>789</v>
      </c>
      <c r="E37" s="921"/>
      <c r="F37" s="539" t="s">
        <v>785</v>
      </c>
      <c r="G37" s="536"/>
    </row>
    <row r="38" spans="1:7" x14ac:dyDescent="0.2">
      <c r="A38" s="518">
        <v>1</v>
      </c>
      <c r="B38" s="519" t="s">
        <v>782</v>
      </c>
      <c r="C38" s="543">
        <v>4</v>
      </c>
      <c r="D38" s="918">
        <v>7</v>
      </c>
      <c r="E38" s="918"/>
      <c r="F38" s="562" t="s">
        <v>794</v>
      </c>
      <c r="G38" s="561" t="s">
        <v>793</v>
      </c>
    </row>
    <row r="39" spans="1:7" x14ac:dyDescent="0.2">
      <c r="A39" s="518">
        <v>2</v>
      </c>
      <c r="B39" s="534" t="s">
        <v>779</v>
      </c>
      <c r="C39" s="543">
        <v>3</v>
      </c>
      <c r="D39" s="918">
        <v>10</v>
      </c>
      <c r="E39" s="918"/>
      <c r="F39" s="562" t="s">
        <v>796</v>
      </c>
      <c r="G39" s="561" t="s">
        <v>795</v>
      </c>
    </row>
    <row r="40" spans="1:7" x14ac:dyDescent="0.2">
      <c r="A40" s="518">
        <v>3</v>
      </c>
      <c r="B40" s="526" t="s">
        <v>778</v>
      </c>
      <c r="C40" s="567">
        <v>2</v>
      </c>
      <c r="D40" s="918">
        <v>11</v>
      </c>
      <c r="E40" s="918"/>
      <c r="F40" s="562" t="s">
        <v>798</v>
      </c>
      <c r="G40" s="561" t="s">
        <v>797</v>
      </c>
    </row>
    <row r="41" spans="1:7" x14ac:dyDescent="0.2">
      <c r="A41" s="518">
        <v>4</v>
      </c>
      <c r="B41" s="519" t="s">
        <v>540</v>
      </c>
      <c r="C41" s="567">
        <v>2</v>
      </c>
      <c r="D41" s="922">
        <v>9</v>
      </c>
      <c r="E41" s="922"/>
      <c r="F41" s="566" t="s">
        <v>800</v>
      </c>
      <c r="G41" s="561" t="s">
        <v>799</v>
      </c>
    </row>
    <row r="42" spans="1:7" x14ac:dyDescent="0.2">
      <c r="A42" s="542"/>
      <c r="B42" s="547"/>
      <c r="C42" s="548"/>
      <c r="D42" s="549"/>
      <c r="E42" s="549"/>
      <c r="F42" s="550"/>
      <c r="G42" s="551"/>
    </row>
    <row r="43" spans="1:7" x14ac:dyDescent="0.2">
      <c r="A43" s="518">
        <v>5</v>
      </c>
      <c r="B43" s="525" t="s">
        <v>701</v>
      </c>
      <c r="C43" s="567">
        <v>2</v>
      </c>
      <c r="D43" s="922">
        <v>9</v>
      </c>
      <c r="E43" s="922"/>
      <c r="F43" s="566" t="s">
        <v>802</v>
      </c>
      <c r="G43" s="561" t="s">
        <v>801</v>
      </c>
    </row>
    <row r="44" spans="1:7" x14ac:dyDescent="0.2">
      <c r="A44" s="518">
        <v>6</v>
      </c>
      <c r="B44" s="519" t="s">
        <v>777</v>
      </c>
      <c r="C44" s="567">
        <v>2</v>
      </c>
      <c r="D44" s="923">
        <v>7</v>
      </c>
      <c r="E44" s="923"/>
      <c r="F44" s="565" t="s">
        <v>804</v>
      </c>
      <c r="G44" s="561" t="s">
        <v>803</v>
      </c>
    </row>
    <row r="45" spans="1:7" x14ac:dyDescent="0.2">
      <c r="A45" s="518">
        <v>7</v>
      </c>
      <c r="B45" s="525" t="s">
        <v>539</v>
      </c>
      <c r="C45" s="567">
        <v>2</v>
      </c>
      <c r="D45" s="923">
        <v>7</v>
      </c>
      <c r="E45" s="923"/>
      <c r="F45" s="565" t="s">
        <v>798</v>
      </c>
      <c r="G45" s="541" t="s">
        <v>805</v>
      </c>
    </row>
    <row r="46" spans="1:7" x14ac:dyDescent="0.2">
      <c r="A46" s="518">
        <v>8</v>
      </c>
      <c r="B46" s="524" t="s">
        <v>781</v>
      </c>
      <c r="C46" s="567">
        <v>2</v>
      </c>
      <c r="D46" s="918">
        <v>5</v>
      </c>
      <c r="E46" s="918"/>
      <c r="F46" s="563" t="s">
        <v>807</v>
      </c>
      <c r="G46" s="561" t="s">
        <v>806</v>
      </c>
    </row>
    <row r="47" spans="1:7" x14ac:dyDescent="0.2">
      <c r="A47" s="542"/>
      <c r="B47" s="544"/>
      <c r="C47" s="545"/>
      <c r="D47" s="546"/>
      <c r="E47" s="545"/>
      <c r="F47" s="536"/>
      <c r="G47" s="536"/>
    </row>
    <row r="48" spans="1:7" x14ac:dyDescent="0.2">
      <c r="A48" s="518">
        <v>9</v>
      </c>
      <c r="B48" s="525" t="s">
        <v>780</v>
      </c>
      <c r="C48" s="543">
        <v>1</v>
      </c>
      <c r="D48" s="918">
        <v>6</v>
      </c>
      <c r="E48" s="918"/>
      <c r="F48" s="563" t="s">
        <v>809</v>
      </c>
      <c r="G48" s="564" t="s">
        <v>808</v>
      </c>
    </row>
    <row r="49" spans="1:8" x14ac:dyDescent="0.2">
      <c r="A49" s="518">
        <v>10</v>
      </c>
      <c r="B49" s="519" t="s">
        <v>707</v>
      </c>
      <c r="C49" s="543">
        <v>0</v>
      </c>
      <c r="D49" s="918">
        <v>9</v>
      </c>
      <c r="E49" s="918"/>
      <c r="F49" s="563" t="s">
        <v>811</v>
      </c>
      <c r="G49" s="564" t="s">
        <v>810</v>
      </c>
    </row>
    <row r="50" spans="1:8" s="30" customFormat="1" x14ac:dyDescent="0.2">
      <c r="A50" s="34"/>
      <c r="B50" s="38"/>
      <c r="C50" s="36"/>
      <c r="D50" s="36"/>
      <c r="E50" s="36"/>
      <c r="F50" s="36"/>
      <c r="G50" s="39"/>
    </row>
    <row r="51" spans="1:8" s="42" customFormat="1" x14ac:dyDescent="0.2">
      <c r="A51" s="60" t="s">
        <v>90</v>
      </c>
      <c r="B51" s="45"/>
      <c r="C51" s="35"/>
      <c r="D51" s="35"/>
      <c r="E51" s="35"/>
      <c r="F51" s="36"/>
      <c r="G51" s="37"/>
    </row>
    <row r="52" spans="1:8" s="42" customFormat="1" x14ac:dyDescent="0.2"/>
    <row r="53" spans="1:8" s="42" customFormat="1" x14ac:dyDescent="0.2">
      <c r="A53" s="43">
        <v>1</v>
      </c>
      <c r="B53" s="127" t="str">
        <f>IFERROR(INDEX(B$38:B$49,MATCH(A53,A$38:A$49,0)),"")</f>
        <v>Andero Kelu, Kaido Kopel, Mihkel Filipenko</v>
      </c>
      <c r="C53" s="81">
        <v>13</v>
      </c>
      <c r="F53" s="81"/>
      <c r="G53" s="81"/>
    </row>
    <row r="54" spans="1:8" s="42" customFormat="1" x14ac:dyDescent="0.2">
      <c r="A54" s="43"/>
      <c r="B54" s="65"/>
      <c r="C54" s="552" t="str">
        <f>IF(COUNT(C53,C55)=2,IF(C53&gt;C55,B53,B55),"")</f>
        <v>Andero Kelu, Kaido Kopel, Mihkel Filipenko</v>
      </c>
      <c r="G54" s="81">
        <v>6</v>
      </c>
    </row>
    <row r="55" spans="1:8" s="42" customFormat="1" x14ac:dyDescent="0.2">
      <c r="A55" s="43">
        <v>4</v>
      </c>
      <c r="B55" s="323" t="str">
        <f>IFERROR(INDEX(B$38:B$49,MATCH(A55,A$38:A$49,0)),"")</f>
        <v>Aigi Orro, Elmo Lageda, Kalle Orro</v>
      </c>
      <c r="C55" s="553">
        <v>6</v>
      </c>
      <c r="D55" s="309"/>
      <c r="E55" s="309"/>
      <c r="F55" s="554"/>
      <c r="G55" s="81"/>
    </row>
    <row r="56" spans="1:8" s="42" customFormat="1" ht="13.5" thickBot="1" x14ac:dyDescent="0.25">
      <c r="A56" s="43"/>
      <c r="B56" s="81"/>
      <c r="C56" s="51"/>
      <c r="D56" s="45"/>
      <c r="E56" s="45"/>
      <c r="F56" s="68"/>
      <c r="G56" s="81"/>
      <c r="H56" s="224" t="str">
        <f>IF(COUNT(G54,G58)=2,IF(G54&gt;G58,C54,C58),"")</f>
        <v>Margus Berkmann, Meelis Münt, Veiko Proos</v>
      </c>
    </row>
    <row r="57" spans="1:8" s="42" customFormat="1" x14ac:dyDescent="0.2">
      <c r="A57" s="43">
        <v>2</v>
      </c>
      <c r="B57" s="127" t="str">
        <f>IFERROR(INDEX(B$38:B$49,MATCH(A57,A$38:A$49,0)),"")</f>
        <v>Margus Berkmann, Meelis Münt, Veiko Proos</v>
      </c>
      <c r="C57" s="51">
        <v>13</v>
      </c>
      <c r="D57" s="45"/>
      <c r="E57" s="45"/>
      <c r="F57" s="68"/>
      <c r="G57" s="69"/>
      <c r="H57" s="62" t="s">
        <v>277</v>
      </c>
    </row>
    <row r="58" spans="1:8" s="42" customFormat="1" x14ac:dyDescent="0.2">
      <c r="A58" s="43"/>
      <c r="B58" s="65"/>
      <c r="C58" s="126" t="str">
        <f>IF(COUNT(C57,C59)=2,IF(C57&gt;C59,B57,B59),"")</f>
        <v>Margus Berkmann, Meelis Münt, Veiko Proos</v>
      </c>
      <c r="D58" s="344"/>
      <c r="E58" s="344"/>
      <c r="F58" s="50"/>
      <c r="G58" s="63">
        <v>13</v>
      </c>
    </row>
    <row r="59" spans="1:8" s="42" customFormat="1" ht="13.5" thickBot="1" x14ac:dyDescent="0.25">
      <c r="A59" s="43">
        <v>3</v>
      </c>
      <c r="B59" s="323" t="str">
        <f>IFERROR(INDEX(B$38:B$49,MATCH(A59,A$38:A$49,0)),"")</f>
        <v>Jaan Sepp, Mait Metsla, Oskar Sepp</v>
      </c>
      <c r="C59" s="63">
        <v>1</v>
      </c>
      <c r="F59" s="81"/>
      <c r="G59" s="51"/>
      <c r="H59" s="224" t="str">
        <f>IF(COUNT(G54,G58)=2,IF(G54&lt;G58,C54,C58),"")</f>
        <v>Andero Kelu, Kaido Kopel, Mihkel Filipenko</v>
      </c>
    </row>
    <row r="60" spans="1:8" s="42" customFormat="1" x14ac:dyDescent="0.2">
      <c r="B60" s="81"/>
      <c r="C60" s="81"/>
      <c r="F60" s="81"/>
      <c r="G60" s="51"/>
      <c r="H60" s="62" t="s">
        <v>278</v>
      </c>
    </row>
    <row r="61" spans="1:8" s="42" customFormat="1" x14ac:dyDescent="0.2">
      <c r="B61" s="81"/>
      <c r="C61" s="468" t="str">
        <f>IF(COUNT(C53,C55)=2,IF(C53&lt;C55,B53,B55),"")</f>
        <v>Aigi Orro, Elmo Lageda, Kalle Orro</v>
      </c>
      <c r="G61" s="81">
        <v>13</v>
      </c>
      <c r="H61" s="45"/>
    </row>
    <row r="62" spans="1:8" s="42" customFormat="1" ht="13.5" thickBot="1" x14ac:dyDescent="0.25">
      <c r="B62" s="81"/>
      <c r="C62" s="309"/>
      <c r="D62" s="309"/>
      <c r="E62" s="309"/>
      <c r="F62" s="345"/>
      <c r="G62" s="47"/>
      <c r="H62" s="224" t="str">
        <f>IF(COUNT(G61,G63)=2,IF(G61&gt;G63,C61,C63),"")</f>
        <v>Aigi Orro, Elmo Lageda, Kalle Orro</v>
      </c>
    </row>
    <row r="63" spans="1:8" s="42" customFormat="1" x14ac:dyDescent="0.2">
      <c r="B63" s="81"/>
      <c r="C63" s="127" t="str">
        <f>IF(COUNT(C57,C59)=2,IF(C57&lt;C59,B57,B59),"")</f>
        <v>Jaan Sepp, Mait Metsla, Oskar Sepp</v>
      </c>
      <c r="D63" s="344"/>
      <c r="E63" s="344"/>
      <c r="F63" s="50"/>
      <c r="G63" s="63">
        <v>10</v>
      </c>
      <c r="H63" s="53" t="s">
        <v>279</v>
      </c>
    </row>
    <row r="64" spans="1:8" s="42" customFormat="1" x14ac:dyDescent="0.2">
      <c r="H64" s="45"/>
    </row>
    <row r="65" spans="1:8" s="42" customFormat="1" ht="13.5" thickBot="1" x14ac:dyDescent="0.25">
      <c r="C65" s="45"/>
      <c r="F65" s="45"/>
      <c r="H65" s="47" t="str">
        <f>IF(COUNT(G61,G63)=2,IF(G61&lt;G63,C61,C63),"")</f>
        <v>Jaan Sepp, Mait Metsla, Oskar Sepp</v>
      </c>
    </row>
    <row r="66" spans="1:8" s="42" customFormat="1" x14ac:dyDescent="0.2">
      <c r="B66" s="36"/>
      <c r="C66" s="36"/>
      <c r="F66" s="36"/>
      <c r="G66" s="39"/>
      <c r="H66" s="62" t="s">
        <v>75</v>
      </c>
    </row>
    <row r="67" spans="1:8" s="42" customFormat="1" x14ac:dyDescent="0.2"/>
    <row r="68" spans="1:8" s="42" customFormat="1" x14ac:dyDescent="0.2">
      <c r="A68" s="64" t="s">
        <v>95</v>
      </c>
    </row>
    <row r="69" spans="1:8" s="42" customFormat="1" x14ac:dyDescent="0.2">
      <c r="G69" s="45"/>
      <c r="H69" s="45"/>
    </row>
    <row r="70" spans="1:8" s="42" customFormat="1" x14ac:dyDescent="0.2">
      <c r="A70" s="43">
        <v>5</v>
      </c>
      <c r="B70" s="127" t="str">
        <f>IFERROR(INDEX(B$38:B$49,MATCH(A70,A$38:A$49,0)),"")</f>
        <v>Kadri Arunurm, Kalju Olmre, Vahur Raudsepp</v>
      </c>
      <c r="C70" s="81">
        <v>10</v>
      </c>
      <c r="F70" s="81"/>
      <c r="G70" s="81"/>
    </row>
    <row r="71" spans="1:8" s="42" customFormat="1" x14ac:dyDescent="0.2">
      <c r="A71" s="43"/>
      <c r="B71" s="65"/>
      <c r="C71" s="552" t="str">
        <f>IF(COUNT(C70,C72)=2,IF(C70&gt;C72,B70,B72),"")</f>
        <v>Aarne Välja, Ivar Viljaste, Sirje Viljaste</v>
      </c>
      <c r="G71" s="81">
        <v>6</v>
      </c>
    </row>
    <row r="72" spans="1:8" s="42" customFormat="1" x14ac:dyDescent="0.2">
      <c r="A72" s="43">
        <v>8</v>
      </c>
      <c r="B72" s="323" t="str">
        <f>IFERROR(INDEX(B$38:B$49,MATCH(A72,A$38:A$49,0)),"")</f>
        <v>Aarne Välja, Ivar Viljaste, Sirje Viljaste</v>
      </c>
      <c r="C72" s="553">
        <v>13</v>
      </c>
      <c r="D72" s="309"/>
      <c r="E72" s="309"/>
      <c r="F72" s="554"/>
      <c r="G72" s="81"/>
    </row>
    <row r="73" spans="1:8" s="42" customFormat="1" ht="13.5" thickBot="1" x14ac:dyDescent="0.25">
      <c r="A73" s="43"/>
      <c r="B73" s="81"/>
      <c r="C73" s="51"/>
      <c r="D73" s="45"/>
      <c r="E73" s="45"/>
      <c r="F73" s="68"/>
      <c r="G73" s="81"/>
      <c r="H73" s="224" t="str">
        <f>IF(COUNT(G71,G75)=2,IF(G71&gt;G75,C71,C75),"")</f>
        <v>Alari Keedus, Jelena Brakina, Ülo Piik</v>
      </c>
    </row>
    <row r="74" spans="1:8" s="42" customFormat="1" x14ac:dyDescent="0.2">
      <c r="A74" s="43">
        <v>6</v>
      </c>
      <c r="B74" s="127" t="str">
        <f>IFERROR(INDEX(B$38:B$49,MATCH(A74,A$38:A$49,0)),"")</f>
        <v>Alari Keedus, Jelena Brakina, Ülo Piik</v>
      </c>
      <c r="C74" s="51">
        <v>13</v>
      </c>
      <c r="D74" s="45"/>
      <c r="E74" s="45"/>
      <c r="F74" s="68"/>
      <c r="G74" s="69"/>
      <c r="H74" s="62" t="s">
        <v>76</v>
      </c>
    </row>
    <row r="75" spans="1:8" s="42" customFormat="1" x14ac:dyDescent="0.2">
      <c r="A75" s="43"/>
      <c r="B75" s="65"/>
      <c r="C75" s="126" t="str">
        <f>IF(COUNT(C74,C76)=2,IF(C74&gt;C76,B74,B76),"")</f>
        <v>Alari Keedus, Jelena Brakina, Ülo Piik</v>
      </c>
      <c r="D75" s="344"/>
      <c r="E75" s="344"/>
      <c r="F75" s="50"/>
      <c r="G75" s="63">
        <v>13</v>
      </c>
    </row>
    <row r="76" spans="1:8" s="42" customFormat="1" ht="13.5" thickBot="1" x14ac:dyDescent="0.25">
      <c r="A76" s="43">
        <v>7</v>
      </c>
      <c r="B76" s="323" t="str">
        <f>IFERROR(INDEX(B$38:B$49,MATCH(A76,A$38:A$49,0)),"")</f>
        <v>Janek Kiisk, Marek Lehis, Margo Peebo</v>
      </c>
      <c r="C76" s="63">
        <v>1</v>
      </c>
      <c r="F76" s="81"/>
      <c r="G76" s="51"/>
      <c r="H76" s="224" t="str">
        <f>IF(COUNT(G71,G75)=2,IF(G71&lt;G75,C71,C75),"")</f>
        <v>Aarne Välja, Ivar Viljaste, Sirje Viljaste</v>
      </c>
    </row>
    <row r="77" spans="1:8" s="42" customFormat="1" x14ac:dyDescent="0.2">
      <c r="B77" s="81"/>
      <c r="C77" s="81"/>
      <c r="F77" s="81"/>
      <c r="G77" s="51"/>
      <c r="H77" s="62" t="s">
        <v>77</v>
      </c>
    </row>
    <row r="78" spans="1:8" s="42" customFormat="1" x14ac:dyDescent="0.2">
      <c r="B78" s="81"/>
      <c r="C78" s="468" t="str">
        <f>IF(COUNT(C70,C72)=2,IF(C70&lt;C72,B70,B72),"")</f>
        <v>Kadri Arunurm, Kalju Olmre, Vahur Raudsepp</v>
      </c>
      <c r="G78" s="81">
        <v>13</v>
      </c>
      <c r="H78" s="45"/>
    </row>
    <row r="79" spans="1:8" s="42" customFormat="1" ht="13.5" thickBot="1" x14ac:dyDescent="0.25">
      <c r="B79" s="81"/>
      <c r="C79" s="309"/>
      <c r="D79" s="309"/>
      <c r="E79" s="309"/>
      <c r="F79" s="345"/>
      <c r="G79" s="47"/>
      <c r="H79" s="224" t="str">
        <f>IF(COUNT(G78,G80)=2,IF(G78&gt;G80,C78,C80),"")</f>
        <v>Kadri Arunurm, Kalju Olmre, Vahur Raudsepp</v>
      </c>
    </row>
    <row r="80" spans="1:8" s="42" customFormat="1" x14ac:dyDescent="0.2">
      <c r="B80" s="81"/>
      <c r="C80" s="127" t="str">
        <f>IF(COUNT(C74,C76)=2,IF(C74&lt;C76,B74,B76),"")</f>
        <v>Janek Kiisk, Marek Lehis, Margo Peebo</v>
      </c>
      <c r="D80" s="344"/>
      <c r="E80" s="344"/>
      <c r="F80" s="50"/>
      <c r="G80" s="63">
        <v>3</v>
      </c>
      <c r="H80" s="62" t="s">
        <v>78</v>
      </c>
    </row>
    <row r="81" spans="1:9" s="42" customFormat="1" x14ac:dyDescent="0.2">
      <c r="H81" s="45"/>
    </row>
    <row r="82" spans="1:9" s="42" customFormat="1" ht="13.5" thickBot="1" x14ac:dyDescent="0.25">
      <c r="C82" s="45"/>
      <c r="F82" s="45"/>
      <c r="H82" s="47" t="str">
        <f>IF(COUNT(G78,G80)=2,IF(G78&lt;G80,C78,C80),"")</f>
        <v>Janek Kiisk, Marek Lehis, Margo Peebo</v>
      </c>
    </row>
    <row r="83" spans="1:9" s="30" customFormat="1" x14ac:dyDescent="0.2">
      <c r="A83" s="34"/>
      <c r="B83" s="36"/>
      <c r="C83" s="36"/>
      <c r="F83" s="36"/>
      <c r="G83" s="39"/>
      <c r="H83" s="62" t="s">
        <v>79</v>
      </c>
    </row>
    <row r="84" spans="1:9" s="42" customFormat="1" x14ac:dyDescent="0.2">
      <c r="I84" s="52"/>
    </row>
    <row r="85" spans="1:9" s="42" customFormat="1" x14ac:dyDescent="0.2">
      <c r="B85" s="52">
        <v>9</v>
      </c>
      <c r="C85" s="127" t="str">
        <f>IFERROR(INDEX(B$38:B$49,MATCH(B85,A$38:A$49,0)),"")</f>
        <v>Anu Uusio, Kati Nieminen, Merike Aava</v>
      </c>
      <c r="G85" s="81">
        <v>13</v>
      </c>
      <c r="H85" s="45"/>
      <c r="I85" s="52"/>
    </row>
    <row r="86" spans="1:9" s="42" customFormat="1" ht="13.5" thickBot="1" x14ac:dyDescent="0.25">
      <c r="C86" s="65"/>
      <c r="D86" s="309"/>
      <c r="E86" s="309"/>
      <c r="F86" s="345"/>
      <c r="G86" s="47"/>
      <c r="H86" s="224" t="str">
        <f>IF(COUNT(G85,G87)=2,IF(G85&gt;G87,C85,C87),"")</f>
        <v>Anu Uusio, Kati Nieminen, Merike Aava</v>
      </c>
      <c r="I86" s="52"/>
    </row>
    <row r="87" spans="1:9" s="42" customFormat="1" x14ac:dyDescent="0.2">
      <c r="B87" s="52">
        <v>10</v>
      </c>
      <c r="C87" s="127" t="str">
        <f>IFERROR(INDEX(B$38:B$49,MATCH(B87,A$38:A$49,0)),"")</f>
        <v>Anne Sillamaa, Mati Tapo, Vallo Sillamaa</v>
      </c>
      <c r="D87" s="344"/>
      <c r="E87" s="344"/>
      <c r="F87" s="50"/>
      <c r="G87" s="63">
        <v>4</v>
      </c>
      <c r="H87" s="62" t="s">
        <v>84</v>
      </c>
      <c r="I87" s="52"/>
    </row>
    <row r="88" spans="1:9" s="42" customFormat="1" x14ac:dyDescent="0.2">
      <c r="H88" s="45"/>
      <c r="I88" s="52"/>
    </row>
    <row r="89" spans="1:9" s="42" customFormat="1" ht="13.5" thickBot="1" x14ac:dyDescent="0.25">
      <c r="C89" s="45"/>
      <c r="F89" s="45"/>
      <c r="H89" s="47" t="str">
        <f>IF(COUNT(G85,G87)=2,IF(G85&lt;G87,C85,C87),"")</f>
        <v>Anne Sillamaa, Mati Tapo, Vallo Sillamaa</v>
      </c>
      <c r="I89" s="52"/>
    </row>
    <row r="90" spans="1:9" s="42" customFormat="1" x14ac:dyDescent="0.2">
      <c r="C90" s="36"/>
      <c r="F90" s="36"/>
      <c r="G90" s="39"/>
      <c r="H90" s="62" t="s">
        <v>85</v>
      </c>
      <c r="I90" s="52"/>
    </row>
    <row r="91" spans="1:9" s="82" customFormat="1" x14ac:dyDescent="0.2"/>
    <row r="92" spans="1:9" hidden="1" x14ac:dyDescent="0.2"/>
    <row r="93" spans="1:9" hidden="1" x14ac:dyDescent="0.2"/>
    <row r="94" spans="1:9" hidden="1" x14ac:dyDescent="0.2"/>
    <row r="95" spans="1:9" hidden="1" x14ac:dyDescent="0.2"/>
    <row r="96" spans="1:9"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19" t="s">
        <v>577</v>
      </c>
    </row>
    <row r="300" spans="1:3" x14ac:dyDescent="0.2">
      <c r="A300" s="54">
        <v>1</v>
      </c>
      <c r="B300" s="55" t="str">
        <f>IFERROR(INDEX(H$56:H$89,MATCH(A300&amp;". koht",H$57:H$90,0)),"")</f>
        <v>Margus Berkmann, Meelis Münt, Veiko Proos</v>
      </c>
      <c r="C300" s="79">
        <v>20</v>
      </c>
    </row>
    <row r="301" spans="1:3" x14ac:dyDescent="0.2">
      <c r="A301" s="54">
        <v>2</v>
      </c>
      <c r="B301" s="56" t="str">
        <f t="shared" ref="B301:B309" si="8">IFERROR(INDEX(H$56:H$89,MATCH(A301&amp;". koht",H$57:H$90,0)),"")</f>
        <v>Andero Kelu, Kaido Kopel, Mihkel Filipenko</v>
      </c>
      <c r="C301" s="79">
        <v>16</v>
      </c>
    </row>
    <row r="302" spans="1:3" x14ac:dyDescent="0.2">
      <c r="A302" s="54">
        <v>3</v>
      </c>
      <c r="B302" s="57" t="str">
        <f t="shared" si="8"/>
        <v>Aigi Orro, Elmo Lageda, Kalle Orro</v>
      </c>
      <c r="C302" s="79">
        <v>12</v>
      </c>
    </row>
    <row r="303" spans="1:3" x14ac:dyDescent="0.2">
      <c r="A303" s="54">
        <v>4</v>
      </c>
      <c r="B303" s="58" t="str">
        <f t="shared" si="8"/>
        <v>Jaan Sepp, Mait Metsla, Oskar Sepp</v>
      </c>
      <c r="C303" s="79">
        <v>9</v>
      </c>
    </row>
    <row r="304" spans="1:3" x14ac:dyDescent="0.2">
      <c r="A304" s="54">
        <v>5</v>
      </c>
      <c r="B304" s="58" t="str">
        <f t="shared" si="8"/>
        <v>Alari Keedus, Jelena Brakina, Ülo Piik</v>
      </c>
      <c r="C304" s="79">
        <v>7</v>
      </c>
    </row>
    <row r="305" spans="1:3" x14ac:dyDescent="0.2">
      <c r="A305" s="54">
        <v>6</v>
      </c>
      <c r="B305" s="58" t="str">
        <f t="shared" si="8"/>
        <v>Aarne Välja, Ivar Viljaste, Sirje Viljaste</v>
      </c>
      <c r="C305" s="79">
        <v>5</v>
      </c>
    </row>
    <row r="306" spans="1:3" x14ac:dyDescent="0.2">
      <c r="A306" s="54">
        <v>7</v>
      </c>
      <c r="B306" s="58" t="str">
        <f t="shared" si="8"/>
        <v>Kadri Arunurm, Kalju Olmre, Vahur Raudsepp</v>
      </c>
      <c r="C306" s="79">
        <v>4</v>
      </c>
    </row>
    <row r="307" spans="1:3" x14ac:dyDescent="0.2">
      <c r="A307" s="54">
        <v>8</v>
      </c>
      <c r="B307" s="58" t="str">
        <f t="shared" si="8"/>
        <v>Janek Kiisk, Marek Lehis, Margo Peebo</v>
      </c>
      <c r="C307" s="79">
        <v>3</v>
      </c>
    </row>
    <row r="308" spans="1:3" x14ac:dyDescent="0.2">
      <c r="A308" s="54">
        <v>9</v>
      </c>
      <c r="B308" s="58" t="str">
        <f t="shared" si="8"/>
        <v>Anu Uusio, Kati Nieminen, Merike Aava</v>
      </c>
      <c r="C308" s="79">
        <v>1</v>
      </c>
    </row>
    <row r="309" spans="1:3" x14ac:dyDescent="0.2">
      <c r="A309" s="54">
        <v>10</v>
      </c>
      <c r="B309" s="58" t="str">
        <f t="shared" si="8"/>
        <v>Anne Sillamaa, Mati Tapo, Vallo Sillamaa</v>
      </c>
      <c r="C309" s="79">
        <v>1</v>
      </c>
    </row>
  </sheetData>
  <mergeCells count="12">
    <mergeCell ref="D49:E49"/>
    <mergeCell ref="D36:E36"/>
    <mergeCell ref="D37:E37"/>
    <mergeCell ref="D38:E38"/>
    <mergeCell ref="D39:E39"/>
    <mergeCell ref="D40:E40"/>
    <mergeCell ref="D41:E41"/>
    <mergeCell ref="D43:E43"/>
    <mergeCell ref="D44:E44"/>
    <mergeCell ref="D45:E45"/>
    <mergeCell ref="D46:E46"/>
    <mergeCell ref="D48:E48"/>
  </mergeCells>
  <conditionalFormatting sqref="C53 C55">
    <cfRule type="aboveAverage" dxfId="893" priority="72"/>
  </conditionalFormatting>
  <conditionalFormatting sqref="C57 C59">
    <cfRule type="aboveAverage" dxfId="892" priority="71"/>
  </conditionalFormatting>
  <conditionalFormatting sqref="G54 G58">
    <cfRule type="aboveAverage" dxfId="891" priority="70"/>
  </conditionalFormatting>
  <conditionalFormatting sqref="G61 G63">
    <cfRule type="aboveAverage" dxfId="890" priority="69"/>
  </conditionalFormatting>
  <conditionalFormatting sqref="B300:B309">
    <cfRule type="containsBlanks" dxfId="889" priority="60">
      <formula>LEN(TRIM(B300))=0</formula>
    </cfRule>
    <cfRule type="duplicateValues" dxfId="888" priority="68"/>
  </conditionalFormatting>
  <conditionalFormatting sqref="A53:A59">
    <cfRule type="cellIs" dxfId="887" priority="59" operator="equal">
      <formula>"-"</formula>
    </cfRule>
    <cfRule type="duplicateValues" dxfId="886" priority="67"/>
  </conditionalFormatting>
  <conditionalFormatting sqref="C53 C55 C57 C59 G54 G58 G61 G63">
    <cfRule type="containsBlanks" dxfId="885" priority="66">
      <formula>LEN(TRIM(C53))=0</formula>
    </cfRule>
  </conditionalFormatting>
  <conditionalFormatting sqref="C70 C72">
    <cfRule type="aboveAverage" dxfId="884" priority="65"/>
  </conditionalFormatting>
  <conditionalFormatting sqref="G71 G75">
    <cfRule type="aboveAverage" dxfId="883" priority="63"/>
  </conditionalFormatting>
  <conditionalFormatting sqref="G78 G80">
    <cfRule type="aboveAverage" dxfId="882" priority="62"/>
  </conditionalFormatting>
  <conditionalFormatting sqref="C70 C72 G71 G75 G78 G80">
    <cfRule type="containsBlanks" dxfId="881" priority="61">
      <formula>LEN(TRIM(C70))=0</formula>
    </cfRule>
  </conditionalFormatting>
  <conditionalFormatting sqref="A70:A76">
    <cfRule type="cellIs" dxfId="880" priority="57" operator="equal">
      <formula>"-"</formula>
    </cfRule>
    <cfRule type="duplicateValues" dxfId="879" priority="58"/>
  </conditionalFormatting>
  <conditionalFormatting sqref="E28:E32 E7:E12 E14:E19 E21:E26">
    <cfRule type="cellIs" dxfId="878" priority="8" stopIfTrue="1" operator="equal">
      <formula>13</formula>
    </cfRule>
  </conditionalFormatting>
  <conditionalFormatting sqref="D28:F32 D7:F12 D14:F19 D21:F26">
    <cfRule type="cellIs" dxfId="877" priority="7" operator="equal">
      <formula>13</formula>
    </cfRule>
  </conditionalFormatting>
  <conditionalFormatting sqref="D34:D47">
    <cfRule type="cellIs" dxfId="876" priority="6" stopIfTrue="1" operator="equal">
      <formula>13</formula>
    </cfRule>
  </conditionalFormatting>
  <conditionalFormatting sqref="D48:D49">
    <cfRule type="cellIs" dxfId="875" priority="5" stopIfTrue="1" operator="equal">
      <formula>13</formula>
    </cfRule>
  </conditionalFormatting>
  <conditionalFormatting sqref="G85 G87">
    <cfRule type="aboveAverage" dxfId="874" priority="4"/>
  </conditionalFormatting>
  <conditionalFormatting sqref="G85 G87">
    <cfRule type="containsBlanks" dxfId="873" priority="3">
      <formula>LEN(TRIM(G85))=0</formula>
    </cfRule>
  </conditionalFormatting>
  <conditionalFormatting sqref="C74 C76">
    <cfRule type="aboveAverage" dxfId="872" priority="2"/>
  </conditionalFormatting>
  <conditionalFormatting sqref="C74 C76">
    <cfRule type="containsBlanks" dxfId="871" priority="1">
      <formula>LEN(TRIM(C74))=0</formula>
    </cfRule>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3" manualBreakCount="3">
    <brk id="32" max="8" man="1"/>
    <brk id="66" max="16383" man="1"/>
    <brk id="309"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0"/>
  <sheetViews>
    <sheetView showGridLines="0" showRowColHeaders="0" zoomScaleNormal="100" workbookViewId="0">
      <pane ySplit="2" topLeftCell="A3" activePane="bottomLeft" state="frozen"/>
      <selection activeCell="G1" sqref="G1"/>
      <selection pane="bottomLeft" activeCell="J1" sqref="J1"/>
    </sheetView>
  </sheetViews>
  <sheetFormatPr defaultRowHeight="12.75" x14ac:dyDescent="0.2"/>
  <cols>
    <col min="1" max="1" width="5.5703125" style="79" customWidth="1"/>
    <col min="2" max="2" width="30.140625" style="79" customWidth="1"/>
    <col min="3" max="3" width="3" style="79" customWidth="1"/>
    <col min="4" max="4" width="3.5703125" style="79" customWidth="1"/>
    <col min="5" max="5" width="1.5703125" style="79" customWidth="1"/>
    <col min="6" max="6" width="4.140625" style="79" customWidth="1"/>
    <col min="7" max="7" width="3" style="79" customWidth="1"/>
    <col min="8" max="8" width="30.140625" style="79" bestFit="1" customWidth="1"/>
    <col min="9" max="9" width="2.5703125" style="79" bestFit="1" customWidth="1"/>
    <col min="10" max="10" width="9.140625" style="79" customWidth="1"/>
    <col min="11" max="16384" width="9.140625" style="79"/>
  </cols>
  <sheetData>
    <row r="1" spans="1:10" x14ac:dyDescent="0.2">
      <c r="A1" s="72" t="str">
        <f>UPPER((Kalend!E28)&amp;" - "&amp;(Kalend!C28)&amp;" - "&amp;(Kalend!D28))</f>
        <v>8 - EESTI REITINGUVÕISTLUS - DUO</v>
      </c>
      <c r="D1" s="41" t="str">
        <f>HYPERLINK("#'Kalend'!I1","Kalender")</f>
        <v>Kalender</v>
      </c>
      <c r="G1" s="41" t="str">
        <f>HYPERLINK("#Üldreiting!W1","Reiting")</f>
        <v>Reiting</v>
      </c>
      <c r="I1" s="555" t="s">
        <v>790</v>
      </c>
      <c r="J1" s="319"/>
    </row>
    <row r="2" spans="1:10" x14ac:dyDescent="0.2">
      <c r="A2" s="79" t="str">
        <f>"Toimumisaeg: "&amp;(Kalend!A28)&amp;" kell "&amp;(Kalend!B28)</f>
        <v>Toimumisaeg: L, 17.02.2018 kell 10:00</v>
      </c>
      <c r="I2" s="555" t="s">
        <v>791</v>
      </c>
    </row>
    <row r="3" spans="1:10" x14ac:dyDescent="0.2">
      <c r="A3" s="79" t="str">
        <f>"Toimumiskoht: "&amp;(Kalend!F28)</f>
        <v>Toimumiskoht: Tallinn, Algi 38</v>
      </c>
    </row>
    <row r="4" spans="1:10" x14ac:dyDescent="0.2">
      <c r="A4" s="79" t="str">
        <f>"Korraldaja: "&amp;(Kalend!G28)</f>
        <v>Korraldaja: EPKL</v>
      </c>
    </row>
    <row r="6" spans="1:10" x14ac:dyDescent="0.2">
      <c r="A6" s="513" t="s">
        <v>714</v>
      </c>
      <c r="B6" s="514"/>
      <c r="C6" s="515" t="s">
        <v>610</v>
      </c>
      <c r="D6" s="516"/>
      <c r="E6" s="517" t="s">
        <v>785</v>
      </c>
      <c r="F6" s="517"/>
      <c r="G6" s="515" t="s">
        <v>610</v>
      </c>
    </row>
    <row r="7" spans="1:10" x14ac:dyDescent="0.2">
      <c r="A7" s="518" t="s">
        <v>291</v>
      </c>
      <c r="B7" s="519" t="s">
        <v>286</v>
      </c>
      <c r="C7" s="520">
        <f>IF(D7=13,1,0)</f>
        <v>1</v>
      </c>
      <c r="D7" s="521">
        <v>13</v>
      </c>
      <c r="E7" s="764" t="s">
        <v>786</v>
      </c>
      <c r="F7" s="523">
        <v>3</v>
      </c>
      <c r="G7" s="520">
        <f>IF(F7=13,1,0)</f>
        <v>0</v>
      </c>
      <c r="H7" s="519" t="s">
        <v>695</v>
      </c>
      <c r="I7" s="556" t="s">
        <v>295</v>
      </c>
    </row>
    <row r="8" spans="1:10" x14ac:dyDescent="0.2">
      <c r="A8" s="518" t="s">
        <v>275</v>
      </c>
      <c r="B8" s="524" t="s">
        <v>814</v>
      </c>
      <c r="C8" s="520">
        <f t="shared" ref="C8:C12" si="0">IF(D8=13,1,0)</f>
        <v>1</v>
      </c>
      <c r="D8" s="521">
        <v>13</v>
      </c>
      <c r="E8" s="764" t="s">
        <v>786</v>
      </c>
      <c r="F8" s="523">
        <v>4</v>
      </c>
      <c r="G8" s="520">
        <f t="shared" ref="G8:G12" si="1">IF(F8=13,1,0)</f>
        <v>0</v>
      </c>
      <c r="H8" s="525" t="s">
        <v>288</v>
      </c>
      <c r="I8" s="556" t="s">
        <v>296</v>
      </c>
    </row>
    <row r="9" spans="1:10" x14ac:dyDescent="0.2">
      <c r="A9" s="518" t="s">
        <v>292</v>
      </c>
      <c r="B9" s="519" t="s">
        <v>174</v>
      </c>
      <c r="C9" s="520">
        <f t="shared" si="0"/>
        <v>1</v>
      </c>
      <c r="D9" s="521">
        <v>13</v>
      </c>
      <c r="E9" s="764" t="s">
        <v>786</v>
      </c>
      <c r="F9" s="523">
        <v>2</v>
      </c>
      <c r="G9" s="520">
        <f t="shared" si="1"/>
        <v>0</v>
      </c>
      <c r="H9" s="525" t="s">
        <v>584</v>
      </c>
      <c r="I9" s="556" t="s">
        <v>64</v>
      </c>
    </row>
    <row r="10" spans="1:10" x14ac:dyDescent="0.2">
      <c r="A10" s="518" t="s">
        <v>293</v>
      </c>
      <c r="B10" s="519" t="s">
        <v>287</v>
      </c>
      <c r="C10" s="520">
        <f t="shared" si="0"/>
        <v>1</v>
      </c>
      <c r="D10" s="521">
        <v>13</v>
      </c>
      <c r="E10" s="764" t="s">
        <v>786</v>
      </c>
      <c r="F10" s="523">
        <v>10</v>
      </c>
      <c r="G10" s="520">
        <f t="shared" si="1"/>
        <v>0</v>
      </c>
      <c r="H10" s="526" t="s">
        <v>813</v>
      </c>
      <c r="I10" s="556" t="s">
        <v>195</v>
      </c>
    </row>
    <row r="11" spans="1:10" x14ac:dyDescent="0.2">
      <c r="A11" s="518" t="s">
        <v>276</v>
      </c>
      <c r="B11" s="519" t="s">
        <v>815</v>
      </c>
      <c r="C11" s="520">
        <f t="shared" ref="C11" si="2">IF(D11=13,1,0)</f>
        <v>1</v>
      </c>
      <c r="D11" s="521">
        <v>13</v>
      </c>
      <c r="E11" s="764" t="s">
        <v>786</v>
      </c>
      <c r="F11" s="523">
        <v>5</v>
      </c>
      <c r="G11" s="520">
        <f t="shared" ref="G11" si="3">IF(F11=13,1,0)</f>
        <v>0</v>
      </c>
      <c r="H11" s="526" t="s">
        <v>816</v>
      </c>
      <c r="I11" s="556" t="s">
        <v>87</v>
      </c>
    </row>
    <row r="12" spans="1:10" x14ac:dyDescent="0.2">
      <c r="A12" s="518" t="s">
        <v>294</v>
      </c>
      <c r="B12" s="525" t="s">
        <v>812</v>
      </c>
      <c r="C12" s="520">
        <f t="shared" si="0"/>
        <v>1</v>
      </c>
      <c r="D12" s="521">
        <v>13</v>
      </c>
      <c r="E12" s="764" t="s">
        <v>786</v>
      </c>
      <c r="F12" s="523"/>
      <c r="G12" s="520">
        <f t="shared" si="1"/>
        <v>0</v>
      </c>
      <c r="H12" s="534" t="s">
        <v>81</v>
      </c>
    </row>
    <row r="13" spans="1:10" x14ac:dyDescent="0.2">
      <c r="A13" s="518"/>
      <c r="B13" s="78"/>
      <c r="C13" s="527"/>
      <c r="D13" s="527"/>
      <c r="E13" s="528"/>
      <c r="F13" s="527"/>
      <c r="G13" s="527"/>
      <c r="H13" s="529"/>
    </row>
    <row r="14" spans="1:10" x14ac:dyDescent="0.2">
      <c r="A14" s="530" t="s">
        <v>718</v>
      </c>
      <c r="B14" s="514"/>
      <c r="C14" s="515" t="s">
        <v>610</v>
      </c>
      <c r="D14" s="514"/>
      <c r="E14" s="765" t="s">
        <v>785</v>
      </c>
      <c r="F14" s="765"/>
      <c r="G14" s="515" t="s">
        <v>610</v>
      </c>
    </row>
    <row r="15" spans="1:10" x14ac:dyDescent="0.2">
      <c r="A15" s="518" t="s">
        <v>292</v>
      </c>
      <c r="B15" s="519" t="s">
        <v>174</v>
      </c>
      <c r="C15" s="520">
        <f>IF(D15=13,1,0)</f>
        <v>0</v>
      </c>
      <c r="D15" s="521">
        <v>8</v>
      </c>
      <c r="E15" s="764" t="s">
        <v>786</v>
      </c>
      <c r="F15" s="523">
        <v>13</v>
      </c>
      <c r="G15" s="520">
        <f>IF(F15=13,1,0)</f>
        <v>1</v>
      </c>
      <c r="H15" s="519" t="s">
        <v>286</v>
      </c>
      <c r="I15" s="556" t="s">
        <v>291</v>
      </c>
    </row>
    <row r="16" spans="1:10" x14ac:dyDescent="0.2">
      <c r="A16" s="518" t="s">
        <v>275</v>
      </c>
      <c r="B16" s="524" t="s">
        <v>814</v>
      </c>
      <c r="C16" s="520">
        <f t="shared" ref="C16:C20" si="4">IF(D16=13,1,0)</f>
        <v>0</v>
      </c>
      <c r="D16" s="521">
        <v>0</v>
      </c>
      <c r="E16" s="764" t="s">
        <v>786</v>
      </c>
      <c r="F16" s="523">
        <v>13</v>
      </c>
      <c r="G16" s="520">
        <f t="shared" ref="G16:G20" si="5">IF(F16=13,1,0)</f>
        <v>1</v>
      </c>
      <c r="H16" s="519" t="s">
        <v>815</v>
      </c>
      <c r="I16" s="556" t="s">
        <v>276</v>
      </c>
    </row>
    <row r="17" spans="1:9" x14ac:dyDescent="0.2">
      <c r="A17" s="518" t="s">
        <v>293</v>
      </c>
      <c r="B17" s="519" t="s">
        <v>287</v>
      </c>
      <c r="C17" s="520">
        <f t="shared" si="4"/>
        <v>0</v>
      </c>
      <c r="D17" s="521">
        <v>9</v>
      </c>
      <c r="E17" s="764" t="s">
        <v>786</v>
      </c>
      <c r="F17" s="523">
        <v>13</v>
      </c>
      <c r="G17" s="520">
        <f t="shared" si="5"/>
        <v>1</v>
      </c>
      <c r="H17" s="525" t="s">
        <v>812</v>
      </c>
      <c r="I17" s="556" t="s">
        <v>294</v>
      </c>
    </row>
    <row r="18" spans="1:9" x14ac:dyDescent="0.2">
      <c r="A18" s="518" t="s">
        <v>195</v>
      </c>
      <c r="B18" s="526" t="s">
        <v>813</v>
      </c>
      <c r="C18" s="520">
        <f t="shared" si="4"/>
        <v>0</v>
      </c>
      <c r="D18" s="521">
        <v>10</v>
      </c>
      <c r="E18" s="764" t="s">
        <v>786</v>
      </c>
      <c r="F18" s="523">
        <v>13</v>
      </c>
      <c r="G18" s="520">
        <f t="shared" si="5"/>
        <v>1</v>
      </c>
      <c r="H18" s="526" t="s">
        <v>816</v>
      </c>
      <c r="I18" s="556" t="s">
        <v>87</v>
      </c>
    </row>
    <row r="19" spans="1:9" x14ac:dyDescent="0.2">
      <c r="A19" s="518" t="s">
        <v>296</v>
      </c>
      <c r="B19" s="525" t="s">
        <v>288</v>
      </c>
      <c r="C19" s="520">
        <f t="shared" ref="C19" si="6">IF(D19=13,1,0)</f>
        <v>0</v>
      </c>
      <c r="D19" s="521">
        <v>3</v>
      </c>
      <c r="E19" s="764" t="s">
        <v>786</v>
      </c>
      <c r="F19" s="523">
        <v>13</v>
      </c>
      <c r="G19" s="520">
        <f t="shared" ref="G19" si="7">IF(F19=13,1,0)</f>
        <v>1</v>
      </c>
      <c r="H19" s="519" t="s">
        <v>695</v>
      </c>
      <c r="I19" s="556" t="s">
        <v>295</v>
      </c>
    </row>
    <row r="20" spans="1:9" x14ac:dyDescent="0.2">
      <c r="A20" s="518" t="s">
        <v>64</v>
      </c>
      <c r="B20" s="525" t="s">
        <v>584</v>
      </c>
      <c r="C20" s="520">
        <f t="shared" si="4"/>
        <v>1</v>
      </c>
      <c r="D20" s="521">
        <v>13</v>
      </c>
      <c r="E20" s="764" t="s">
        <v>786</v>
      </c>
      <c r="F20" s="523"/>
      <c r="G20" s="520">
        <f t="shared" si="5"/>
        <v>0</v>
      </c>
      <c r="H20" s="534" t="s">
        <v>81</v>
      </c>
      <c r="I20" s="556"/>
    </row>
    <row r="21" spans="1:9" x14ac:dyDescent="0.2">
      <c r="A21" s="532"/>
      <c r="B21" s="243"/>
      <c r="C21" s="527"/>
      <c r="D21" s="527"/>
      <c r="E21" s="528"/>
      <c r="F21" s="527"/>
      <c r="G21" s="527"/>
      <c r="H21" s="78"/>
    </row>
    <row r="22" spans="1:9" x14ac:dyDescent="0.2">
      <c r="A22" s="513" t="s">
        <v>722</v>
      </c>
      <c r="B22" s="514"/>
      <c r="C22" s="515" t="s">
        <v>610</v>
      </c>
      <c r="D22" s="514"/>
      <c r="E22" s="765" t="s">
        <v>785</v>
      </c>
      <c r="F22" s="765"/>
      <c r="G22" s="515" t="s">
        <v>610</v>
      </c>
    </row>
    <row r="23" spans="1:9" x14ac:dyDescent="0.2">
      <c r="A23" s="518" t="s">
        <v>276</v>
      </c>
      <c r="B23" s="519" t="s">
        <v>815</v>
      </c>
      <c r="C23" s="520">
        <f>IF(D23=13,1,0)</f>
        <v>0</v>
      </c>
      <c r="D23" s="521">
        <v>3</v>
      </c>
      <c r="E23" s="764" t="s">
        <v>786</v>
      </c>
      <c r="F23" s="531">
        <v>12</v>
      </c>
      <c r="G23" s="520">
        <f>IF(F23=13,1,0)</f>
        <v>0</v>
      </c>
      <c r="H23" s="519" t="s">
        <v>286</v>
      </c>
      <c r="I23" s="556" t="s">
        <v>291</v>
      </c>
    </row>
    <row r="24" spans="1:9" x14ac:dyDescent="0.2">
      <c r="A24" s="518" t="s">
        <v>294</v>
      </c>
      <c r="B24" s="525" t="s">
        <v>812</v>
      </c>
      <c r="C24" s="520">
        <f t="shared" ref="C24:C28" si="8">IF(D24=13,1,0)</f>
        <v>0</v>
      </c>
      <c r="D24" s="521">
        <v>5</v>
      </c>
      <c r="E24" s="764" t="s">
        <v>786</v>
      </c>
      <c r="F24" s="523">
        <v>13</v>
      </c>
      <c r="G24" s="520">
        <f t="shared" ref="G24:G28" si="9">IF(F24=13,1,0)</f>
        <v>1</v>
      </c>
      <c r="H24" s="519" t="s">
        <v>174</v>
      </c>
      <c r="I24" s="556" t="s">
        <v>292</v>
      </c>
    </row>
    <row r="25" spans="1:9" x14ac:dyDescent="0.2">
      <c r="A25" s="518" t="s">
        <v>295</v>
      </c>
      <c r="B25" s="519" t="s">
        <v>695</v>
      </c>
      <c r="C25" s="520">
        <f t="shared" si="8"/>
        <v>1</v>
      </c>
      <c r="D25" s="521">
        <v>13</v>
      </c>
      <c r="E25" s="764" t="s">
        <v>786</v>
      </c>
      <c r="F25" s="523">
        <v>11</v>
      </c>
      <c r="G25" s="520">
        <f t="shared" si="9"/>
        <v>0</v>
      </c>
      <c r="H25" s="519" t="s">
        <v>287</v>
      </c>
      <c r="I25" s="556" t="s">
        <v>293</v>
      </c>
    </row>
    <row r="26" spans="1:9" x14ac:dyDescent="0.2">
      <c r="A26" s="518" t="s">
        <v>275</v>
      </c>
      <c r="B26" s="524" t="s">
        <v>814</v>
      </c>
      <c r="C26" s="520">
        <f t="shared" si="8"/>
        <v>1</v>
      </c>
      <c r="D26" s="521">
        <v>13</v>
      </c>
      <c r="E26" s="764" t="s">
        <v>786</v>
      </c>
      <c r="F26" s="523">
        <v>4</v>
      </c>
      <c r="G26" s="520">
        <f t="shared" si="9"/>
        <v>0</v>
      </c>
      <c r="H26" s="526" t="s">
        <v>816</v>
      </c>
      <c r="I26" s="556" t="s">
        <v>87</v>
      </c>
    </row>
    <row r="27" spans="1:9" x14ac:dyDescent="0.2">
      <c r="A27" s="518" t="s">
        <v>64</v>
      </c>
      <c r="B27" s="525" t="s">
        <v>584</v>
      </c>
      <c r="C27" s="520">
        <f t="shared" ref="C27" si="10">IF(D27=13,1,0)</f>
        <v>1</v>
      </c>
      <c r="D27" s="521">
        <v>13</v>
      </c>
      <c r="E27" s="764" t="s">
        <v>786</v>
      </c>
      <c r="F27" s="523">
        <v>6</v>
      </c>
      <c r="G27" s="520">
        <f t="shared" ref="G27" si="11">IF(F27=13,1,0)</f>
        <v>0</v>
      </c>
      <c r="H27" s="526" t="s">
        <v>813</v>
      </c>
      <c r="I27" s="556" t="s">
        <v>195</v>
      </c>
    </row>
    <row r="28" spans="1:9" x14ac:dyDescent="0.2">
      <c r="A28" s="518" t="s">
        <v>296</v>
      </c>
      <c r="B28" s="525" t="s">
        <v>288</v>
      </c>
      <c r="C28" s="520">
        <f t="shared" si="8"/>
        <v>1</v>
      </c>
      <c r="D28" s="521">
        <v>13</v>
      </c>
      <c r="E28" s="764" t="s">
        <v>786</v>
      </c>
      <c r="F28" s="523"/>
      <c r="G28" s="520">
        <f t="shared" si="9"/>
        <v>0</v>
      </c>
      <c r="H28" s="569" t="s">
        <v>81</v>
      </c>
      <c r="I28" s="556"/>
    </row>
    <row r="29" spans="1:9" x14ac:dyDescent="0.2">
      <c r="A29" s="532"/>
      <c r="B29" s="243"/>
      <c r="C29" s="527"/>
      <c r="D29" s="527"/>
      <c r="E29" s="528"/>
      <c r="F29" s="527"/>
      <c r="G29" s="527"/>
      <c r="H29" s="243"/>
    </row>
    <row r="30" spans="1:9" x14ac:dyDescent="0.2">
      <c r="A30" s="513" t="s">
        <v>726</v>
      </c>
      <c r="B30" s="514"/>
      <c r="C30" s="515" t="s">
        <v>610</v>
      </c>
      <c r="D30" s="514"/>
      <c r="E30" s="765" t="s">
        <v>785</v>
      </c>
      <c r="F30" s="765"/>
      <c r="G30" s="515" t="s">
        <v>610</v>
      </c>
    </row>
    <row r="31" spans="1:9" x14ac:dyDescent="0.2">
      <c r="A31" s="518" t="s">
        <v>291</v>
      </c>
      <c r="B31" s="519" t="s">
        <v>286</v>
      </c>
      <c r="C31" s="520">
        <f>IF(D31=13,1,0)</f>
        <v>0</v>
      </c>
      <c r="D31" s="521">
        <v>7</v>
      </c>
      <c r="E31" s="764" t="s">
        <v>786</v>
      </c>
      <c r="F31" s="531">
        <v>9</v>
      </c>
      <c r="G31" s="520">
        <f>IF(F31=13,1,0)</f>
        <v>0</v>
      </c>
      <c r="H31" s="524" t="s">
        <v>814</v>
      </c>
      <c r="I31" s="556" t="s">
        <v>275</v>
      </c>
    </row>
    <row r="32" spans="1:9" x14ac:dyDescent="0.2">
      <c r="A32" s="518" t="s">
        <v>292</v>
      </c>
      <c r="B32" s="519" t="s">
        <v>174</v>
      </c>
      <c r="C32" s="520">
        <f t="shared" ref="C32:C36" si="12">IF(D32=13,1,0)</f>
        <v>0</v>
      </c>
      <c r="D32" s="521">
        <v>7</v>
      </c>
      <c r="E32" s="764" t="s">
        <v>786</v>
      </c>
      <c r="F32" s="531">
        <v>11</v>
      </c>
      <c r="G32" s="520">
        <f t="shared" ref="G32:G36" si="13">IF(F32=13,1,0)</f>
        <v>0</v>
      </c>
      <c r="H32" s="519" t="s">
        <v>815</v>
      </c>
      <c r="I32" s="556" t="s">
        <v>276</v>
      </c>
    </row>
    <row r="33" spans="1:9" x14ac:dyDescent="0.2">
      <c r="A33" s="518" t="s">
        <v>295</v>
      </c>
      <c r="B33" s="519" t="s">
        <v>695</v>
      </c>
      <c r="C33" s="520">
        <f t="shared" si="12"/>
        <v>0</v>
      </c>
      <c r="D33" s="521">
        <v>10</v>
      </c>
      <c r="E33" s="764" t="s">
        <v>786</v>
      </c>
      <c r="F33" s="523">
        <v>13</v>
      </c>
      <c r="G33" s="520">
        <f t="shared" si="13"/>
        <v>1</v>
      </c>
      <c r="H33" s="525" t="s">
        <v>812</v>
      </c>
      <c r="I33" s="556" t="s">
        <v>294</v>
      </c>
    </row>
    <row r="34" spans="1:9" x14ac:dyDescent="0.2">
      <c r="A34" s="518" t="s">
        <v>64</v>
      </c>
      <c r="B34" s="525" t="s">
        <v>584</v>
      </c>
      <c r="C34" s="520">
        <f t="shared" ref="C34" si="14">IF(D34=13,1,0)</f>
        <v>0</v>
      </c>
      <c r="D34" s="521">
        <v>5</v>
      </c>
      <c r="E34" s="764" t="s">
        <v>786</v>
      </c>
      <c r="F34" s="523">
        <v>13</v>
      </c>
      <c r="G34" s="520">
        <f t="shared" ref="G34" si="15">IF(F34=13,1,0)</f>
        <v>1</v>
      </c>
      <c r="H34" s="519" t="s">
        <v>287</v>
      </c>
      <c r="I34" s="556" t="s">
        <v>293</v>
      </c>
    </row>
    <row r="35" spans="1:9" x14ac:dyDescent="0.2">
      <c r="A35" s="518" t="s">
        <v>87</v>
      </c>
      <c r="B35" s="526" t="s">
        <v>816</v>
      </c>
      <c r="C35" s="520">
        <f t="shared" si="12"/>
        <v>0</v>
      </c>
      <c r="D35" s="521">
        <v>7</v>
      </c>
      <c r="E35" s="764" t="s">
        <v>786</v>
      </c>
      <c r="F35" s="523">
        <v>13</v>
      </c>
      <c r="G35" s="520">
        <f t="shared" si="13"/>
        <v>1</v>
      </c>
      <c r="H35" s="525" t="s">
        <v>288</v>
      </c>
      <c r="I35" s="556" t="s">
        <v>296</v>
      </c>
    </row>
    <row r="36" spans="1:9" x14ac:dyDescent="0.2">
      <c r="A36" s="518" t="s">
        <v>195</v>
      </c>
      <c r="B36" s="526" t="s">
        <v>813</v>
      </c>
      <c r="C36" s="520">
        <f t="shared" si="12"/>
        <v>1</v>
      </c>
      <c r="D36" s="521">
        <v>13</v>
      </c>
      <c r="E36" s="764" t="s">
        <v>786</v>
      </c>
      <c r="F36" s="523"/>
      <c r="G36" s="520">
        <f t="shared" si="13"/>
        <v>0</v>
      </c>
      <c r="H36" s="569" t="s">
        <v>81</v>
      </c>
      <c r="I36" s="556"/>
    </row>
    <row r="38" spans="1:9" x14ac:dyDescent="0.2">
      <c r="A38" s="535" t="s">
        <v>787</v>
      </c>
      <c r="B38" s="529"/>
      <c r="C38" s="527"/>
      <c r="D38" s="528"/>
      <c r="E38" s="527"/>
      <c r="F38" s="536"/>
      <c r="G38" s="402"/>
    </row>
    <row r="39" spans="1:9" x14ac:dyDescent="0.2">
      <c r="A39" s="535"/>
      <c r="B39" s="529"/>
      <c r="C39" s="527"/>
      <c r="D39" s="528"/>
      <c r="E39" s="527"/>
      <c r="F39" s="536"/>
      <c r="G39" s="402"/>
    </row>
    <row r="40" spans="1:9" x14ac:dyDescent="0.2">
      <c r="A40" s="518"/>
      <c r="B40" s="529"/>
      <c r="C40" s="537" t="s">
        <v>64</v>
      </c>
      <c r="D40" s="919" t="s">
        <v>65</v>
      </c>
      <c r="E40" s="919"/>
      <c r="F40" s="533" t="s">
        <v>66</v>
      </c>
      <c r="G40" s="538"/>
    </row>
    <row r="41" spans="1:9" x14ac:dyDescent="0.2">
      <c r="A41" s="518"/>
      <c r="B41" s="539"/>
      <c r="C41" s="540" t="s">
        <v>788</v>
      </c>
      <c r="D41" s="920" t="s">
        <v>789</v>
      </c>
      <c r="E41" s="921"/>
      <c r="F41" s="539" t="s">
        <v>785</v>
      </c>
      <c r="G41" s="536"/>
    </row>
    <row r="42" spans="1:9" x14ac:dyDescent="0.2">
      <c r="A42" s="518">
        <v>1</v>
      </c>
      <c r="B42" s="519" t="s">
        <v>286</v>
      </c>
      <c r="C42" s="763">
        <v>3</v>
      </c>
      <c r="D42" s="918">
        <v>20</v>
      </c>
      <c r="E42" s="918"/>
      <c r="F42" s="578" t="s">
        <v>820</v>
      </c>
      <c r="G42" s="561" t="s">
        <v>819</v>
      </c>
    </row>
    <row r="43" spans="1:9" x14ac:dyDescent="0.2">
      <c r="A43" s="518">
        <v>2</v>
      </c>
      <c r="B43" s="519" t="s">
        <v>815</v>
      </c>
      <c r="C43" s="763">
        <v>3</v>
      </c>
      <c r="D43" s="924">
        <v>18</v>
      </c>
      <c r="E43" s="924"/>
      <c r="F43" s="583" t="s">
        <v>825</v>
      </c>
      <c r="G43" s="561" t="s">
        <v>823</v>
      </c>
    </row>
    <row r="44" spans="1:9" x14ac:dyDescent="0.2">
      <c r="A44" s="518">
        <v>3</v>
      </c>
      <c r="B44" s="524" t="s">
        <v>814</v>
      </c>
      <c r="C44" s="763">
        <v>3</v>
      </c>
      <c r="D44" s="924">
        <v>18</v>
      </c>
      <c r="E44" s="924"/>
      <c r="F44" s="583" t="s">
        <v>822</v>
      </c>
      <c r="G44" s="561" t="s">
        <v>821</v>
      </c>
    </row>
    <row r="45" spans="1:9" x14ac:dyDescent="0.2">
      <c r="A45" s="518">
        <v>4</v>
      </c>
      <c r="B45" s="525" t="s">
        <v>812</v>
      </c>
      <c r="C45" s="763">
        <v>3</v>
      </c>
      <c r="D45" s="918">
        <v>12</v>
      </c>
      <c r="E45" s="918"/>
      <c r="F45" s="579" t="s">
        <v>798</v>
      </c>
      <c r="G45" s="561" t="s">
        <v>824</v>
      </c>
    </row>
    <row r="46" spans="1:9" x14ac:dyDescent="0.2">
      <c r="A46" s="542"/>
      <c r="B46" s="547"/>
      <c r="C46" s="548"/>
      <c r="D46" s="549"/>
      <c r="E46" s="549"/>
      <c r="F46" s="580"/>
      <c r="G46" s="551"/>
    </row>
    <row r="47" spans="1:9" x14ac:dyDescent="0.2">
      <c r="A47" s="518">
        <v>5</v>
      </c>
      <c r="B47" s="519" t="s">
        <v>174</v>
      </c>
      <c r="C47" s="582">
        <v>2</v>
      </c>
      <c r="D47" s="925">
        <v>22</v>
      </c>
      <c r="E47" s="925"/>
      <c r="F47" s="579" t="s">
        <v>831</v>
      </c>
      <c r="G47" s="561" t="s">
        <v>826</v>
      </c>
    </row>
    <row r="48" spans="1:9" x14ac:dyDescent="0.2">
      <c r="A48" s="518">
        <v>6</v>
      </c>
      <c r="B48" s="519" t="s">
        <v>695</v>
      </c>
      <c r="C48" s="582">
        <v>2</v>
      </c>
      <c r="D48" s="925">
        <v>20</v>
      </c>
      <c r="E48" s="925"/>
      <c r="F48" s="579" t="s">
        <v>798</v>
      </c>
      <c r="G48" s="561" t="s">
        <v>827</v>
      </c>
    </row>
    <row r="49" spans="1:7" x14ac:dyDescent="0.2">
      <c r="A49" s="518">
        <v>7</v>
      </c>
      <c r="B49" s="519" t="s">
        <v>287</v>
      </c>
      <c r="C49" s="582">
        <v>2</v>
      </c>
      <c r="D49" s="925">
        <v>16</v>
      </c>
      <c r="E49" s="925"/>
      <c r="F49" s="579" t="s">
        <v>832</v>
      </c>
      <c r="G49" s="561" t="s">
        <v>828</v>
      </c>
    </row>
    <row r="50" spans="1:7" x14ac:dyDescent="0.2">
      <c r="A50" s="518">
        <v>8</v>
      </c>
      <c r="B50" s="525" t="s">
        <v>288</v>
      </c>
      <c r="C50" s="582">
        <v>2</v>
      </c>
      <c r="D50" s="925">
        <v>12</v>
      </c>
      <c r="E50" s="925"/>
      <c r="F50" s="579" t="s">
        <v>833</v>
      </c>
      <c r="G50" s="561" t="s">
        <v>829</v>
      </c>
    </row>
    <row r="51" spans="1:7" x14ac:dyDescent="0.2">
      <c r="A51" s="542"/>
      <c r="B51" s="544"/>
      <c r="C51" s="545"/>
      <c r="D51" s="546"/>
      <c r="E51" s="545"/>
      <c r="F51" s="581"/>
      <c r="G51" s="536"/>
    </row>
    <row r="52" spans="1:7" x14ac:dyDescent="0.2">
      <c r="A52" s="518">
        <v>9</v>
      </c>
      <c r="B52" s="525" t="s">
        <v>584</v>
      </c>
      <c r="C52" s="582">
        <v>2</v>
      </c>
      <c r="D52" s="925">
        <v>10</v>
      </c>
      <c r="E52" s="925"/>
      <c r="F52" s="579" t="s">
        <v>809</v>
      </c>
      <c r="G52" s="564" t="s">
        <v>830</v>
      </c>
    </row>
    <row r="53" spans="1:7" x14ac:dyDescent="0.2">
      <c r="A53" s="518">
        <v>10</v>
      </c>
      <c r="B53" s="526" t="s">
        <v>816</v>
      </c>
      <c r="C53" s="543">
        <v>1</v>
      </c>
      <c r="D53" s="918">
        <v>18</v>
      </c>
      <c r="E53" s="918"/>
      <c r="F53" s="579" t="s">
        <v>836</v>
      </c>
      <c r="G53" s="564" t="s">
        <v>834</v>
      </c>
    </row>
    <row r="54" spans="1:7" x14ac:dyDescent="0.2">
      <c r="A54" s="518">
        <v>11</v>
      </c>
      <c r="B54" s="526" t="s">
        <v>813</v>
      </c>
      <c r="C54" s="543">
        <v>1</v>
      </c>
      <c r="D54" s="918">
        <v>10</v>
      </c>
      <c r="E54" s="918"/>
      <c r="F54" s="579" t="s">
        <v>833</v>
      </c>
      <c r="G54" s="564" t="s">
        <v>835</v>
      </c>
    </row>
    <row r="55" spans="1:7" s="30" customFormat="1" x14ac:dyDescent="0.2">
      <c r="A55" s="34"/>
      <c r="B55" s="38"/>
      <c r="C55" s="36"/>
      <c r="D55" s="36"/>
      <c r="E55" s="36"/>
      <c r="F55" s="36"/>
      <c r="G55" s="39"/>
    </row>
    <row r="56" spans="1:7" s="42" customFormat="1" hidden="1" x14ac:dyDescent="0.2"/>
    <row r="57" spans="1:7" s="42" customFormat="1" hidden="1" x14ac:dyDescent="0.2"/>
    <row r="58" spans="1:7" s="42" customFormat="1" hidden="1" x14ac:dyDescent="0.2"/>
    <row r="59" spans="1:7" s="42" customFormat="1" hidden="1" x14ac:dyDescent="0.2"/>
    <row r="60" spans="1:7" s="42" customFormat="1" hidden="1" x14ac:dyDescent="0.2"/>
    <row r="61" spans="1:7" s="42" customFormat="1" hidden="1" x14ac:dyDescent="0.2"/>
    <row r="62" spans="1:7" s="42" customFormat="1" hidden="1" x14ac:dyDescent="0.2"/>
    <row r="63" spans="1:7" s="42" customFormat="1" hidden="1" x14ac:dyDescent="0.2"/>
    <row r="64" spans="1:7" s="42" customFormat="1" hidden="1" x14ac:dyDescent="0.2"/>
    <row r="65" s="42" customFormat="1" hidden="1" x14ac:dyDescent="0.2"/>
    <row r="66" s="42" customFormat="1" hidden="1" x14ac:dyDescent="0.2"/>
    <row r="67" s="42" customFormat="1" hidden="1" x14ac:dyDescent="0.2"/>
    <row r="68" s="42" customFormat="1" hidden="1" x14ac:dyDescent="0.2"/>
    <row r="69" s="42" customFormat="1" hidden="1" x14ac:dyDescent="0.2"/>
    <row r="70" s="42" customFormat="1" hidden="1" x14ac:dyDescent="0.2"/>
    <row r="71" s="42" customFormat="1" hidden="1" x14ac:dyDescent="0.2"/>
    <row r="72" s="42" customFormat="1" hidden="1" x14ac:dyDescent="0.2"/>
    <row r="73" s="42" customFormat="1" hidden="1" x14ac:dyDescent="0.2"/>
    <row r="74" s="42" customFormat="1" hidden="1" x14ac:dyDescent="0.2"/>
    <row r="75" s="42" customFormat="1" hidden="1" x14ac:dyDescent="0.2"/>
    <row r="76" s="42" customFormat="1" hidden="1" x14ac:dyDescent="0.2"/>
    <row r="77" s="42" customFormat="1" hidden="1" x14ac:dyDescent="0.2"/>
    <row r="78" s="42" customFormat="1" hidden="1" x14ac:dyDescent="0.2"/>
    <row r="79" s="42" customFormat="1" hidden="1" x14ac:dyDescent="0.2"/>
    <row r="80" s="42" customFormat="1" hidden="1" x14ac:dyDescent="0.2"/>
    <row r="81" spans="9:9" s="42" customFormat="1" hidden="1" x14ac:dyDescent="0.2"/>
    <row r="82" spans="9:9" s="42" customFormat="1" hidden="1" x14ac:dyDescent="0.2"/>
    <row r="83" spans="9:9" s="42" customFormat="1" hidden="1" x14ac:dyDescent="0.2"/>
    <row r="84" spans="9:9" s="42" customFormat="1" hidden="1" x14ac:dyDescent="0.2"/>
    <row r="85" spans="9:9" s="42" customFormat="1" hidden="1" x14ac:dyDescent="0.2"/>
    <row r="86" spans="9:9" s="42" customFormat="1" hidden="1" x14ac:dyDescent="0.2"/>
    <row r="87" spans="9:9" s="42" customFormat="1" hidden="1" x14ac:dyDescent="0.2"/>
    <row r="88" spans="9:9" s="30" customFormat="1" hidden="1" x14ac:dyDescent="0.2"/>
    <row r="89" spans="9:9" s="42" customFormat="1" hidden="1" x14ac:dyDescent="0.2">
      <c r="I89" s="52"/>
    </row>
    <row r="90" spans="9:9" s="42" customFormat="1" hidden="1" x14ac:dyDescent="0.2">
      <c r="I90" s="52"/>
    </row>
    <row r="91" spans="9:9" s="42" customFormat="1" hidden="1" x14ac:dyDescent="0.2">
      <c r="I91" s="52"/>
    </row>
    <row r="92" spans="9:9" s="42" customFormat="1" hidden="1" x14ac:dyDescent="0.2">
      <c r="I92" s="52"/>
    </row>
    <row r="93" spans="9:9" s="42" customFormat="1" hidden="1" x14ac:dyDescent="0.2">
      <c r="I93" s="52"/>
    </row>
    <row r="94" spans="9:9" s="42" customFormat="1" hidden="1" x14ac:dyDescent="0.2">
      <c r="I94" s="52"/>
    </row>
    <row r="95" spans="9:9" s="42" customFormat="1" hidden="1" x14ac:dyDescent="0.2">
      <c r="I95" s="52"/>
    </row>
    <row r="96" spans="9:9" s="82" customFormat="1" hidden="1" x14ac:dyDescent="0.2"/>
    <row r="97" spans="1:8" hidden="1" x14ac:dyDescent="0.2"/>
    <row r="98" spans="1:8" hidden="1" x14ac:dyDescent="0.2"/>
    <row r="99" spans="1:8" hidden="1" x14ac:dyDescent="0.2"/>
    <row r="100" spans="1:8" x14ac:dyDescent="0.2">
      <c r="A100" s="60" t="s">
        <v>90</v>
      </c>
      <c r="B100" s="45"/>
      <c r="C100" s="35"/>
      <c r="D100" s="35"/>
      <c r="E100" s="35"/>
      <c r="F100" s="36"/>
      <c r="G100" s="37"/>
      <c r="H100" s="42"/>
    </row>
    <row r="101" spans="1:8" x14ac:dyDescent="0.2">
      <c r="A101" s="42"/>
      <c r="B101" s="42"/>
      <c r="C101" s="42"/>
      <c r="D101" s="42"/>
      <c r="E101" s="42"/>
      <c r="F101" s="42"/>
      <c r="G101" s="42"/>
      <c r="H101" s="42"/>
    </row>
    <row r="102" spans="1:8" x14ac:dyDescent="0.2">
      <c r="A102" s="43">
        <v>1</v>
      </c>
      <c r="B102" s="127" t="str">
        <f>IFERROR(INDEX(B$42:B$54,MATCH(A102,A$42:A$54,0)),"")</f>
        <v>Alari Keedus, Ülo Piik</v>
      </c>
      <c r="C102" s="81">
        <v>13</v>
      </c>
      <c r="D102" s="42"/>
      <c r="E102" s="42"/>
      <c r="F102" s="81"/>
      <c r="G102" s="81"/>
      <c r="H102" s="42"/>
    </row>
    <row r="103" spans="1:8" x14ac:dyDescent="0.2">
      <c r="A103" s="43"/>
      <c r="B103" s="65"/>
      <c r="C103" s="126" t="str">
        <f>IF(COUNT(C102,C104)=2,IF(C102&gt;C104,B102,B104),"")</f>
        <v>Alari Keedus, Ülo Piik</v>
      </c>
      <c r="D103" s="42"/>
      <c r="E103" s="42"/>
      <c r="F103" s="42"/>
      <c r="G103" s="81">
        <v>8</v>
      </c>
      <c r="H103" s="42"/>
    </row>
    <row r="104" spans="1:8" x14ac:dyDescent="0.2">
      <c r="A104" s="43">
        <v>4</v>
      </c>
      <c r="B104" s="323" t="str">
        <f>IFERROR(INDEX(B$42:B$54,MATCH(A104,A$42:A$54,0)),"")</f>
        <v>Jaan Joonas, Toomas Hoole</v>
      </c>
      <c r="C104" s="63">
        <v>8</v>
      </c>
      <c r="D104" s="309"/>
      <c r="E104" s="309"/>
      <c r="F104" s="554"/>
      <c r="G104" s="81"/>
      <c r="H104" s="42"/>
    </row>
    <row r="105" spans="1:8" ht="13.5" thickBot="1" x14ac:dyDescent="0.25">
      <c r="A105" s="43"/>
      <c r="B105" s="81"/>
      <c r="C105" s="51"/>
      <c r="D105" s="45"/>
      <c r="E105" s="45"/>
      <c r="F105" s="68"/>
      <c r="G105" s="81"/>
      <c r="H105" s="224" t="str">
        <f>IF(COUNT(G103,G107)=2,IF(G103&gt;G107,C103,C107),"")</f>
        <v>Ivar Viljaste, Tanel Vähk</v>
      </c>
    </row>
    <row r="106" spans="1:8" x14ac:dyDescent="0.2">
      <c r="A106" s="43">
        <v>2</v>
      </c>
      <c r="B106" s="127" t="str">
        <f>IFERROR(INDEX(B$42:B$54,MATCH(A106,A$42:A$54,0)),"")</f>
        <v>Ivar Viljaste, Tanel Vähk</v>
      </c>
      <c r="C106" s="81">
        <v>13</v>
      </c>
      <c r="D106" s="45"/>
      <c r="E106" s="45"/>
      <c r="F106" s="68"/>
      <c r="G106" s="69"/>
      <c r="H106" s="62" t="s">
        <v>277</v>
      </c>
    </row>
    <row r="107" spans="1:8" x14ac:dyDescent="0.2">
      <c r="A107" s="43"/>
      <c r="B107" s="65"/>
      <c r="C107" s="126" t="str">
        <f>IF(COUNT(C106,C108)=2,IF(C106&gt;C108,B106,B108),"")</f>
        <v>Ivar Viljaste, Tanel Vähk</v>
      </c>
      <c r="D107" s="344"/>
      <c r="E107" s="344"/>
      <c r="F107" s="50"/>
      <c r="G107" s="63">
        <v>13</v>
      </c>
      <c r="H107" s="42"/>
    </row>
    <row r="108" spans="1:8" ht="13.5" thickBot="1" x14ac:dyDescent="0.25">
      <c r="A108" s="43">
        <v>3</v>
      </c>
      <c r="B108" s="323" t="str">
        <f>IFERROR(INDEX(B$42:B$54,MATCH(A108,A$42:A$54,0)),"")</f>
        <v>Eve Oidsalu, Hardo Sokk</v>
      </c>
      <c r="C108" s="63">
        <v>11</v>
      </c>
      <c r="D108" s="42"/>
      <c r="E108" s="42"/>
      <c r="F108" s="81"/>
      <c r="G108" s="51"/>
      <c r="H108" s="224" t="str">
        <f>IF(COUNT(G103,G107)=2,IF(G103&lt;G107,C103,C107),"")</f>
        <v>Alari Keedus, Ülo Piik</v>
      </c>
    </row>
    <row r="109" spans="1:8" x14ac:dyDescent="0.2">
      <c r="A109" s="42"/>
      <c r="B109" s="81"/>
      <c r="C109" s="81"/>
      <c r="D109" s="42"/>
      <c r="E109" s="42"/>
      <c r="F109" s="81"/>
      <c r="G109" s="51"/>
      <c r="H109" s="62" t="s">
        <v>278</v>
      </c>
    </row>
    <row r="110" spans="1:8" x14ac:dyDescent="0.2">
      <c r="A110" s="42"/>
      <c r="B110" s="81"/>
      <c r="C110" s="468" t="str">
        <f>IF(COUNT(C102,C104)=2,IF(C102&lt;C104,B102,B104),"")</f>
        <v>Jaan Joonas, Toomas Hoole</v>
      </c>
      <c r="D110" s="42"/>
      <c r="E110" s="42"/>
      <c r="F110" s="42"/>
      <c r="G110" s="81">
        <v>3</v>
      </c>
      <c r="H110" s="45"/>
    </row>
    <row r="111" spans="1:8" ht="13.5" thickBot="1" x14ac:dyDescent="0.25">
      <c r="A111" s="42"/>
      <c r="B111" s="81"/>
      <c r="C111" s="309"/>
      <c r="D111" s="309"/>
      <c r="E111" s="309"/>
      <c r="F111" s="345"/>
      <c r="G111" s="47"/>
      <c r="H111" s="224" t="str">
        <f>IF(COUNT(G110,G112)=2,IF(G110&gt;G112,C110,C112),"")</f>
        <v>Eve Oidsalu, Hardo Sokk</v>
      </c>
    </row>
    <row r="112" spans="1:8" x14ac:dyDescent="0.2">
      <c r="A112" s="42"/>
      <c r="B112" s="81"/>
      <c r="C112" s="127" t="str">
        <f>IF(COUNT(C106,C108)=2,IF(C106&lt;C108,B106,B108),"")</f>
        <v>Eve Oidsalu, Hardo Sokk</v>
      </c>
      <c r="D112" s="344"/>
      <c r="E112" s="344"/>
      <c r="F112" s="50"/>
      <c r="G112" s="63">
        <v>13</v>
      </c>
      <c r="H112" s="53" t="s">
        <v>279</v>
      </c>
    </row>
    <row r="113" spans="1:8" x14ac:dyDescent="0.2">
      <c r="A113" s="42"/>
      <c r="B113" s="42"/>
      <c r="C113" s="42"/>
      <c r="D113" s="42"/>
      <c r="E113" s="42"/>
      <c r="F113" s="42"/>
      <c r="G113" s="42"/>
      <c r="H113" s="45"/>
    </row>
    <row r="114" spans="1:8" ht="13.5" thickBot="1" x14ac:dyDescent="0.25">
      <c r="A114" s="42"/>
      <c r="B114" s="42"/>
      <c r="C114" s="45"/>
      <c r="D114" s="42"/>
      <c r="E114" s="42"/>
      <c r="F114" s="45"/>
      <c r="G114" s="42"/>
      <c r="H114" s="47" t="str">
        <f>IF(COUNT(G110,G112)=2,IF(G110&lt;G112,C110,C112),"")</f>
        <v>Jaan Joonas, Toomas Hoole</v>
      </c>
    </row>
    <row r="115" spans="1:8" x14ac:dyDescent="0.2">
      <c r="A115" s="42"/>
      <c r="B115" s="36"/>
      <c r="C115" s="36"/>
      <c r="D115" s="42"/>
      <c r="E115" s="42"/>
      <c r="F115" s="36"/>
      <c r="G115" s="39"/>
      <c r="H115" s="62" t="s">
        <v>75</v>
      </c>
    </row>
    <row r="116" spans="1:8" x14ac:dyDescent="0.2">
      <c r="A116" s="42"/>
      <c r="B116" s="42"/>
      <c r="C116" s="42"/>
      <c r="D116" s="42"/>
      <c r="E116" s="42"/>
      <c r="F116" s="42"/>
      <c r="G116" s="42"/>
      <c r="H116" s="42"/>
    </row>
    <row r="117" spans="1:8" x14ac:dyDescent="0.2">
      <c r="A117" s="64" t="s">
        <v>95</v>
      </c>
      <c r="B117" s="42"/>
      <c r="C117" s="42"/>
      <c r="D117" s="42"/>
      <c r="E117" s="42"/>
      <c r="F117" s="42"/>
      <c r="G117" s="42"/>
      <c r="H117" s="42"/>
    </row>
    <row r="118" spans="1:8" x14ac:dyDescent="0.2">
      <c r="A118" s="42"/>
      <c r="B118" s="42"/>
      <c r="C118" s="42"/>
      <c r="D118" s="42"/>
      <c r="E118" s="42"/>
      <c r="F118" s="42"/>
      <c r="G118" s="45"/>
      <c r="H118" s="45"/>
    </row>
    <row r="119" spans="1:8" x14ac:dyDescent="0.2">
      <c r="A119" s="43">
        <v>5</v>
      </c>
      <c r="B119" s="127" t="str">
        <f>IFERROR(INDEX(B$42:B$54,MATCH(A119,A$42:A$54,0)),"")</f>
        <v>Aigi Orro, Kalle Orro</v>
      </c>
      <c r="C119" s="81">
        <v>13</v>
      </c>
      <c r="D119" s="42"/>
      <c r="E119" s="42"/>
      <c r="F119" s="81"/>
      <c r="G119" s="81"/>
      <c r="H119" s="42"/>
    </row>
    <row r="120" spans="1:8" x14ac:dyDescent="0.2">
      <c r="A120" s="43"/>
      <c r="B120" s="65"/>
      <c r="C120" s="126" t="str">
        <f>IF(COUNT(C119,C121)=2,IF(C119&gt;C121,B119,B121),"")</f>
        <v>Aigi Orro, Kalle Orro</v>
      </c>
      <c r="D120" s="42"/>
      <c r="E120" s="42"/>
      <c r="F120" s="42"/>
      <c r="G120" s="81">
        <v>0</v>
      </c>
      <c r="H120" s="42"/>
    </row>
    <row r="121" spans="1:8" x14ac:dyDescent="0.2">
      <c r="A121" s="43">
        <v>8</v>
      </c>
      <c r="B121" s="323" t="str">
        <f>IFERROR(INDEX(B$42:B$54,MATCH(A121,A$42:A$54,0)),"")</f>
        <v>Triin Gretel Tauk, Vahur Raudsepp</v>
      </c>
      <c r="C121" s="63">
        <v>10</v>
      </c>
      <c r="D121" s="309"/>
      <c r="E121" s="309"/>
      <c r="F121" s="554"/>
      <c r="G121" s="81"/>
      <c r="H121" s="42"/>
    </row>
    <row r="122" spans="1:8" ht="13.5" thickBot="1" x14ac:dyDescent="0.25">
      <c r="A122" s="43"/>
      <c r="B122" s="81"/>
      <c r="C122" s="51"/>
      <c r="D122" s="45"/>
      <c r="E122" s="45"/>
      <c r="F122" s="68"/>
      <c r="G122" s="81"/>
      <c r="H122" s="224" t="str">
        <f>IF(COUNT(G120,G124)=2,IF(G120&gt;G124,C120,C124),"")</f>
        <v>Andero Kelu, Kaido Kopel</v>
      </c>
    </row>
    <row r="123" spans="1:8" x14ac:dyDescent="0.2">
      <c r="A123" s="43">
        <v>6</v>
      </c>
      <c r="B123" s="127" t="str">
        <f>IFERROR(INDEX(B$42:B$54,MATCH(A123,A$42:A$54,0)),"")</f>
        <v>Aigar Lusbo, Merike Lusbo</v>
      </c>
      <c r="C123" s="81">
        <v>8</v>
      </c>
      <c r="D123" s="45"/>
      <c r="E123" s="45"/>
      <c r="F123" s="68"/>
      <c r="G123" s="69"/>
      <c r="H123" s="62" t="s">
        <v>76</v>
      </c>
    </row>
    <row r="124" spans="1:8" x14ac:dyDescent="0.2">
      <c r="A124" s="43"/>
      <c r="B124" s="65"/>
      <c r="C124" s="126" t="str">
        <f>IF(COUNT(C123,C125)=2,IF(C123&gt;C125,B123,B125),"")</f>
        <v>Andero Kelu, Kaido Kopel</v>
      </c>
      <c r="D124" s="344"/>
      <c r="E124" s="344"/>
      <c r="F124" s="50"/>
      <c r="G124" s="63">
        <v>13</v>
      </c>
      <c r="H124" s="42"/>
    </row>
    <row r="125" spans="1:8" ht="13.5" thickBot="1" x14ac:dyDescent="0.25">
      <c r="A125" s="43">
        <v>7</v>
      </c>
      <c r="B125" s="323" t="str">
        <f>IFERROR(INDEX(B$42:B$54,MATCH(A125,A$42:A$54,0)),"")</f>
        <v>Andero Kelu, Kaido Kopel</v>
      </c>
      <c r="C125" s="63">
        <v>13</v>
      </c>
      <c r="D125" s="42"/>
      <c r="E125" s="42"/>
      <c r="F125" s="81"/>
      <c r="G125" s="51"/>
      <c r="H125" s="224" t="str">
        <f>IF(COUNT(G120,G124)=2,IF(G120&lt;G124,C120,C124),"")</f>
        <v>Aigi Orro, Kalle Orro</v>
      </c>
    </row>
    <row r="126" spans="1:8" x14ac:dyDescent="0.2">
      <c r="A126" s="42"/>
      <c r="B126" s="81"/>
      <c r="C126" s="81"/>
      <c r="D126" s="42"/>
      <c r="E126" s="42"/>
      <c r="F126" s="81"/>
      <c r="G126" s="51"/>
      <c r="H126" s="62" t="s">
        <v>77</v>
      </c>
    </row>
    <row r="127" spans="1:8" x14ac:dyDescent="0.2">
      <c r="A127" s="42"/>
      <c r="B127" s="81"/>
      <c r="C127" s="468" t="str">
        <f>IF(COUNT(C119,C121)=2,IF(C119&lt;C121,B119,B121),"")</f>
        <v>Triin Gretel Tauk, Vahur Raudsepp</v>
      </c>
      <c r="D127" s="42"/>
      <c r="E127" s="42"/>
      <c r="F127" s="42"/>
      <c r="G127" s="81">
        <v>13</v>
      </c>
      <c r="H127" s="45"/>
    </row>
    <row r="128" spans="1:8" ht="13.5" thickBot="1" x14ac:dyDescent="0.25">
      <c r="A128" s="42"/>
      <c r="B128" s="81"/>
      <c r="C128" s="309"/>
      <c r="D128" s="309"/>
      <c r="E128" s="309"/>
      <c r="F128" s="345"/>
      <c r="G128" s="47"/>
      <c r="H128" s="224" t="str">
        <f>IF(COUNT(G127,G129)=2,IF(G127&gt;G129,C127,C129),"")</f>
        <v>Triin Gretel Tauk, Vahur Raudsepp</v>
      </c>
    </row>
    <row r="129" spans="1:8" x14ac:dyDescent="0.2">
      <c r="A129" s="42"/>
      <c r="B129" s="81"/>
      <c r="C129" s="127" t="str">
        <f>IF(COUNT(C123,C125)=2,IF(C123&lt;C125,B123,B125),"")</f>
        <v>Aigar Lusbo, Merike Lusbo</v>
      </c>
      <c r="D129" s="344"/>
      <c r="E129" s="344"/>
      <c r="F129" s="50"/>
      <c r="G129" s="63">
        <v>10</v>
      </c>
      <c r="H129" s="62" t="s">
        <v>78</v>
      </c>
    </row>
    <row r="130" spans="1:8" x14ac:dyDescent="0.2">
      <c r="A130" s="42"/>
      <c r="B130" s="42"/>
      <c r="C130" s="42"/>
      <c r="D130" s="42"/>
      <c r="E130" s="42"/>
      <c r="F130" s="42"/>
      <c r="G130" s="42"/>
      <c r="H130" s="45"/>
    </row>
    <row r="131" spans="1:8" ht="13.5" thickBot="1" x14ac:dyDescent="0.25">
      <c r="A131" s="42"/>
      <c r="B131" s="42"/>
      <c r="C131" s="45"/>
      <c r="D131" s="42"/>
      <c r="E131" s="42"/>
      <c r="F131" s="45"/>
      <c r="G131" s="42"/>
      <c r="H131" s="47" t="str">
        <f>IF(COUNT(G127,G129)=2,IF(G127&lt;G129,C127,C129),"")</f>
        <v>Aigar Lusbo, Merike Lusbo</v>
      </c>
    </row>
    <row r="132" spans="1:8" x14ac:dyDescent="0.2">
      <c r="A132" s="34"/>
      <c r="B132" s="36"/>
      <c r="C132" s="36"/>
      <c r="D132" s="30"/>
      <c r="E132" s="30"/>
      <c r="F132" s="36"/>
      <c r="G132" s="39"/>
      <c r="H132" s="62" t="s">
        <v>79</v>
      </c>
    </row>
    <row r="133" spans="1:8" x14ac:dyDescent="0.2">
      <c r="A133" s="42"/>
      <c r="B133" s="42"/>
      <c r="C133" s="42"/>
      <c r="D133" s="42"/>
      <c r="E133" s="42"/>
      <c r="F133" s="42"/>
      <c r="G133" s="42"/>
      <c r="H133" s="42"/>
    </row>
    <row r="134" spans="1:8" x14ac:dyDescent="0.2">
      <c r="A134" s="64" t="s">
        <v>818</v>
      </c>
      <c r="B134" s="42"/>
      <c r="C134" s="42"/>
      <c r="D134" s="42"/>
      <c r="E134" s="42"/>
      <c r="F134" s="42"/>
      <c r="G134" s="42"/>
      <c r="H134" s="42"/>
    </row>
    <row r="135" spans="1:8" x14ac:dyDescent="0.2">
      <c r="A135" s="42"/>
      <c r="B135" s="42"/>
      <c r="C135" s="42"/>
      <c r="D135" s="42"/>
      <c r="E135" s="42"/>
      <c r="H135" s="45"/>
    </row>
    <row r="136" spans="1:8" x14ac:dyDescent="0.2">
      <c r="B136" s="556">
        <v>9</v>
      </c>
      <c r="C136" s="468" t="str">
        <f>IFERROR(INDEX(B$42:B$54,MATCH(B136,A$42:A$54,0)),"")</f>
        <v>Anne Sillamaa, Vallo Sillamaa</v>
      </c>
      <c r="E136" s="43">
        <v>9</v>
      </c>
      <c r="G136" s="81">
        <v>6</v>
      </c>
      <c r="H136" s="42"/>
    </row>
    <row r="137" spans="1:8" ht="13.5" thickBot="1" x14ac:dyDescent="0.25">
      <c r="C137" s="570"/>
      <c r="D137" s="571"/>
      <c r="E137" s="572"/>
      <c r="F137" s="573"/>
      <c r="G137" s="577"/>
      <c r="H137" s="224" t="str">
        <f>IF(COUNT(G136,G138)=2,IF(G136&gt;G138,C136,C138),"")</f>
        <v>Margus Strööm, Marko Ode</v>
      </c>
    </row>
    <row r="138" spans="1:8" x14ac:dyDescent="0.2">
      <c r="B138" s="556">
        <v>10</v>
      </c>
      <c r="C138" s="127" t="str">
        <f>IFERROR(INDEX(B$42:B$54,MATCH(B138,A$42:A$54,0)),"")</f>
        <v>Margus Strööm, Marko Ode</v>
      </c>
      <c r="D138" s="574"/>
      <c r="E138" s="575">
        <v>10</v>
      </c>
      <c r="F138" s="576"/>
      <c r="G138" s="69">
        <v>13</v>
      </c>
      <c r="H138" s="62" t="s">
        <v>84</v>
      </c>
    </row>
    <row r="139" spans="1:8" x14ac:dyDescent="0.2">
      <c r="E139" s="43"/>
      <c r="F139" s="81"/>
      <c r="G139" s="51"/>
      <c r="H139" s="45"/>
    </row>
    <row r="140" spans="1:8" ht="13.5" thickBot="1" x14ac:dyDescent="0.25">
      <c r="H140" s="224" t="str">
        <f>IF(COUNT(G136,G138)=2,IF(G136&lt;G138,C136,C138),"")</f>
        <v>Anne Sillamaa, Vallo Sillamaa</v>
      </c>
    </row>
    <row r="141" spans="1:8" x14ac:dyDescent="0.2">
      <c r="H141" s="62" t="s">
        <v>85</v>
      </c>
    </row>
    <row r="143" spans="1:8" x14ac:dyDescent="0.2">
      <c r="E143" s="42"/>
    </row>
    <row r="144" spans="1:8" ht="13.5" thickBot="1" x14ac:dyDescent="0.25">
      <c r="G144" s="556">
        <v>11</v>
      </c>
      <c r="H144" s="224" t="str">
        <f>IFERROR(INDEX(B$42:B$54,MATCH(G144,A$42:A$54,0)),"")</f>
        <v>Kadri Veljend, Margo Peebo</v>
      </c>
    </row>
    <row r="145" spans="1:8" x14ac:dyDescent="0.2">
      <c r="H145" s="62" t="s">
        <v>86</v>
      </c>
    </row>
    <row r="146" spans="1:8" hidden="1" x14ac:dyDescent="0.2">
      <c r="H146" s="45"/>
    </row>
    <row r="147" spans="1:8" hidden="1" x14ac:dyDescent="0.2"/>
    <row r="148" spans="1:8" hidden="1" x14ac:dyDescent="0.2"/>
    <row r="149" spans="1:8" hidden="1" x14ac:dyDescent="0.2">
      <c r="A149" s="34"/>
      <c r="B149" s="36"/>
      <c r="C149" s="36"/>
      <c r="D149" s="30"/>
      <c r="E149" s="30"/>
      <c r="F149" s="36"/>
      <c r="G149" s="39"/>
    </row>
    <row r="150" spans="1:8" hidden="1" x14ac:dyDescent="0.2"/>
    <row r="151" spans="1:8" hidden="1" x14ac:dyDescent="0.2"/>
    <row r="152" spans="1:8" hidden="1" x14ac:dyDescent="0.2"/>
    <row r="153" spans="1:8" hidden="1" x14ac:dyDescent="0.2"/>
    <row r="154" spans="1:8" hidden="1" x14ac:dyDescent="0.2"/>
    <row r="155" spans="1:8" hidden="1" x14ac:dyDescent="0.2"/>
    <row r="156" spans="1:8" hidden="1" x14ac:dyDescent="0.2"/>
    <row r="157" spans="1:8" hidden="1" x14ac:dyDescent="0.2"/>
    <row r="158" spans="1:8" hidden="1" x14ac:dyDescent="0.2"/>
    <row r="159" spans="1:8" hidden="1" x14ac:dyDescent="0.2"/>
    <row r="160" spans="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19" t="s">
        <v>577</v>
      </c>
    </row>
    <row r="300" spans="1:3" x14ac:dyDescent="0.2">
      <c r="A300" s="54">
        <v>1</v>
      </c>
      <c r="B300" s="55" t="str">
        <f>IFERROR(INDEX(H$100:H$300,MATCH(A300&amp;". koht",H$101:H$301,0)),"")</f>
        <v>Ivar Viljaste, Tanel Vähk</v>
      </c>
      <c r="C300" s="79">
        <v>20</v>
      </c>
    </row>
    <row r="301" spans="1:3" x14ac:dyDescent="0.2">
      <c r="A301" s="54">
        <v>2</v>
      </c>
      <c r="B301" s="56" t="str">
        <f t="shared" ref="B301:B310" si="16">IFERROR(INDEX(H$100:H$300,MATCH(A301&amp;". koht",H$101:H$301,0)),"")</f>
        <v>Alari Keedus, Ülo Piik</v>
      </c>
      <c r="C301" s="79">
        <v>16</v>
      </c>
    </row>
    <row r="302" spans="1:3" x14ac:dyDescent="0.2">
      <c r="A302" s="54">
        <v>3</v>
      </c>
      <c r="B302" s="57" t="str">
        <f t="shared" si="16"/>
        <v>Eve Oidsalu, Hardo Sokk</v>
      </c>
      <c r="C302" s="79">
        <v>12</v>
      </c>
    </row>
    <row r="303" spans="1:3" x14ac:dyDescent="0.2">
      <c r="A303" s="54">
        <v>4</v>
      </c>
      <c r="B303" s="58" t="str">
        <f t="shared" si="16"/>
        <v>Jaan Joonas, Toomas Hoole</v>
      </c>
      <c r="C303" s="79">
        <v>9</v>
      </c>
    </row>
    <row r="304" spans="1:3" x14ac:dyDescent="0.2">
      <c r="A304" s="54">
        <v>5</v>
      </c>
      <c r="B304" s="58" t="str">
        <f t="shared" si="16"/>
        <v>Andero Kelu, Kaido Kopel</v>
      </c>
      <c r="C304" s="79">
        <v>7</v>
      </c>
    </row>
    <row r="305" spans="1:3" x14ac:dyDescent="0.2">
      <c r="A305" s="54">
        <v>6</v>
      </c>
      <c r="B305" s="58" t="str">
        <f t="shared" si="16"/>
        <v>Aigi Orro, Kalle Orro</v>
      </c>
      <c r="C305" s="79">
        <v>5</v>
      </c>
    </row>
    <row r="306" spans="1:3" x14ac:dyDescent="0.2">
      <c r="A306" s="54">
        <v>7</v>
      </c>
      <c r="B306" s="58" t="str">
        <f t="shared" si="16"/>
        <v>Triin Gretel Tauk, Vahur Raudsepp</v>
      </c>
      <c r="C306" s="79">
        <v>4</v>
      </c>
    </row>
    <row r="307" spans="1:3" x14ac:dyDescent="0.2">
      <c r="A307" s="54">
        <v>8</v>
      </c>
      <c r="B307" s="58" t="str">
        <f t="shared" si="16"/>
        <v>Aigar Lusbo, Merike Lusbo</v>
      </c>
      <c r="C307" s="79">
        <v>3</v>
      </c>
    </row>
    <row r="308" spans="1:3" x14ac:dyDescent="0.2">
      <c r="A308" s="54">
        <v>9</v>
      </c>
      <c r="B308" s="58" t="str">
        <f t="shared" si="16"/>
        <v>Margus Strööm, Marko Ode</v>
      </c>
      <c r="C308" s="79">
        <v>1</v>
      </c>
    </row>
    <row r="309" spans="1:3" x14ac:dyDescent="0.2">
      <c r="A309" s="54">
        <v>10</v>
      </c>
      <c r="B309" s="58" t="str">
        <f t="shared" si="16"/>
        <v>Anne Sillamaa, Vallo Sillamaa</v>
      </c>
      <c r="C309" s="79">
        <v>1</v>
      </c>
    </row>
    <row r="310" spans="1:3" x14ac:dyDescent="0.2">
      <c r="A310" s="54">
        <v>11</v>
      </c>
      <c r="B310" s="58" t="str">
        <f t="shared" si="16"/>
        <v>Kadri Veljend, Margo Peebo</v>
      </c>
      <c r="C310" s="79">
        <v>1</v>
      </c>
    </row>
  </sheetData>
  <mergeCells count="13">
    <mergeCell ref="D54:E54"/>
    <mergeCell ref="D53:E53"/>
    <mergeCell ref="D40:E40"/>
    <mergeCell ref="D41:E41"/>
    <mergeCell ref="D42:E42"/>
    <mergeCell ref="D43:E43"/>
    <mergeCell ref="D44:E44"/>
    <mergeCell ref="D45:E45"/>
    <mergeCell ref="D47:E47"/>
    <mergeCell ref="D48:E48"/>
    <mergeCell ref="D49:E49"/>
    <mergeCell ref="D50:E50"/>
    <mergeCell ref="D52:E52"/>
  </mergeCells>
  <conditionalFormatting sqref="B300:B310">
    <cfRule type="containsBlanks" dxfId="870" priority="52">
      <formula>LEN(TRIM(B300))=0</formula>
    </cfRule>
    <cfRule type="duplicateValues" dxfId="869" priority="59"/>
  </conditionalFormatting>
  <conditionalFormatting sqref="A102:A108">
    <cfRule type="cellIs" dxfId="868" priority="51" operator="equal">
      <formula>"-"</formula>
    </cfRule>
    <cfRule type="duplicateValues" dxfId="867" priority="58"/>
  </conditionalFormatting>
  <conditionalFormatting sqref="A119:A125">
    <cfRule type="cellIs" dxfId="866" priority="49" operator="equal">
      <formula>"-"</formula>
    </cfRule>
    <cfRule type="duplicateValues" dxfId="865" priority="50"/>
  </conditionalFormatting>
  <conditionalFormatting sqref="D52 D54">
    <cfRule type="cellIs" dxfId="864" priority="45" stopIfTrue="1" operator="equal">
      <formula>13</formula>
    </cfRule>
  </conditionalFormatting>
  <conditionalFormatting sqref="D53">
    <cfRule type="cellIs" dxfId="863" priority="40" stopIfTrue="1" operator="equal">
      <formula>13</formula>
    </cfRule>
  </conditionalFormatting>
  <conditionalFormatting sqref="G120 G124 G127 G129">
    <cfRule type="containsBlanks" dxfId="862" priority="17">
      <formula>LEN(TRIM(G120))=0</formula>
    </cfRule>
  </conditionalFormatting>
  <conditionalFormatting sqref="G136 G138">
    <cfRule type="containsBlanks" dxfId="861" priority="11">
      <formula>LEN(TRIM(G136))=0</formula>
    </cfRule>
  </conditionalFormatting>
  <conditionalFormatting sqref="C102 C104">
    <cfRule type="aboveAverage" dxfId="860" priority="31"/>
  </conditionalFormatting>
  <conditionalFormatting sqref="C106 C108">
    <cfRule type="aboveAverage" dxfId="859" priority="30"/>
  </conditionalFormatting>
  <conditionalFormatting sqref="C102 C104 C106 C108">
    <cfRule type="containsBlanks" dxfId="858" priority="29">
      <formula>LEN(TRIM(C102))=0</formula>
    </cfRule>
  </conditionalFormatting>
  <conditionalFormatting sqref="C119 C121">
    <cfRule type="aboveAverage" dxfId="857" priority="28"/>
  </conditionalFormatting>
  <conditionalFormatting sqref="C123 C125">
    <cfRule type="aboveAverage" dxfId="856" priority="27"/>
  </conditionalFormatting>
  <conditionalFormatting sqref="C119 C121 C123 C125">
    <cfRule type="containsBlanks" dxfId="855" priority="26">
      <formula>LEN(TRIM(C119))=0</formula>
    </cfRule>
  </conditionalFormatting>
  <conditionalFormatting sqref="G103 G107 G110 G112">
    <cfRule type="containsBlanks" dxfId="854" priority="20">
      <formula>LEN(TRIM(G103))=0</formula>
    </cfRule>
  </conditionalFormatting>
  <conditionalFormatting sqref="G103 G107">
    <cfRule type="aboveAverage" dxfId="853" priority="22"/>
  </conditionalFormatting>
  <conditionalFormatting sqref="G110 G112">
    <cfRule type="aboveAverage" dxfId="852" priority="21"/>
  </conditionalFormatting>
  <conditionalFormatting sqref="G120 G124">
    <cfRule type="aboveAverage" dxfId="851" priority="19"/>
  </conditionalFormatting>
  <conditionalFormatting sqref="G127 G129">
    <cfRule type="aboveAverage" dxfId="850" priority="18"/>
  </conditionalFormatting>
  <conditionalFormatting sqref="G136 G138">
    <cfRule type="aboveAverage" dxfId="849" priority="13"/>
  </conditionalFormatting>
  <conditionalFormatting sqref="E136:E139">
    <cfRule type="cellIs" dxfId="848" priority="7212" operator="equal">
      <formula>"-"</formula>
    </cfRule>
    <cfRule type="duplicateValues" dxfId="847" priority="7213"/>
  </conditionalFormatting>
  <conditionalFormatting sqref="D7:F36">
    <cfRule type="cellIs" dxfId="846" priority="1" operator="equal">
      <formula>13</formula>
    </cfRule>
  </conditionalFormatting>
  <pageMargins left="0.78740157480314965" right="0.39370078740157483" top="0.78740157480314965" bottom="0.31496062992125984" header="0.59055118110236227" footer="0"/>
  <pageSetup paperSize="9" fitToHeight="0" orientation="portrait" verticalDpi="1200" r:id="rId1"/>
  <headerFooter>
    <oddHeader>&amp;R&amp;"Arial,Regular"&amp;9Page &amp;P of &amp;N</oddHeader>
  </headerFooter>
  <rowBreaks count="2" manualBreakCount="2">
    <brk id="54" max="8" man="1"/>
    <brk id="314" max="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15"/>
  <sheetViews>
    <sheetView showGridLines="0" showRowColHeaders="0" zoomScaleNormal="100" workbookViewId="0">
      <pane ySplit="7" topLeftCell="A8" activePane="bottomLeft" state="frozen"/>
      <selection activeCell="AK18" sqref="AK18"/>
      <selection pane="bottomLeft" activeCell="W1" sqref="W1"/>
    </sheetView>
  </sheetViews>
  <sheetFormatPr defaultRowHeight="12.75" x14ac:dyDescent="0.2"/>
  <cols>
    <col min="1" max="1" width="3" style="136" customWidth="1"/>
    <col min="2" max="2" width="18.85546875" style="136" customWidth="1"/>
    <col min="3" max="22" width="2.7109375" style="136" customWidth="1"/>
    <col min="23" max="23" width="3" style="136" bestFit="1" customWidth="1"/>
    <col min="24" max="24" width="11.5703125" style="136" bestFit="1" customWidth="1"/>
    <col min="25" max="25" width="3" style="136" customWidth="1"/>
    <col min="26" max="27" width="4" style="136" hidden="1" customWidth="1"/>
    <col min="28" max="28" width="4.5703125" style="136" hidden="1" customWidth="1"/>
    <col min="29" max="217" width="9.140625" style="136"/>
    <col min="218" max="218" width="3" style="136" customWidth="1"/>
    <col min="219" max="219" width="18.7109375" style="136" customWidth="1"/>
    <col min="220" max="239" width="2.85546875" style="136" customWidth="1"/>
    <col min="240" max="240" width="3" style="136" bestFit="1" customWidth="1"/>
    <col min="241" max="241" width="10.5703125" style="136" customWidth="1"/>
    <col min="242" max="244" width="0" style="136" hidden="1" customWidth="1"/>
    <col min="245" max="473" width="9.140625" style="136"/>
    <col min="474" max="474" width="3" style="136" customWidth="1"/>
    <col min="475" max="475" width="18.7109375" style="136" customWidth="1"/>
    <col min="476" max="495" width="2.85546875" style="136" customWidth="1"/>
    <col min="496" max="496" width="3" style="136" bestFit="1" customWidth="1"/>
    <col min="497" max="497" width="10.5703125" style="136" customWidth="1"/>
    <col min="498" max="500" width="0" style="136" hidden="1" customWidth="1"/>
    <col min="501" max="729" width="9.140625" style="136"/>
    <col min="730" max="730" width="3" style="136" customWidth="1"/>
    <col min="731" max="731" width="18.7109375" style="136" customWidth="1"/>
    <col min="732" max="751" width="2.85546875" style="136" customWidth="1"/>
    <col min="752" max="752" width="3" style="136" bestFit="1" customWidth="1"/>
    <col min="753" max="753" width="10.5703125" style="136" customWidth="1"/>
    <col min="754" max="756" width="0" style="136" hidden="1" customWidth="1"/>
    <col min="757" max="985" width="9.140625" style="136"/>
    <col min="986" max="986" width="3" style="136" customWidth="1"/>
    <col min="987" max="987" width="18.7109375" style="136" customWidth="1"/>
    <col min="988" max="1007" width="2.85546875" style="136" customWidth="1"/>
    <col min="1008" max="1008" width="3" style="136" bestFit="1" customWidth="1"/>
    <col min="1009" max="1009" width="10.5703125" style="136" customWidth="1"/>
    <col min="1010" max="1012" width="0" style="136" hidden="1" customWidth="1"/>
    <col min="1013" max="1241" width="9.140625" style="136"/>
    <col min="1242" max="1242" width="3" style="136" customWidth="1"/>
    <col min="1243" max="1243" width="18.7109375" style="136" customWidth="1"/>
    <col min="1244" max="1263" width="2.85546875" style="136" customWidth="1"/>
    <col min="1264" max="1264" width="3" style="136" bestFit="1" customWidth="1"/>
    <col min="1265" max="1265" width="10.5703125" style="136" customWidth="1"/>
    <col min="1266" max="1268" width="0" style="136" hidden="1" customWidth="1"/>
    <col min="1269" max="1497" width="9.140625" style="136"/>
    <col min="1498" max="1498" width="3" style="136" customWidth="1"/>
    <col min="1499" max="1499" width="18.7109375" style="136" customWidth="1"/>
    <col min="1500" max="1519" width="2.85546875" style="136" customWidth="1"/>
    <col min="1520" max="1520" width="3" style="136" bestFit="1" customWidth="1"/>
    <col min="1521" max="1521" width="10.5703125" style="136" customWidth="1"/>
    <col min="1522" max="1524" width="0" style="136" hidden="1" customWidth="1"/>
    <col min="1525" max="1753" width="9.140625" style="136"/>
    <col min="1754" max="1754" width="3" style="136" customWidth="1"/>
    <col min="1755" max="1755" width="18.7109375" style="136" customWidth="1"/>
    <col min="1756" max="1775" width="2.85546875" style="136" customWidth="1"/>
    <col min="1776" max="1776" width="3" style="136" bestFit="1" customWidth="1"/>
    <col min="1777" max="1777" width="10.5703125" style="136" customWidth="1"/>
    <col min="1778" max="1780" width="0" style="136" hidden="1" customWidth="1"/>
    <col min="1781" max="2009" width="9.140625" style="136"/>
    <col min="2010" max="2010" width="3" style="136" customWidth="1"/>
    <col min="2011" max="2011" width="18.7109375" style="136" customWidth="1"/>
    <col min="2012" max="2031" width="2.85546875" style="136" customWidth="1"/>
    <col min="2032" max="2032" width="3" style="136" bestFit="1" customWidth="1"/>
    <col min="2033" max="2033" width="10.5703125" style="136" customWidth="1"/>
    <col min="2034" max="2036" width="0" style="136" hidden="1" customWidth="1"/>
    <col min="2037" max="2265" width="9.140625" style="136"/>
    <col min="2266" max="2266" width="3" style="136" customWidth="1"/>
    <col min="2267" max="2267" width="18.7109375" style="136" customWidth="1"/>
    <col min="2268" max="2287" width="2.85546875" style="136" customWidth="1"/>
    <col min="2288" max="2288" width="3" style="136" bestFit="1" customWidth="1"/>
    <col min="2289" max="2289" width="10.5703125" style="136" customWidth="1"/>
    <col min="2290" max="2292" width="0" style="136" hidden="1" customWidth="1"/>
    <col min="2293" max="2521" width="9.140625" style="136"/>
    <col min="2522" max="2522" width="3" style="136" customWidth="1"/>
    <col min="2523" max="2523" width="18.7109375" style="136" customWidth="1"/>
    <col min="2524" max="2543" width="2.85546875" style="136" customWidth="1"/>
    <col min="2544" max="2544" width="3" style="136" bestFit="1" customWidth="1"/>
    <col min="2545" max="2545" width="10.5703125" style="136" customWidth="1"/>
    <col min="2546" max="2548" width="0" style="136" hidden="1" customWidth="1"/>
    <col min="2549" max="2777" width="9.140625" style="136"/>
    <col min="2778" max="2778" width="3" style="136" customWidth="1"/>
    <col min="2779" max="2779" width="18.7109375" style="136" customWidth="1"/>
    <col min="2780" max="2799" width="2.85546875" style="136" customWidth="1"/>
    <col min="2800" max="2800" width="3" style="136" bestFit="1" customWidth="1"/>
    <col min="2801" max="2801" width="10.5703125" style="136" customWidth="1"/>
    <col min="2802" max="2804" width="0" style="136" hidden="1" customWidth="1"/>
    <col min="2805" max="3033" width="9.140625" style="136"/>
    <col min="3034" max="3034" width="3" style="136" customWidth="1"/>
    <col min="3035" max="3035" width="18.7109375" style="136" customWidth="1"/>
    <col min="3036" max="3055" width="2.85546875" style="136" customWidth="1"/>
    <col min="3056" max="3056" width="3" style="136" bestFit="1" customWidth="1"/>
    <col min="3057" max="3057" width="10.5703125" style="136" customWidth="1"/>
    <col min="3058" max="3060" width="0" style="136" hidden="1" customWidth="1"/>
    <col min="3061" max="3289" width="9.140625" style="136"/>
    <col min="3290" max="3290" width="3" style="136" customWidth="1"/>
    <col min="3291" max="3291" width="18.7109375" style="136" customWidth="1"/>
    <col min="3292" max="3311" width="2.85546875" style="136" customWidth="1"/>
    <col min="3312" max="3312" width="3" style="136" bestFit="1" customWidth="1"/>
    <col min="3313" max="3313" width="10.5703125" style="136" customWidth="1"/>
    <col min="3314" max="3316" width="0" style="136" hidden="1" customWidth="1"/>
    <col min="3317" max="3545" width="9.140625" style="136"/>
    <col min="3546" max="3546" width="3" style="136" customWidth="1"/>
    <col min="3547" max="3547" width="18.7109375" style="136" customWidth="1"/>
    <col min="3548" max="3567" width="2.85546875" style="136" customWidth="1"/>
    <col min="3568" max="3568" width="3" style="136" bestFit="1" customWidth="1"/>
    <col min="3569" max="3569" width="10.5703125" style="136" customWidth="1"/>
    <col min="3570" max="3572" width="0" style="136" hidden="1" customWidth="1"/>
    <col min="3573" max="3801" width="9.140625" style="136"/>
    <col min="3802" max="3802" width="3" style="136" customWidth="1"/>
    <col min="3803" max="3803" width="18.7109375" style="136" customWidth="1"/>
    <col min="3804" max="3823" width="2.85546875" style="136" customWidth="1"/>
    <col min="3824" max="3824" width="3" style="136" bestFit="1" customWidth="1"/>
    <col min="3825" max="3825" width="10.5703125" style="136" customWidth="1"/>
    <col min="3826" max="3828" width="0" style="136" hidden="1" customWidth="1"/>
    <col min="3829" max="4057" width="9.140625" style="136"/>
    <col min="4058" max="4058" width="3" style="136" customWidth="1"/>
    <col min="4059" max="4059" width="18.7109375" style="136" customWidth="1"/>
    <col min="4060" max="4079" width="2.85546875" style="136" customWidth="1"/>
    <col min="4080" max="4080" width="3" style="136" bestFit="1" customWidth="1"/>
    <col min="4081" max="4081" width="10.5703125" style="136" customWidth="1"/>
    <col min="4082" max="4084" width="0" style="136" hidden="1" customWidth="1"/>
    <col min="4085" max="4313" width="9.140625" style="136"/>
    <col min="4314" max="4314" width="3" style="136" customWidth="1"/>
    <col min="4315" max="4315" width="18.7109375" style="136" customWidth="1"/>
    <col min="4316" max="4335" width="2.85546875" style="136" customWidth="1"/>
    <col min="4336" max="4336" width="3" style="136" bestFit="1" customWidth="1"/>
    <col min="4337" max="4337" width="10.5703125" style="136" customWidth="1"/>
    <col min="4338" max="4340" width="0" style="136" hidden="1" customWidth="1"/>
    <col min="4341" max="4569" width="9.140625" style="136"/>
    <col min="4570" max="4570" width="3" style="136" customWidth="1"/>
    <col min="4571" max="4571" width="18.7109375" style="136" customWidth="1"/>
    <col min="4572" max="4591" width="2.85546875" style="136" customWidth="1"/>
    <col min="4592" max="4592" width="3" style="136" bestFit="1" customWidth="1"/>
    <col min="4593" max="4593" width="10.5703125" style="136" customWidth="1"/>
    <col min="4594" max="4596" width="0" style="136" hidden="1" customWidth="1"/>
    <col min="4597" max="4825" width="9.140625" style="136"/>
    <col min="4826" max="4826" width="3" style="136" customWidth="1"/>
    <col min="4827" max="4827" width="18.7109375" style="136" customWidth="1"/>
    <col min="4828" max="4847" width="2.85546875" style="136" customWidth="1"/>
    <col min="4848" max="4848" width="3" style="136" bestFit="1" customWidth="1"/>
    <col min="4849" max="4849" width="10.5703125" style="136" customWidth="1"/>
    <col min="4850" max="4852" width="0" style="136" hidden="1" customWidth="1"/>
    <col min="4853" max="5081" width="9.140625" style="136"/>
    <col min="5082" max="5082" width="3" style="136" customWidth="1"/>
    <col min="5083" max="5083" width="18.7109375" style="136" customWidth="1"/>
    <col min="5084" max="5103" width="2.85546875" style="136" customWidth="1"/>
    <col min="5104" max="5104" width="3" style="136" bestFit="1" customWidth="1"/>
    <col min="5105" max="5105" width="10.5703125" style="136" customWidth="1"/>
    <col min="5106" max="5108" width="0" style="136" hidden="1" customWidth="1"/>
    <col min="5109" max="5337" width="9.140625" style="136"/>
    <col min="5338" max="5338" width="3" style="136" customWidth="1"/>
    <col min="5339" max="5339" width="18.7109375" style="136" customWidth="1"/>
    <col min="5340" max="5359" width="2.85546875" style="136" customWidth="1"/>
    <col min="5360" max="5360" width="3" style="136" bestFit="1" customWidth="1"/>
    <col min="5361" max="5361" width="10.5703125" style="136" customWidth="1"/>
    <col min="5362" max="5364" width="0" style="136" hidden="1" customWidth="1"/>
    <col min="5365" max="5593" width="9.140625" style="136"/>
    <col min="5594" max="5594" width="3" style="136" customWidth="1"/>
    <col min="5595" max="5595" width="18.7109375" style="136" customWidth="1"/>
    <col min="5596" max="5615" width="2.85546875" style="136" customWidth="1"/>
    <col min="5616" max="5616" width="3" style="136" bestFit="1" customWidth="1"/>
    <col min="5617" max="5617" width="10.5703125" style="136" customWidth="1"/>
    <col min="5618" max="5620" width="0" style="136" hidden="1" customWidth="1"/>
    <col min="5621" max="5849" width="9.140625" style="136"/>
    <col min="5850" max="5850" width="3" style="136" customWidth="1"/>
    <col min="5851" max="5851" width="18.7109375" style="136" customWidth="1"/>
    <col min="5852" max="5871" width="2.85546875" style="136" customWidth="1"/>
    <col min="5872" max="5872" width="3" style="136" bestFit="1" customWidth="1"/>
    <col min="5873" max="5873" width="10.5703125" style="136" customWidth="1"/>
    <col min="5874" max="5876" width="0" style="136" hidden="1" customWidth="1"/>
    <col min="5877" max="6105" width="9.140625" style="136"/>
    <col min="6106" max="6106" width="3" style="136" customWidth="1"/>
    <col min="6107" max="6107" width="18.7109375" style="136" customWidth="1"/>
    <col min="6108" max="6127" width="2.85546875" style="136" customWidth="1"/>
    <col min="6128" max="6128" width="3" style="136" bestFit="1" customWidth="1"/>
    <col min="6129" max="6129" width="10.5703125" style="136" customWidth="1"/>
    <col min="6130" max="6132" width="0" style="136" hidden="1" customWidth="1"/>
    <col min="6133" max="6361" width="9.140625" style="136"/>
    <col min="6362" max="6362" width="3" style="136" customWidth="1"/>
    <col min="6363" max="6363" width="18.7109375" style="136" customWidth="1"/>
    <col min="6364" max="6383" width="2.85546875" style="136" customWidth="1"/>
    <col min="6384" max="6384" width="3" style="136" bestFit="1" customWidth="1"/>
    <col min="6385" max="6385" width="10.5703125" style="136" customWidth="1"/>
    <col min="6386" max="6388" width="0" style="136" hidden="1" customWidth="1"/>
    <col min="6389" max="6617" width="9.140625" style="136"/>
    <col min="6618" max="6618" width="3" style="136" customWidth="1"/>
    <col min="6619" max="6619" width="18.7109375" style="136" customWidth="1"/>
    <col min="6620" max="6639" width="2.85546875" style="136" customWidth="1"/>
    <col min="6640" max="6640" width="3" style="136" bestFit="1" customWidth="1"/>
    <col min="6641" max="6641" width="10.5703125" style="136" customWidth="1"/>
    <col min="6642" max="6644" width="0" style="136" hidden="1" customWidth="1"/>
    <col min="6645" max="6873" width="9.140625" style="136"/>
    <col min="6874" max="6874" width="3" style="136" customWidth="1"/>
    <col min="6875" max="6875" width="18.7109375" style="136" customWidth="1"/>
    <col min="6876" max="6895" width="2.85546875" style="136" customWidth="1"/>
    <col min="6896" max="6896" width="3" style="136" bestFit="1" customWidth="1"/>
    <col min="6897" max="6897" width="10.5703125" style="136" customWidth="1"/>
    <col min="6898" max="6900" width="0" style="136" hidden="1" customWidth="1"/>
    <col min="6901" max="7129" width="9.140625" style="136"/>
    <col min="7130" max="7130" width="3" style="136" customWidth="1"/>
    <col min="7131" max="7131" width="18.7109375" style="136" customWidth="1"/>
    <col min="7132" max="7151" width="2.85546875" style="136" customWidth="1"/>
    <col min="7152" max="7152" width="3" style="136" bestFit="1" customWidth="1"/>
    <col min="7153" max="7153" width="10.5703125" style="136" customWidth="1"/>
    <col min="7154" max="7156" width="0" style="136" hidden="1" customWidth="1"/>
    <col min="7157" max="7385" width="9.140625" style="136"/>
    <col min="7386" max="7386" width="3" style="136" customWidth="1"/>
    <col min="7387" max="7387" width="18.7109375" style="136" customWidth="1"/>
    <col min="7388" max="7407" width="2.85546875" style="136" customWidth="1"/>
    <col min="7408" max="7408" width="3" style="136" bestFit="1" customWidth="1"/>
    <col min="7409" max="7409" width="10.5703125" style="136" customWidth="1"/>
    <col min="7410" max="7412" width="0" style="136" hidden="1" customWidth="1"/>
    <col min="7413" max="7641" width="9.140625" style="136"/>
    <col min="7642" max="7642" width="3" style="136" customWidth="1"/>
    <col min="7643" max="7643" width="18.7109375" style="136" customWidth="1"/>
    <col min="7644" max="7663" width="2.85546875" style="136" customWidth="1"/>
    <col min="7664" max="7664" width="3" style="136" bestFit="1" customWidth="1"/>
    <col min="7665" max="7665" width="10.5703125" style="136" customWidth="1"/>
    <col min="7666" max="7668" width="0" style="136" hidden="1" customWidth="1"/>
    <col min="7669" max="7897" width="9.140625" style="136"/>
    <col min="7898" max="7898" width="3" style="136" customWidth="1"/>
    <col min="7899" max="7899" width="18.7109375" style="136" customWidth="1"/>
    <col min="7900" max="7919" width="2.85546875" style="136" customWidth="1"/>
    <col min="7920" max="7920" width="3" style="136" bestFit="1" customWidth="1"/>
    <col min="7921" max="7921" width="10.5703125" style="136" customWidth="1"/>
    <col min="7922" max="7924" width="0" style="136" hidden="1" customWidth="1"/>
    <col min="7925" max="8153" width="9.140625" style="136"/>
    <col min="8154" max="8154" width="3" style="136" customWidth="1"/>
    <col min="8155" max="8155" width="18.7109375" style="136" customWidth="1"/>
    <col min="8156" max="8175" width="2.85546875" style="136" customWidth="1"/>
    <col min="8176" max="8176" width="3" style="136" bestFit="1" customWidth="1"/>
    <col min="8177" max="8177" width="10.5703125" style="136" customWidth="1"/>
    <col min="8178" max="8180" width="0" style="136" hidden="1" customWidth="1"/>
    <col min="8181" max="8409" width="9.140625" style="136"/>
    <col min="8410" max="8410" width="3" style="136" customWidth="1"/>
    <col min="8411" max="8411" width="18.7109375" style="136" customWidth="1"/>
    <col min="8412" max="8431" width="2.85546875" style="136" customWidth="1"/>
    <col min="8432" max="8432" width="3" style="136" bestFit="1" customWidth="1"/>
    <col min="8433" max="8433" width="10.5703125" style="136" customWidth="1"/>
    <col min="8434" max="8436" width="0" style="136" hidden="1" customWidth="1"/>
    <col min="8437" max="8665" width="9.140625" style="136"/>
    <col min="8666" max="8666" width="3" style="136" customWidth="1"/>
    <col min="8667" max="8667" width="18.7109375" style="136" customWidth="1"/>
    <col min="8668" max="8687" width="2.85546875" style="136" customWidth="1"/>
    <col min="8688" max="8688" width="3" style="136" bestFit="1" customWidth="1"/>
    <col min="8689" max="8689" width="10.5703125" style="136" customWidth="1"/>
    <col min="8690" max="8692" width="0" style="136" hidden="1" customWidth="1"/>
    <col min="8693" max="8921" width="9.140625" style="136"/>
    <col min="8922" max="8922" width="3" style="136" customWidth="1"/>
    <col min="8923" max="8923" width="18.7109375" style="136" customWidth="1"/>
    <col min="8924" max="8943" width="2.85546875" style="136" customWidth="1"/>
    <col min="8944" max="8944" width="3" style="136" bestFit="1" customWidth="1"/>
    <col min="8945" max="8945" width="10.5703125" style="136" customWidth="1"/>
    <col min="8946" max="8948" width="0" style="136" hidden="1" customWidth="1"/>
    <col min="8949" max="9177" width="9.140625" style="136"/>
    <col min="9178" max="9178" width="3" style="136" customWidth="1"/>
    <col min="9179" max="9179" width="18.7109375" style="136" customWidth="1"/>
    <col min="9180" max="9199" width="2.85546875" style="136" customWidth="1"/>
    <col min="9200" max="9200" width="3" style="136" bestFit="1" customWidth="1"/>
    <col min="9201" max="9201" width="10.5703125" style="136" customWidth="1"/>
    <col min="9202" max="9204" width="0" style="136" hidden="1" customWidth="1"/>
    <col min="9205" max="9433" width="9.140625" style="136"/>
    <col min="9434" max="9434" width="3" style="136" customWidth="1"/>
    <col min="9435" max="9435" width="18.7109375" style="136" customWidth="1"/>
    <col min="9436" max="9455" width="2.85546875" style="136" customWidth="1"/>
    <col min="9456" max="9456" width="3" style="136" bestFit="1" customWidth="1"/>
    <col min="9457" max="9457" width="10.5703125" style="136" customWidth="1"/>
    <col min="9458" max="9460" width="0" style="136" hidden="1" customWidth="1"/>
    <col min="9461" max="9689" width="9.140625" style="136"/>
    <col min="9690" max="9690" width="3" style="136" customWidth="1"/>
    <col min="9691" max="9691" width="18.7109375" style="136" customWidth="1"/>
    <col min="9692" max="9711" width="2.85546875" style="136" customWidth="1"/>
    <col min="9712" max="9712" width="3" style="136" bestFit="1" customWidth="1"/>
    <col min="9713" max="9713" width="10.5703125" style="136" customWidth="1"/>
    <col min="9714" max="9716" width="0" style="136" hidden="1" customWidth="1"/>
    <col min="9717" max="9945" width="9.140625" style="136"/>
    <col min="9946" max="9946" width="3" style="136" customWidth="1"/>
    <col min="9947" max="9947" width="18.7109375" style="136" customWidth="1"/>
    <col min="9948" max="9967" width="2.85546875" style="136" customWidth="1"/>
    <col min="9968" max="9968" width="3" style="136" bestFit="1" customWidth="1"/>
    <col min="9969" max="9969" width="10.5703125" style="136" customWidth="1"/>
    <col min="9970" max="9972" width="0" style="136" hidden="1" customWidth="1"/>
    <col min="9973" max="10201" width="9.140625" style="136"/>
    <col min="10202" max="10202" width="3" style="136" customWidth="1"/>
    <col min="10203" max="10203" width="18.7109375" style="136" customWidth="1"/>
    <col min="10204" max="10223" width="2.85546875" style="136" customWidth="1"/>
    <col min="10224" max="10224" width="3" style="136" bestFit="1" customWidth="1"/>
    <col min="10225" max="10225" width="10.5703125" style="136" customWidth="1"/>
    <col min="10226" max="10228" width="0" style="136" hidden="1" customWidth="1"/>
    <col min="10229" max="10457" width="9.140625" style="136"/>
    <col min="10458" max="10458" width="3" style="136" customWidth="1"/>
    <col min="10459" max="10459" width="18.7109375" style="136" customWidth="1"/>
    <col min="10460" max="10479" width="2.85546875" style="136" customWidth="1"/>
    <col min="10480" max="10480" width="3" style="136" bestFit="1" customWidth="1"/>
    <col min="10481" max="10481" width="10.5703125" style="136" customWidth="1"/>
    <col min="10482" max="10484" width="0" style="136" hidden="1" customWidth="1"/>
    <col min="10485" max="10713" width="9.140625" style="136"/>
    <col min="10714" max="10714" width="3" style="136" customWidth="1"/>
    <col min="10715" max="10715" width="18.7109375" style="136" customWidth="1"/>
    <col min="10716" max="10735" width="2.85546875" style="136" customWidth="1"/>
    <col min="10736" max="10736" width="3" style="136" bestFit="1" customWidth="1"/>
    <col min="10737" max="10737" width="10.5703125" style="136" customWidth="1"/>
    <col min="10738" max="10740" width="0" style="136" hidden="1" customWidth="1"/>
    <col min="10741" max="10969" width="9.140625" style="136"/>
    <col min="10970" max="10970" width="3" style="136" customWidth="1"/>
    <col min="10971" max="10971" width="18.7109375" style="136" customWidth="1"/>
    <col min="10972" max="10991" width="2.85546875" style="136" customWidth="1"/>
    <col min="10992" max="10992" width="3" style="136" bestFit="1" customWidth="1"/>
    <col min="10993" max="10993" width="10.5703125" style="136" customWidth="1"/>
    <col min="10994" max="10996" width="0" style="136" hidden="1" customWidth="1"/>
    <col min="10997" max="11225" width="9.140625" style="136"/>
    <col min="11226" max="11226" width="3" style="136" customWidth="1"/>
    <col min="11227" max="11227" width="18.7109375" style="136" customWidth="1"/>
    <col min="11228" max="11247" width="2.85546875" style="136" customWidth="1"/>
    <col min="11248" max="11248" width="3" style="136" bestFit="1" customWidth="1"/>
    <col min="11249" max="11249" width="10.5703125" style="136" customWidth="1"/>
    <col min="11250" max="11252" width="0" style="136" hidden="1" customWidth="1"/>
    <col min="11253" max="11481" width="9.140625" style="136"/>
    <col min="11482" max="11482" width="3" style="136" customWidth="1"/>
    <col min="11483" max="11483" width="18.7109375" style="136" customWidth="1"/>
    <col min="11484" max="11503" width="2.85546875" style="136" customWidth="1"/>
    <col min="11504" max="11504" width="3" style="136" bestFit="1" customWidth="1"/>
    <col min="11505" max="11505" width="10.5703125" style="136" customWidth="1"/>
    <col min="11506" max="11508" width="0" style="136" hidden="1" customWidth="1"/>
    <col min="11509" max="11737" width="9.140625" style="136"/>
    <col min="11738" max="11738" width="3" style="136" customWidth="1"/>
    <col min="11739" max="11739" width="18.7109375" style="136" customWidth="1"/>
    <col min="11740" max="11759" width="2.85546875" style="136" customWidth="1"/>
    <col min="11760" max="11760" width="3" style="136" bestFit="1" customWidth="1"/>
    <col min="11761" max="11761" width="10.5703125" style="136" customWidth="1"/>
    <col min="11762" max="11764" width="0" style="136" hidden="1" customWidth="1"/>
    <col min="11765" max="11993" width="9.140625" style="136"/>
    <col min="11994" max="11994" width="3" style="136" customWidth="1"/>
    <col min="11995" max="11995" width="18.7109375" style="136" customWidth="1"/>
    <col min="11996" max="12015" width="2.85546875" style="136" customWidth="1"/>
    <col min="12016" max="12016" width="3" style="136" bestFit="1" customWidth="1"/>
    <col min="12017" max="12017" width="10.5703125" style="136" customWidth="1"/>
    <col min="12018" max="12020" width="0" style="136" hidden="1" customWidth="1"/>
    <col min="12021" max="12249" width="9.140625" style="136"/>
    <col min="12250" max="12250" width="3" style="136" customWidth="1"/>
    <col min="12251" max="12251" width="18.7109375" style="136" customWidth="1"/>
    <col min="12252" max="12271" width="2.85546875" style="136" customWidth="1"/>
    <col min="12272" max="12272" width="3" style="136" bestFit="1" customWidth="1"/>
    <col min="12273" max="12273" width="10.5703125" style="136" customWidth="1"/>
    <col min="12274" max="12276" width="0" style="136" hidden="1" customWidth="1"/>
    <col min="12277" max="12505" width="9.140625" style="136"/>
    <col min="12506" max="12506" width="3" style="136" customWidth="1"/>
    <col min="12507" max="12507" width="18.7109375" style="136" customWidth="1"/>
    <col min="12508" max="12527" width="2.85546875" style="136" customWidth="1"/>
    <col min="12528" max="12528" width="3" style="136" bestFit="1" customWidth="1"/>
    <col min="12529" max="12529" width="10.5703125" style="136" customWidth="1"/>
    <col min="12530" max="12532" width="0" style="136" hidden="1" customWidth="1"/>
    <col min="12533" max="12761" width="9.140625" style="136"/>
    <col min="12762" max="12762" width="3" style="136" customWidth="1"/>
    <col min="12763" max="12763" width="18.7109375" style="136" customWidth="1"/>
    <col min="12764" max="12783" width="2.85546875" style="136" customWidth="1"/>
    <col min="12784" max="12784" width="3" style="136" bestFit="1" customWidth="1"/>
    <col min="12785" max="12785" width="10.5703125" style="136" customWidth="1"/>
    <col min="12786" max="12788" width="0" style="136" hidden="1" customWidth="1"/>
    <col min="12789" max="13017" width="9.140625" style="136"/>
    <col min="13018" max="13018" width="3" style="136" customWidth="1"/>
    <col min="13019" max="13019" width="18.7109375" style="136" customWidth="1"/>
    <col min="13020" max="13039" width="2.85546875" style="136" customWidth="1"/>
    <col min="13040" max="13040" width="3" style="136" bestFit="1" customWidth="1"/>
    <col min="13041" max="13041" width="10.5703125" style="136" customWidth="1"/>
    <col min="13042" max="13044" width="0" style="136" hidden="1" customWidth="1"/>
    <col min="13045" max="13273" width="9.140625" style="136"/>
    <col min="13274" max="13274" width="3" style="136" customWidth="1"/>
    <col min="13275" max="13275" width="18.7109375" style="136" customWidth="1"/>
    <col min="13276" max="13295" width="2.85546875" style="136" customWidth="1"/>
    <col min="13296" max="13296" width="3" style="136" bestFit="1" customWidth="1"/>
    <col min="13297" max="13297" width="10.5703125" style="136" customWidth="1"/>
    <col min="13298" max="13300" width="0" style="136" hidden="1" customWidth="1"/>
    <col min="13301" max="13529" width="9.140625" style="136"/>
    <col min="13530" max="13530" width="3" style="136" customWidth="1"/>
    <col min="13531" max="13531" width="18.7109375" style="136" customWidth="1"/>
    <col min="13532" max="13551" width="2.85546875" style="136" customWidth="1"/>
    <col min="13552" max="13552" width="3" style="136" bestFit="1" customWidth="1"/>
    <col min="13553" max="13553" width="10.5703125" style="136" customWidth="1"/>
    <col min="13554" max="13556" width="0" style="136" hidden="1" customWidth="1"/>
    <col min="13557" max="13785" width="9.140625" style="136"/>
    <col min="13786" max="13786" width="3" style="136" customWidth="1"/>
    <col min="13787" max="13787" width="18.7109375" style="136" customWidth="1"/>
    <col min="13788" max="13807" width="2.85546875" style="136" customWidth="1"/>
    <col min="13808" max="13808" width="3" style="136" bestFit="1" customWidth="1"/>
    <col min="13809" max="13809" width="10.5703125" style="136" customWidth="1"/>
    <col min="13810" max="13812" width="0" style="136" hidden="1" customWidth="1"/>
    <col min="13813" max="14041" width="9.140625" style="136"/>
    <col min="14042" max="14042" width="3" style="136" customWidth="1"/>
    <col min="14043" max="14043" width="18.7109375" style="136" customWidth="1"/>
    <col min="14044" max="14063" width="2.85546875" style="136" customWidth="1"/>
    <col min="14064" max="14064" width="3" style="136" bestFit="1" customWidth="1"/>
    <col min="14065" max="14065" width="10.5703125" style="136" customWidth="1"/>
    <col min="14066" max="14068" width="0" style="136" hidden="1" customWidth="1"/>
    <col min="14069" max="14297" width="9.140625" style="136"/>
    <col min="14298" max="14298" width="3" style="136" customWidth="1"/>
    <col min="14299" max="14299" width="18.7109375" style="136" customWidth="1"/>
    <col min="14300" max="14319" width="2.85546875" style="136" customWidth="1"/>
    <col min="14320" max="14320" width="3" style="136" bestFit="1" customWidth="1"/>
    <col min="14321" max="14321" width="10.5703125" style="136" customWidth="1"/>
    <col min="14322" max="14324" width="0" style="136" hidden="1" customWidth="1"/>
    <col min="14325" max="14553" width="9.140625" style="136"/>
    <col min="14554" max="14554" width="3" style="136" customWidth="1"/>
    <col min="14555" max="14555" width="18.7109375" style="136" customWidth="1"/>
    <col min="14556" max="14575" width="2.85546875" style="136" customWidth="1"/>
    <col min="14576" max="14576" width="3" style="136" bestFit="1" customWidth="1"/>
    <col min="14577" max="14577" width="10.5703125" style="136" customWidth="1"/>
    <col min="14578" max="14580" width="0" style="136" hidden="1" customWidth="1"/>
    <col min="14581" max="14809" width="9.140625" style="136"/>
    <col min="14810" max="14810" width="3" style="136" customWidth="1"/>
    <col min="14811" max="14811" width="18.7109375" style="136" customWidth="1"/>
    <col min="14812" max="14831" width="2.85546875" style="136" customWidth="1"/>
    <col min="14832" max="14832" width="3" style="136" bestFit="1" customWidth="1"/>
    <col min="14833" max="14833" width="10.5703125" style="136" customWidth="1"/>
    <col min="14834" max="14836" width="0" style="136" hidden="1" customWidth="1"/>
    <col min="14837" max="15065" width="9.140625" style="136"/>
    <col min="15066" max="15066" width="3" style="136" customWidth="1"/>
    <col min="15067" max="15067" width="18.7109375" style="136" customWidth="1"/>
    <col min="15068" max="15087" width="2.85546875" style="136" customWidth="1"/>
    <col min="15088" max="15088" width="3" style="136" bestFit="1" customWidth="1"/>
    <col min="15089" max="15089" width="10.5703125" style="136" customWidth="1"/>
    <col min="15090" max="15092" width="0" style="136" hidden="1" customWidth="1"/>
    <col min="15093" max="15321" width="9.140625" style="136"/>
    <col min="15322" max="15322" width="3" style="136" customWidth="1"/>
    <col min="15323" max="15323" width="18.7109375" style="136" customWidth="1"/>
    <col min="15324" max="15343" width="2.85546875" style="136" customWidth="1"/>
    <col min="15344" max="15344" width="3" style="136" bestFit="1" customWidth="1"/>
    <col min="15345" max="15345" width="10.5703125" style="136" customWidth="1"/>
    <col min="15346" max="15348" width="0" style="136" hidden="1" customWidth="1"/>
    <col min="15349" max="15577" width="9.140625" style="136"/>
    <col min="15578" max="15578" width="3" style="136" customWidth="1"/>
    <col min="15579" max="15579" width="18.7109375" style="136" customWidth="1"/>
    <col min="15580" max="15599" width="2.85546875" style="136" customWidth="1"/>
    <col min="15600" max="15600" width="3" style="136" bestFit="1" customWidth="1"/>
    <col min="15601" max="15601" width="10.5703125" style="136" customWidth="1"/>
    <col min="15602" max="15604" width="0" style="136" hidden="1" customWidth="1"/>
    <col min="15605" max="15833" width="9.140625" style="136"/>
    <col min="15834" max="15834" width="3" style="136" customWidth="1"/>
    <col min="15835" max="15835" width="18.7109375" style="136" customWidth="1"/>
    <col min="15836" max="15855" width="2.85546875" style="136" customWidth="1"/>
    <col min="15856" max="15856" width="3" style="136" bestFit="1" customWidth="1"/>
    <col min="15857" max="15857" width="10.5703125" style="136" customWidth="1"/>
    <col min="15858" max="15860" width="0" style="136" hidden="1" customWidth="1"/>
    <col min="15861" max="16089" width="9.140625" style="136"/>
    <col min="16090" max="16090" width="3" style="136" customWidth="1"/>
    <col min="16091" max="16091" width="18.7109375" style="136" customWidth="1"/>
    <col min="16092" max="16111" width="2.85546875" style="136" customWidth="1"/>
    <col min="16112" max="16112" width="3" style="136" bestFit="1" customWidth="1"/>
    <col min="16113" max="16113" width="10.5703125" style="136" customWidth="1"/>
    <col min="16114" max="16116" width="0" style="136" hidden="1" customWidth="1"/>
    <col min="16117" max="16384" width="9.140625" style="136"/>
  </cols>
  <sheetData>
    <row r="1" spans="1:25" s="42" customFormat="1" x14ac:dyDescent="0.2">
      <c r="A1" s="72" t="str">
        <f>UPPER((Kalend!E29)&amp;" - "&amp;(Kalend!C29)&amp;" - "&amp;(Kalend!D29))</f>
        <v>9 - EESTI SISE-MV - TULISTAMINE</v>
      </c>
      <c r="B1" s="27"/>
      <c r="C1" s="27"/>
      <c r="D1" s="27"/>
      <c r="E1" s="27"/>
      <c r="N1" s="41" t="str">
        <f>HYPERLINK("#'Kalend'!I1","Kalender")</f>
        <v>Kalender</v>
      </c>
      <c r="O1" s="79"/>
      <c r="Q1" s="79"/>
      <c r="S1" s="41" t="str">
        <f>HYPERLINK("#Üldreiting!W1","Reiting")</f>
        <v>Reiting</v>
      </c>
      <c r="T1" s="27"/>
      <c r="U1" s="27"/>
      <c r="V1" s="27"/>
    </row>
    <row r="2" spans="1:25" s="42" customFormat="1" x14ac:dyDescent="0.2">
      <c r="A2" s="79" t="str">
        <f>"Toimumisaeg: "&amp;(Kalend!A29)&amp;" kell "&amp;(Kalend!B29)</f>
        <v>Toimumisaeg: P, 18.02.2018 kell 10:00</v>
      </c>
      <c r="B2" s="27"/>
      <c r="C2" s="27"/>
      <c r="D2" s="27"/>
      <c r="E2" s="27"/>
      <c r="O2" s="27"/>
      <c r="P2" s="27"/>
      <c r="R2" s="27"/>
      <c r="S2" s="27"/>
      <c r="T2" s="27"/>
    </row>
    <row r="3" spans="1:25" s="42" customFormat="1" x14ac:dyDescent="0.2">
      <c r="A3" s="79" t="str">
        <f>"Toimumiskoht: "&amp;(Kalend!F29)</f>
        <v>Toimumiskoht: Tallinn, Algi 38</v>
      </c>
      <c r="B3" s="27"/>
      <c r="C3" s="27"/>
      <c r="D3" s="27"/>
      <c r="E3" s="27"/>
      <c r="O3" s="27"/>
      <c r="P3" s="27"/>
      <c r="Q3" s="27"/>
      <c r="R3" s="27"/>
      <c r="S3" s="27"/>
      <c r="T3" s="27"/>
    </row>
    <row r="4" spans="1:25" s="42" customFormat="1" x14ac:dyDescent="0.2">
      <c r="A4" s="79" t="str">
        <f>"Korraldaja: "&amp;(Kalend!G29)</f>
        <v>Korraldaja: EPKL</v>
      </c>
      <c r="B4" s="27"/>
      <c r="C4" s="27"/>
      <c r="D4" s="27"/>
      <c r="E4" s="27"/>
      <c r="O4" s="27"/>
      <c r="P4" s="27"/>
      <c r="Q4" s="27"/>
      <c r="R4" s="27"/>
      <c r="S4" s="27"/>
      <c r="T4" s="27"/>
    </row>
    <row r="5" spans="1:25" s="42" customFormat="1" ht="13.5" thickBot="1" x14ac:dyDescent="0.25">
      <c r="A5" s="27"/>
      <c r="B5" s="27"/>
      <c r="C5" s="27"/>
      <c r="D5" s="27"/>
      <c r="E5" s="27"/>
      <c r="F5" s="27"/>
      <c r="G5" s="27"/>
      <c r="H5" s="27"/>
      <c r="I5" s="27"/>
      <c r="J5" s="27"/>
      <c r="K5" s="27"/>
    </row>
    <row r="6" spans="1:25" ht="58.5" customHeight="1" thickBot="1" x14ac:dyDescent="0.25">
      <c r="A6" s="130"/>
      <c r="B6" s="131"/>
      <c r="C6" s="132"/>
      <c r="D6" s="132"/>
      <c r="E6" s="132"/>
      <c r="F6" s="132"/>
      <c r="G6" s="133"/>
      <c r="H6" s="132"/>
      <c r="I6" s="132"/>
      <c r="J6" s="134"/>
      <c r="K6" s="132"/>
      <c r="L6" s="132"/>
      <c r="M6" s="132"/>
      <c r="N6" s="132"/>
      <c r="O6" s="133"/>
      <c r="P6" s="132"/>
      <c r="Q6" s="132"/>
      <c r="R6" s="134"/>
      <c r="S6" s="132"/>
      <c r="T6" s="132"/>
      <c r="U6" s="132"/>
      <c r="V6" s="132"/>
      <c r="W6" s="135"/>
      <c r="X6" s="135"/>
      <c r="Y6" s="276" t="s">
        <v>198</v>
      </c>
    </row>
    <row r="7" spans="1:25" s="142" customFormat="1" ht="13.5" thickBot="1" x14ac:dyDescent="0.25">
      <c r="A7" s="242"/>
      <c r="B7" s="137"/>
      <c r="C7" s="138">
        <v>6</v>
      </c>
      <c r="D7" s="139">
        <v>7</v>
      </c>
      <c r="E7" s="139">
        <v>8</v>
      </c>
      <c r="F7" s="140">
        <v>9</v>
      </c>
      <c r="G7" s="138">
        <v>6</v>
      </c>
      <c r="H7" s="139">
        <v>7</v>
      </c>
      <c r="I7" s="139">
        <v>8</v>
      </c>
      <c r="J7" s="140">
        <v>9</v>
      </c>
      <c r="K7" s="138">
        <v>6</v>
      </c>
      <c r="L7" s="139">
        <v>7</v>
      </c>
      <c r="M7" s="139">
        <v>8</v>
      </c>
      <c r="N7" s="140">
        <v>9</v>
      </c>
      <c r="O7" s="138">
        <v>6</v>
      </c>
      <c r="P7" s="139">
        <v>7</v>
      </c>
      <c r="Q7" s="139">
        <v>8</v>
      </c>
      <c r="R7" s="140">
        <v>9</v>
      </c>
      <c r="S7" s="138">
        <v>6</v>
      </c>
      <c r="T7" s="139">
        <v>7</v>
      </c>
      <c r="U7" s="139">
        <v>8</v>
      </c>
      <c r="V7" s="140">
        <v>9</v>
      </c>
      <c r="W7" s="277" t="s">
        <v>87</v>
      </c>
      <c r="X7" s="141" t="s">
        <v>842</v>
      </c>
      <c r="Y7" s="141" t="s">
        <v>196</v>
      </c>
    </row>
    <row r="8" spans="1:25" ht="13.5" thickBot="1" x14ac:dyDescent="0.25">
      <c r="A8" s="662" t="s">
        <v>908</v>
      </c>
      <c r="B8" s="663" t="s">
        <v>840</v>
      </c>
      <c r="C8" s="664"/>
      <c r="D8" s="664"/>
      <c r="E8" s="664"/>
      <c r="F8" s="664"/>
      <c r="G8" s="664"/>
      <c r="H8" s="664"/>
      <c r="I8" s="664"/>
      <c r="J8" s="664"/>
      <c r="K8" s="664"/>
      <c r="L8" s="664"/>
      <c r="M8" s="664"/>
      <c r="N8" s="664"/>
      <c r="O8" s="664"/>
      <c r="P8" s="664"/>
      <c r="Q8" s="664"/>
      <c r="R8" s="664"/>
      <c r="S8" s="664"/>
      <c r="T8" s="664"/>
      <c r="U8" s="664"/>
      <c r="V8" s="664"/>
      <c r="W8" s="687"/>
      <c r="X8" s="665"/>
      <c r="Y8" s="157"/>
    </row>
    <row r="9" spans="1:25" x14ac:dyDescent="0.2">
      <c r="A9" s="656">
        <v>12</v>
      </c>
      <c r="B9" s="657" t="s">
        <v>245</v>
      </c>
      <c r="C9" s="658">
        <v>0</v>
      </c>
      <c r="D9" s="659">
        <v>3</v>
      </c>
      <c r="E9" s="659">
        <v>0</v>
      </c>
      <c r="F9" s="721">
        <v>5</v>
      </c>
      <c r="G9" s="658">
        <v>1</v>
      </c>
      <c r="H9" s="659">
        <v>3</v>
      </c>
      <c r="I9" s="659">
        <v>3</v>
      </c>
      <c r="J9" s="721">
        <v>3</v>
      </c>
      <c r="K9" s="658">
        <v>1</v>
      </c>
      <c r="L9" s="659">
        <v>1</v>
      </c>
      <c r="M9" s="659">
        <v>0</v>
      </c>
      <c r="N9" s="721">
        <v>1</v>
      </c>
      <c r="O9" s="658">
        <v>3</v>
      </c>
      <c r="P9" s="659">
        <v>0</v>
      </c>
      <c r="Q9" s="659">
        <v>0</v>
      </c>
      <c r="R9" s="721">
        <v>0</v>
      </c>
      <c r="S9" s="658">
        <v>5</v>
      </c>
      <c r="T9" s="659">
        <v>0</v>
      </c>
      <c r="U9" s="659">
        <v>3</v>
      </c>
      <c r="V9" s="721">
        <v>0</v>
      </c>
      <c r="W9" s="716">
        <f t="shared" ref="W9:W34" si="0">SUM(C9:V9)+COUNTIF(C9:V9,5)/100+COUNTIF(C9:V9,3)/10000</f>
        <v>32.020600000000002</v>
      </c>
      <c r="X9" s="661" t="str">
        <f t="shared" ref="X9:X24" si="1">IF(COUNTA(C9:V9)=0,"",IF(RANK(W9,W$9:W$34)&lt;5,"edasi "&amp;RANK(W9,W$9:W$34),IF(RANK(W9,W$9:W$34)&lt;13,"vahevooru "&amp;RANK(W9,W$9:W$34)-4,RANK(W9,W$9:W$34))))</f>
        <v>edasi 1</v>
      </c>
    </row>
    <row r="10" spans="1:25" x14ac:dyDescent="0.2">
      <c r="A10" s="244">
        <v>13</v>
      </c>
      <c r="B10" s="705" t="s">
        <v>22</v>
      </c>
      <c r="C10" s="245">
        <v>3</v>
      </c>
      <c r="D10" s="246">
        <v>3</v>
      </c>
      <c r="E10" s="246">
        <v>3</v>
      </c>
      <c r="F10" s="722">
        <v>0</v>
      </c>
      <c r="G10" s="245">
        <v>5</v>
      </c>
      <c r="H10" s="246">
        <v>0</v>
      </c>
      <c r="I10" s="246">
        <v>0</v>
      </c>
      <c r="J10" s="722">
        <v>0</v>
      </c>
      <c r="K10" s="245">
        <v>3</v>
      </c>
      <c r="L10" s="246">
        <v>0</v>
      </c>
      <c r="M10" s="246">
        <v>3</v>
      </c>
      <c r="N10" s="722">
        <v>1</v>
      </c>
      <c r="O10" s="245">
        <v>3</v>
      </c>
      <c r="P10" s="246">
        <v>0</v>
      </c>
      <c r="Q10" s="246">
        <v>0</v>
      </c>
      <c r="R10" s="722">
        <v>0</v>
      </c>
      <c r="S10" s="245">
        <v>0</v>
      </c>
      <c r="T10" s="246">
        <v>5</v>
      </c>
      <c r="U10" s="246">
        <v>0</v>
      </c>
      <c r="V10" s="722">
        <v>0</v>
      </c>
      <c r="W10" s="717">
        <f t="shared" si="0"/>
        <v>29.020599999999998</v>
      </c>
      <c r="X10" s="247" t="str">
        <f t="shared" si="1"/>
        <v>edasi 2</v>
      </c>
    </row>
    <row r="11" spans="1:25" x14ac:dyDescent="0.2">
      <c r="A11" s="244">
        <v>17</v>
      </c>
      <c r="B11" s="706" t="s">
        <v>27</v>
      </c>
      <c r="C11" s="245">
        <v>3</v>
      </c>
      <c r="D11" s="246">
        <v>0</v>
      </c>
      <c r="E11" s="246">
        <v>0</v>
      </c>
      <c r="F11" s="722">
        <v>3</v>
      </c>
      <c r="G11" s="245">
        <v>5</v>
      </c>
      <c r="H11" s="246">
        <v>0</v>
      </c>
      <c r="I11" s="246">
        <v>0</v>
      </c>
      <c r="J11" s="722">
        <v>3</v>
      </c>
      <c r="K11" s="245">
        <v>3</v>
      </c>
      <c r="L11" s="246">
        <v>3</v>
      </c>
      <c r="M11" s="246">
        <v>1</v>
      </c>
      <c r="N11" s="722">
        <v>0</v>
      </c>
      <c r="O11" s="245">
        <v>0</v>
      </c>
      <c r="P11" s="246">
        <v>0</v>
      </c>
      <c r="Q11" s="246">
        <v>3</v>
      </c>
      <c r="R11" s="722">
        <v>0</v>
      </c>
      <c r="S11" s="245">
        <v>5</v>
      </c>
      <c r="T11" s="246">
        <v>0</v>
      </c>
      <c r="U11" s="246">
        <v>0</v>
      </c>
      <c r="V11" s="722">
        <v>0</v>
      </c>
      <c r="W11" s="717">
        <f t="shared" si="0"/>
        <v>29.020599999999998</v>
      </c>
      <c r="X11" s="247" t="str">
        <f t="shared" si="1"/>
        <v>edasi 2</v>
      </c>
      <c r="Y11" s="157"/>
    </row>
    <row r="12" spans="1:25" x14ac:dyDescent="0.2">
      <c r="A12" s="244">
        <v>15</v>
      </c>
      <c r="B12" s="707" t="s">
        <v>52</v>
      </c>
      <c r="C12" s="245">
        <v>0</v>
      </c>
      <c r="D12" s="246">
        <v>3</v>
      </c>
      <c r="E12" s="246">
        <v>1</v>
      </c>
      <c r="F12" s="722">
        <v>3</v>
      </c>
      <c r="G12" s="245">
        <v>3</v>
      </c>
      <c r="H12" s="246">
        <v>0</v>
      </c>
      <c r="I12" s="246">
        <v>0</v>
      </c>
      <c r="J12" s="722">
        <v>0</v>
      </c>
      <c r="K12" s="245">
        <v>1</v>
      </c>
      <c r="L12" s="246">
        <v>0</v>
      </c>
      <c r="M12" s="246">
        <v>0</v>
      </c>
      <c r="N12" s="722">
        <v>1</v>
      </c>
      <c r="O12" s="245">
        <v>3</v>
      </c>
      <c r="P12" s="246">
        <v>3</v>
      </c>
      <c r="Q12" s="246">
        <v>0</v>
      </c>
      <c r="R12" s="722">
        <v>0</v>
      </c>
      <c r="S12" s="245">
        <v>0</v>
      </c>
      <c r="T12" s="246">
        <v>5</v>
      </c>
      <c r="U12" s="246">
        <v>0</v>
      </c>
      <c r="V12" s="722">
        <v>5</v>
      </c>
      <c r="W12" s="717">
        <f t="shared" si="0"/>
        <v>28.020499999999998</v>
      </c>
      <c r="X12" s="247" t="str">
        <f t="shared" si="1"/>
        <v>edasi 4</v>
      </c>
    </row>
    <row r="13" spans="1:25" x14ac:dyDescent="0.2">
      <c r="A13" s="248">
        <v>9</v>
      </c>
      <c r="B13" s="590" t="s">
        <v>194</v>
      </c>
      <c r="C13" s="252">
        <v>0</v>
      </c>
      <c r="D13" s="253">
        <v>3</v>
      </c>
      <c r="E13" s="253">
        <v>5</v>
      </c>
      <c r="F13" s="723">
        <v>3</v>
      </c>
      <c r="G13" s="252">
        <v>0</v>
      </c>
      <c r="H13" s="253">
        <v>3</v>
      </c>
      <c r="I13" s="253">
        <v>0</v>
      </c>
      <c r="J13" s="723">
        <v>0</v>
      </c>
      <c r="K13" s="252">
        <v>1</v>
      </c>
      <c r="L13" s="253">
        <v>5</v>
      </c>
      <c r="M13" s="253">
        <v>0</v>
      </c>
      <c r="N13" s="723">
        <v>0</v>
      </c>
      <c r="O13" s="252">
        <v>0</v>
      </c>
      <c r="P13" s="253">
        <v>0</v>
      </c>
      <c r="Q13" s="253">
        <v>1</v>
      </c>
      <c r="R13" s="723">
        <v>0</v>
      </c>
      <c r="S13" s="252">
        <v>0</v>
      </c>
      <c r="T13" s="253">
        <v>0</v>
      </c>
      <c r="U13" s="253">
        <v>5</v>
      </c>
      <c r="V13" s="723">
        <v>0</v>
      </c>
      <c r="W13" s="718">
        <f t="shared" si="0"/>
        <v>26.0303</v>
      </c>
      <c r="X13" s="251" t="str">
        <f t="shared" si="1"/>
        <v>vahevooru 1</v>
      </c>
    </row>
    <row r="14" spans="1:25" x14ac:dyDescent="0.2">
      <c r="A14" s="248">
        <v>16</v>
      </c>
      <c r="B14" s="708" t="s">
        <v>53</v>
      </c>
      <c r="C14" s="249">
        <v>3</v>
      </c>
      <c r="D14" s="250">
        <v>1</v>
      </c>
      <c r="E14" s="250">
        <v>1</v>
      </c>
      <c r="F14" s="724">
        <v>1</v>
      </c>
      <c r="G14" s="249">
        <v>3</v>
      </c>
      <c r="H14" s="250">
        <v>0</v>
      </c>
      <c r="I14" s="250">
        <v>0</v>
      </c>
      <c r="J14" s="724">
        <v>0</v>
      </c>
      <c r="K14" s="249">
        <v>1</v>
      </c>
      <c r="L14" s="250">
        <v>1</v>
      </c>
      <c r="M14" s="250">
        <v>3</v>
      </c>
      <c r="N14" s="724">
        <v>0</v>
      </c>
      <c r="O14" s="249">
        <v>0</v>
      </c>
      <c r="P14" s="250">
        <v>0</v>
      </c>
      <c r="Q14" s="250">
        <v>0</v>
      </c>
      <c r="R14" s="724">
        <v>0</v>
      </c>
      <c r="S14" s="249">
        <v>5</v>
      </c>
      <c r="T14" s="250">
        <v>0</v>
      </c>
      <c r="U14" s="250">
        <v>5</v>
      </c>
      <c r="V14" s="724">
        <v>0</v>
      </c>
      <c r="W14" s="718">
        <f t="shared" si="0"/>
        <v>24.020299999999999</v>
      </c>
      <c r="X14" s="251" t="str">
        <f t="shared" si="1"/>
        <v>vahevooru 2</v>
      </c>
    </row>
    <row r="15" spans="1:25" x14ac:dyDescent="0.2">
      <c r="A15" s="248">
        <v>10</v>
      </c>
      <c r="B15" s="709" t="s">
        <v>49</v>
      </c>
      <c r="C15" s="249">
        <v>0</v>
      </c>
      <c r="D15" s="250">
        <v>0</v>
      </c>
      <c r="E15" s="250">
        <v>3</v>
      </c>
      <c r="F15" s="724">
        <v>0</v>
      </c>
      <c r="G15" s="249">
        <v>3</v>
      </c>
      <c r="H15" s="250">
        <v>0</v>
      </c>
      <c r="I15" s="250">
        <v>0</v>
      </c>
      <c r="J15" s="724">
        <v>3</v>
      </c>
      <c r="K15" s="249">
        <v>0</v>
      </c>
      <c r="L15" s="250">
        <v>1</v>
      </c>
      <c r="M15" s="250">
        <v>0</v>
      </c>
      <c r="N15" s="724">
        <v>0</v>
      </c>
      <c r="O15" s="249">
        <v>5</v>
      </c>
      <c r="P15" s="250">
        <v>0</v>
      </c>
      <c r="Q15" s="250">
        <v>0</v>
      </c>
      <c r="R15" s="724">
        <v>3</v>
      </c>
      <c r="S15" s="249">
        <v>0</v>
      </c>
      <c r="T15" s="250">
        <v>5</v>
      </c>
      <c r="U15" s="250">
        <v>0</v>
      </c>
      <c r="V15" s="724">
        <v>0</v>
      </c>
      <c r="W15" s="718">
        <f t="shared" si="0"/>
        <v>23.020399999999999</v>
      </c>
      <c r="X15" s="251" t="str">
        <f t="shared" si="1"/>
        <v>vahevooru 3</v>
      </c>
    </row>
    <row r="16" spans="1:25" x14ac:dyDescent="0.2">
      <c r="A16" s="248">
        <v>1</v>
      </c>
      <c r="B16" s="710" t="s">
        <v>227</v>
      </c>
      <c r="C16" s="249">
        <v>3</v>
      </c>
      <c r="D16" s="250">
        <v>3</v>
      </c>
      <c r="E16" s="250">
        <v>3</v>
      </c>
      <c r="F16" s="724">
        <v>0</v>
      </c>
      <c r="G16" s="249">
        <v>0</v>
      </c>
      <c r="H16" s="250">
        <v>1</v>
      </c>
      <c r="I16" s="250">
        <v>0</v>
      </c>
      <c r="J16" s="724">
        <v>0</v>
      </c>
      <c r="K16" s="249">
        <v>3</v>
      </c>
      <c r="L16" s="250">
        <v>0</v>
      </c>
      <c r="M16" s="250">
        <v>0</v>
      </c>
      <c r="N16" s="724">
        <v>0</v>
      </c>
      <c r="O16" s="249">
        <v>0</v>
      </c>
      <c r="P16" s="250">
        <v>0</v>
      </c>
      <c r="Q16" s="250">
        <v>0</v>
      </c>
      <c r="R16" s="724">
        <v>3</v>
      </c>
      <c r="S16" s="249">
        <v>0</v>
      </c>
      <c r="T16" s="250">
        <v>5</v>
      </c>
      <c r="U16" s="250">
        <v>0</v>
      </c>
      <c r="V16" s="724">
        <v>0</v>
      </c>
      <c r="W16" s="718">
        <f t="shared" si="0"/>
        <v>21.0105</v>
      </c>
      <c r="X16" s="251" t="str">
        <f t="shared" si="1"/>
        <v>vahevooru 4</v>
      </c>
    </row>
    <row r="17" spans="1:28" x14ac:dyDescent="0.2">
      <c r="A17" s="248">
        <v>14</v>
      </c>
      <c r="B17" s="711" t="s">
        <v>225</v>
      </c>
      <c r="C17" s="249">
        <v>5</v>
      </c>
      <c r="D17" s="250">
        <v>3</v>
      </c>
      <c r="E17" s="250">
        <v>3</v>
      </c>
      <c r="F17" s="724">
        <v>0</v>
      </c>
      <c r="G17" s="249">
        <v>0</v>
      </c>
      <c r="H17" s="250">
        <v>0</v>
      </c>
      <c r="I17" s="250">
        <v>3</v>
      </c>
      <c r="J17" s="724">
        <v>0</v>
      </c>
      <c r="K17" s="249">
        <v>0</v>
      </c>
      <c r="L17" s="250">
        <v>0</v>
      </c>
      <c r="M17" s="250">
        <v>0</v>
      </c>
      <c r="N17" s="724">
        <v>0</v>
      </c>
      <c r="O17" s="249">
        <v>0</v>
      </c>
      <c r="P17" s="250">
        <v>0</v>
      </c>
      <c r="Q17" s="250">
        <v>0</v>
      </c>
      <c r="R17" s="724">
        <v>0</v>
      </c>
      <c r="S17" s="249">
        <v>0</v>
      </c>
      <c r="T17" s="250">
        <v>0</v>
      </c>
      <c r="U17" s="250">
        <v>0</v>
      </c>
      <c r="V17" s="724">
        <v>5</v>
      </c>
      <c r="W17" s="718">
        <f t="shared" si="0"/>
        <v>19.020299999999999</v>
      </c>
      <c r="X17" s="251" t="str">
        <f t="shared" si="1"/>
        <v>vahevooru 5</v>
      </c>
    </row>
    <row r="18" spans="1:28" x14ac:dyDescent="0.2">
      <c r="A18" s="248">
        <v>3</v>
      </c>
      <c r="B18" s="711" t="s">
        <v>191</v>
      </c>
      <c r="C18" s="249">
        <v>3</v>
      </c>
      <c r="D18" s="250">
        <v>3</v>
      </c>
      <c r="E18" s="250">
        <v>5</v>
      </c>
      <c r="F18" s="724">
        <v>0</v>
      </c>
      <c r="G18" s="249">
        <v>0</v>
      </c>
      <c r="H18" s="250">
        <v>0</v>
      </c>
      <c r="I18" s="250">
        <v>0</v>
      </c>
      <c r="J18" s="724">
        <v>0</v>
      </c>
      <c r="K18" s="249">
        <v>1</v>
      </c>
      <c r="L18" s="250">
        <v>1</v>
      </c>
      <c r="M18" s="250">
        <v>1</v>
      </c>
      <c r="N18" s="724">
        <v>1</v>
      </c>
      <c r="O18" s="249">
        <v>0</v>
      </c>
      <c r="P18" s="250">
        <v>0</v>
      </c>
      <c r="Q18" s="250">
        <v>0</v>
      </c>
      <c r="R18" s="724">
        <v>0</v>
      </c>
      <c r="S18" s="249">
        <v>0</v>
      </c>
      <c r="T18" s="250">
        <v>0</v>
      </c>
      <c r="U18" s="250">
        <v>0</v>
      </c>
      <c r="V18" s="724">
        <v>0</v>
      </c>
      <c r="W18" s="718">
        <f t="shared" si="0"/>
        <v>15.010199999999999</v>
      </c>
      <c r="X18" s="251" t="str">
        <f t="shared" si="1"/>
        <v>vahevooru 6</v>
      </c>
    </row>
    <row r="19" spans="1:28" x14ac:dyDescent="0.2">
      <c r="A19" s="248">
        <v>5</v>
      </c>
      <c r="B19" s="712" t="s">
        <v>189</v>
      </c>
      <c r="C19" s="249">
        <v>3</v>
      </c>
      <c r="D19" s="250">
        <v>3</v>
      </c>
      <c r="E19" s="250">
        <v>3</v>
      </c>
      <c r="F19" s="724">
        <v>0</v>
      </c>
      <c r="G19" s="249">
        <v>0</v>
      </c>
      <c r="H19" s="250">
        <v>0</v>
      </c>
      <c r="I19" s="250">
        <v>0</v>
      </c>
      <c r="J19" s="724">
        <v>0</v>
      </c>
      <c r="K19" s="249">
        <v>3</v>
      </c>
      <c r="L19" s="250">
        <v>0</v>
      </c>
      <c r="M19" s="250">
        <v>3</v>
      </c>
      <c r="N19" s="724">
        <v>0</v>
      </c>
      <c r="O19" s="249">
        <v>0</v>
      </c>
      <c r="P19" s="250">
        <v>0</v>
      </c>
      <c r="Q19" s="250">
        <v>0</v>
      </c>
      <c r="R19" s="724">
        <v>0</v>
      </c>
      <c r="S19" s="249">
        <v>0</v>
      </c>
      <c r="T19" s="250">
        <v>0</v>
      </c>
      <c r="U19" s="250">
        <v>0</v>
      </c>
      <c r="V19" s="724">
        <v>0</v>
      </c>
      <c r="W19" s="718">
        <f t="shared" si="0"/>
        <v>15.000500000000001</v>
      </c>
      <c r="X19" s="251" t="str">
        <f t="shared" si="1"/>
        <v>vahevooru 7</v>
      </c>
      <c r="Y19" s="157"/>
      <c r="Z19" s="157"/>
      <c r="AA19" s="157"/>
      <c r="AB19" s="157"/>
    </row>
    <row r="20" spans="1:28" x14ac:dyDescent="0.2">
      <c r="A20" s="248">
        <v>4</v>
      </c>
      <c r="B20" s="711" t="s">
        <v>104</v>
      </c>
      <c r="C20" s="249">
        <v>1</v>
      </c>
      <c r="D20" s="250">
        <v>0</v>
      </c>
      <c r="E20" s="250">
        <v>1</v>
      </c>
      <c r="F20" s="724">
        <v>0</v>
      </c>
      <c r="G20" s="249">
        <v>0</v>
      </c>
      <c r="H20" s="250">
        <v>0</v>
      </c>
      <c r="I20" s="250">
        <v>1</v>
      </c>
      <c r="J20" s="724">
        <v>0</v>
      </c>
      <c r="K20" s="249">
        <v>0</v>
      </c>
      <c r="L20" s="250">
        <v>1</v>
      </c>
      <c r="M20" s="250">
        <v>0</v>
      </c>
      <c r="N20" s="724">
        <v>0</v>
      </c>
      <c r="O20" s="249">
        <v>0</v>
      </c>
      <c r="P20" s="250">
        <v>3</v>
      </c>
      <c r="Q20" s="250">
        <v>0</v>
      </c>
      <c r="R20" s="724">
        <v>0</v>
      </c>
      <c r="S20" s="249">
        <v>5</v>
      </c>
      <c r="T20" s="250">
        <v>0</v>
      </c>
      <c r="U20" s="250">
        <v>0</v>
      </c>
      <c r="V20" s="724">
        <v>0</v>
      </c>
      <c r="W20" s="718">
        <f t="shared" si="0"/>
        <v>12.0101</v>
      </c>
      <c r="X20" s="251" t="str">
        <f t="shared" si="1"/>
        <v>vahevooru 8</v>
      </c>
      <c r="Y20" s="157"/>
      <c r="Z20" s="156"/>
      <c r="AA20" s="157"/>
      <c r="AB20" s="157"/>
    </row>
    <row r="21" spans="1:28" x14ac:dyDescent="0.2">
      <c r="A21" s="254">
        <v>7</v>
      </c>
      <c r="B21" s="713" t="s">
        <v>143</v>
      </c>
      <c r="C21" s="255">
        <v>5</v>
      </c>
      <c r="D21" s="256">
        <v>0</v>
      </c>
      <c r="E21" s="256">
        <v>0</v>
      </c>
      <c r="F21" s="725">
        <v>0</v>
      </c>
      <c r="G21" s="255">
        <v>0</v>
      </c>
      <c r="H21" s="256">
        <v>0</v>
      </c>
      <c r="I21" s="256">
        <v>0</v>
      </c>
      <c r="J21" s="725">
        <v>0</v>
      </c>
      <c r="K21" s="255">
        <v>0</v>
      </c>
      <c r="L21" s="256">
        <v>1</v>
      </c>
      <c r="M21" s="256">
        <v>0</v>
      </c>
      <c r="N21" s="725">
        <v>0</v>
      </c>
      <c r="O21" s="255">
        <v>0</v>
      </c>
      <c r="P21" s="256">
        <v>0</v>
      </c>
      <c r="Q21" s="256">
        <v>0</v>
      </c>
      <c r="R21" s="725">
        <v>0</v>
      </c>
      <c r="S21" s="255">
        <v>0</v>
      </c>
      <c r="T21" s="256">
        <v>0</v>
      </c>
      <c r="U21" s="256">
        <v>5</v>
      </c>
      <c r="V21" s="725">
        <v>0</v>
      </c>
      <c r="W21" s="719">
        <f t="shared" si="0"/>
        <v>11.02</v>
      </c>
      <c r="X21" s="257">
        <f t="shared" si="1"/>
        <v>13</v>
      </c>
      <c r="Y21" s="157"/>
      <c r="Z21" s="157"/>
      <c r="AA21" s="157"/>
      <c r="AB21" s="157"/>
    </row>
    <row r="22" spans="1:28" x14ac:dyDescent="0.2">
      <c r="A22" s="254">
        <v>2</v>
      </c>
      <c r="B22" s="714" t="s">
        <v>192</v>
      </c>
      <c r="C22" s="255">
        <v>0</v>
      </c>
      <c r="D22" s="256">
        <v>0</v>
      </c>
      <c r="E22" s="256">
        <v>3</v>
      </c>
      <c r="F22" s="725">
        <v>0</v>
      </c>
      <c r="G22" s="255">
        <v>0</v>
      </c>
      <c r="H22" s="256">
        <v>0</v>
      </c>
      <c r="I22" s="256">
        <v>3</v>
      </c>
      <c r="J22" s="725">
        <v>0</v>
      </c>
      <c r="K22" s="255">
        <v>0</v>
      </c>
      <c r="L22" s="256">
        <v>0</v>
      </c>
      <c r="M22" s="256">
        <v>0</v>
      </c>
      <c r="N22" s="725">
        <v>0</v>
      </c>
      <c r="O22" s="255">
        <v>0</v>
      </c>
      <c r="P22" s="256">
        <v>0</v>
      </c>
      <c r="Q22" s="256">
        <v>0</v>
      </c>
      <c r="R22" s="725">
        <v>0</v>
      </c>
      <c r="S22" s="255">
        <v>0</v>
      </c>
      <c r="T22" s="256">
        <v>5</v>
      </c>
      <c r="U22" s="256">
        <v>0</v>
      </c>
      <c r="V22" s="725">
        <v>0</v>
      </c>
      <c r="W22" s="719">
        <f t="shared" si="0"/>
        <v>11.010199999999999</v>
      </c>
      <c r="X22" s="257">
        <f t="shared" si="1"/>
        <v>14</v>
      </c>
      <c r="Y22" s="157"/>
      <c r="Z22" s="157"/>
      <c r="AA22" s="157"/>
      <c r="AB22" s="157"/>
    </row>
    <row r="23" spans="1:28" x14ac:dyDescent="0.2">
      <c r="A23" s="254">
        <v>6</v>
      </c>
      <c r="B23" s="713" t="s">
        <v>21</v>
      </c>
      <c r="C23" s="255">
        <v>0</v>
      </c>
      <c r="D23" s="256">
        <v>3</v>
      </c>
      <c r="E23" s="256">
        <v>0</v>
      </c>
      <c r="F23" s="725">
        <v>0</v>
      </c>
      <c r="G23" s="255">
        <v>3</v>
      </c>
      <c r="H23" s="256">
        <v>0</v>
      </c>
      <c r="I23" s="256">
        <v>0</v>
      </c>
      <c r="J23" s="725">
        <v>0</v>
      </c>
      <c r="K23" s="255">
        <v>0</v>
      </c>
      <c r="L23" s="256">
        <v>1</v>
      </c>
      <c r="M23" s="256">
        <v>0</v>
      </c>
      <c r="N23" s="725">
        <v>1</v>
      </c>
      <c r="O23" s="255">
        <v>3</v>
      </c>
      <c r="P23" s="256">
        <v>0</v>
      </c>
      <c r="Q23" s="256">
        <v>0</v>
      </c>
      <c r="R23" s="725">
        <v>0</v>
      </c>
      <c r="S23" s="255">
        <v>0</v>
      </c>
      <c r="T23" s="256">
        <v>0</v>
      </c>
      <c r="U23" s="256">
        <v>0</v>
      </c>
      <c r="V23" s="725">
        <v>0</v>
      </c>
      <c r="W23" s="719">
        <f t="shared" si="0"/>
        <v>11.000299999999999</v>
      </c>
      <c r="X23" s="257">
        <f t="shared" si="1"/>
        <v>15</v>
      </c>
      <c r="Y23" s="157"/>
      <c r="Z23" s="157"/>
      <c r="AA23" s="157"/>
      <c r="AB23" s="157"/>
    </row>
    <row r="24" spans="1:28" ht="13.5" thickBot="1" x14ac:dyDescent="0.25">
      <c r="A24" s="259">
        <v>11</v>
      </c>
      <c r="B24" s="715" t="s">
        <v>224</v>
      </c>
      <c r="C24" s="260">
        <v>3</v>
      </c>
      <c r="D24" s="261">
        <v>0</v>
      </c>
      <c r="E24" s="261">
        <v>0</v>
      </c>
      <c r="F24" s="726">
        <v>0</v>
      </c>
      <c r="G24" s="260">
        <v>0</v>
      </c>
      <c r="H24" s="261">
        <v>0</v>
      </c>
      <c r="I24" s="261">
        <v>0</v>
      </c>
      <c r="J24" s="726">
        <v>0</v>
      </c>
      <c r="K24" s="260">
        <v>1</v>
      </c>
      <c r="L24" s="261">
        <v>0</v>
      </c>
      <c r="M24" s="261">
        <v>0</v>
      </c>
      <c r="N24" s="726">
        <v>0</v>
      </c>
      <c r="O24" s="260">
        <v>0</v>
      </c>
      <c r="P24" s="261">
        <v>0</v>
      </c>
      <c r="Q24" s="261">
        <v>0</v>
      </c>
      <c r="R24" s="726">
        <v>0</v>
      </c>
      <c r="S24" s="260">
        <v>0</v>
      </c>
      <c r="T24" s="261">
        <v>0</v>
      </c>
      <c r="U24" s="261">
        <v>5</v>
      </c>
      <c r="V24" s="726">
        <v>0</v>
      </c>
      <c r="W24" s="720">
        <f t="shared" si="0"/>
        <v>9.0100999999999996</v>
      </c>
      <c r="X24" s="262">
        <f t="shared" si="1"/>
        <v>16</v>
      </c>
      <c r="Y24" s="157"/>
      <c r="Z24" s="157"/>
      <c r="AA24" s="157"/>
      <c r="AB24" s="157"/>
    </row>
    <row r="25" spans="1:28" ht="13.5" hidden="1" thickBot="1" x14ac:dyDescent="0.25">
      <c r="A25" s="649">
        <v>8</v>
      </c>
      <c r="B25" s="650" t="s">
        <v>837</v>
      </c>
      <c r="C25" s="651" t="s">
        <v>81</v>
      </c>
      <c r="D25" s="652" t="s">
        <v>81</v>
      </c>
      <c r="E25" s="652" t="s">
        <v>81</v>
      </c>
      <c r="F25" s="653" t="s">
        <v>81</v>
      </c>
      <c r="G25" s="651" t="s">
        <v>81</v>
      </c>
      <c r="H25" s="652" t="s">
        <v>81</v>
      </c>
      <c r="I25" s="652" t="s">
        <v>81</v>
      </c>
      <c r="J25" s="653" t="s">
        <v>81</v>
      </c>
      <c r="K25" s="651" t="s">
        <v>81</v>
      </c>
      <c r="L25" s="652" t="s">
        <v>81</v>
      </c>
      <c r="M25" s="652" t="s">
        <v>81</v>
      </c>
      <c r="N25" s="653" t="s">
        <v>81</v>
      </c>
      <c r="O25" s="651" t="s">
        <v>81</v>
      </c>
      <c r="P25" s="652" t="s">
        <v>81</v>
      </c>
      <c r="Q25" s="652" t="s">
        <v>81</v>
      </c>
      <c r="R25" s="653" t="s">
        <v>81</v>
      </c>
      <c r="S25" s="651" t="s">
        <v>81</v>
      </c>
      <c r="T25" s="652" t="s">
        <v>81</v>
      </c>
      <c r="U25" s="652" t="s">
        <v>81</v>
      </c>
      <c r="V25" s="653" t="s">
        <v>81</v>
      </c>
      <c r="W25" s="654">
        <f t="shared" si="0"/>
        <v>0</v>
      </c>
      <c r="X25" s="655"/>
    </row>
    <row r="26" spans="1:28" ht="13.5" hidden="1" thickBot="1" x14ac:dyDescent="0.25">
      <c r="A26" s="206"/>
      <c r="B26" s="230"/>
      <c r="C26" s="207"/>
      <c r="D26" s="208"/>
      <c r="E26" s="208"/>
      <c r="F26" s="209"/>
      <c r="G26" s="207"/>
      <c r="H26" s="208"/>
      <c r="I26" s="208"/>
      <c r="J26" s="209"/>
      <c r="K26" s="207"/>
      <c r="L26" s="208"/>
      <c r="M26" s="208"/>
      <c r="N26" s="209"/>
      <c r="O26" s="207"/>
      <c r="P26" s="208"/>
      <c r="Q26" s="208"/>
      <c r="R26" s="209"/>
      <c r="S26" s="207"/>
      <c r="T26" s="208"/>
      <c r="U26" s="208"/>
      <c r="V26" s="209"/>
      <c r="W26" s="278">
        <f t="shared" si="0"/>
        <v>0</v>
      </c>
      <c r="X26" s="210" t="str">
        <f t="shared" ref="X26:X34" si="2">IF(COUNTA(C26:V26)=0,"",IF(RANK(W26,W$9:W$34)&lt;5,"edasi "&amp;RANK(W26,W$9:W$34),IF(RANK(W26,W$9:W$34)&lt;13,"vahevooru "&amp;RANK(W26,W$9:W$34)-4,RANK(W26,W$9:W$34))))</f>
        <v/>
      </c>
    </row>
    <row r="27" spans="1:28" ht="13.5" hidden="1" thickBot="1" x14ac:dyDescent="0.25">
      <c r="A27" s="149"/>
      <c r="B27" s="150"/>
      <c r="C27" s="151"/>
      <c r="D27" s="152"/>
      <c r="E27" s="152"/>
      <c r="F27" s="153"/>
      <c r="G27" s="151"/>
      <c r="H27" s="152"/>
      <c r="I27" s="152"/>
      <c r="J27" s="153"/>
      <c r="K27" s="151"/>
      <c r="L27" s="152"/>
      <c r="M27" s="152"/>
      <c r="N27" s="153"/>
      <c r="O27" s="151"/>
      <c r="P27" s="152"/>
      <c r="Q27" s="152"/>
      <c r="R27" s="153"/>
      <c r="S27" s="151"/>
      <c r="T27" s="152"/>
      <c r="U27" s="152"/>
      <c r="V27" s="153"/>
      <c r="W27" s="278">
        <f t="shared" si="0"/>
        <v>0</v>
      </c>
      <c r="X27" s="204" t="str">
        <f t="shared" si="2"/>
        <v/>
      </c>
    </row>
    <row r="28" spans="1:28" ht="13.5" hidden="1" thickBot="1" x14ac:dyDescent="0.25">
      <c r="A28" s="149"/>
      <c r="B28" s="194"/>
      <c r="C28" s="151"/>
      <c r="D28" s="152"/>
      <c r="E28" s="152"/>
      <c r="F28" s="153"/>
      <c r="G28" s="151"/>
      <c r="H28" s="152"/>
      <c r="I28" s="152"/>
      <c r="J28" s="153"/>
      <c r="K28" s="151"/>
      <c r="L28" s="152"/>
      <c r="M28" s="152"/>
      <c r="N28" s="153"/>
      <c r="O28" s="151"/>
      <c r="P28" s="152"/>
      <c r="Q28" s="152"/>
      <c r="R28" s="153"/>
      <c r="S28" s="151"/>
      <c r="T28" s="152"/>
      <c r="U28" s="152"/>
      <c r="V28" s="153"/>
      <c r="W28" s="278">
        <f t="shared" si="0"/>
        <v>0</v>
      </c>
      <c r="X28" s="154" t="str">
        <f t="shared" si="2"/>
        <v/>
      </c>
    </row>
    <row r="29" spans="1:28" ht="13.5" hidden="1" thickBot="1" x14ac:dyDescent="0.25">
      <c r="A29" s="206"/>
      <c r="B29" s="230"/>
      <c r="C29" s="207"/>
      <c r="D29" s="208"/>
      <c r="E29" s="208"/>
      <c r="F29" s="209"/>
      <c r="G29" s="207"/>
      <c r="H29" s="208"/>
      <c r="I29" s="208"/>
      <c r="J29" s="209"/>
      <c r="K29" s="207"/>
      <c r="L29" s="208"/>
      <c r="M29" s="208"/>
      <c r="N29" s="209"/>
      <c r="O29" s="207"/>
      <c r="P29" s="208"/>
      <c r="Q29" s="208"/>
      <c r="R29" s="209"/>
      <c r="S29" s="207"/>
      <c r="T29" s="208"/>
      <c r="U29" s="208"/>
      <c r="V29" s="209"/>
      <c r="W29" s="278">
        <f t="shared" si="0"/>
        <v>0</v>
      </c>
      <c r="X29" s="210" t="str">
        <f t="shared" si="2"/>
        <v/>
      </c>
    </row>
    <row r="30" spans="1:28" ht="13.5" hidden="1" thickBot="1" x14ac:dyDescent="0.25">
      <c r="A30" s="206"/>
      <c r="B30" s="235"/>
      <c r="C30" s="207"/>
      <c r="D30" s="208"/>
      <c r="E30" s="208"/>
      <c r="F30" s="209"/>
      <c r="G30" s="207"/>
      <c r="H30" s="208"/>
      <c r="I30" s="208"/>
      <c r="J30" s="209"/>
      <c r="K30" s="207"/>
      <c r="L30" s="208"/>
      <c r="M30" s="208"/>
      <c r="N30" s="209"/>
      <c r="O30" s="207"/>
      <c r="P30" s="208"/>
      <c r="Q30" s="208"/>
      <c r="R30" s="209"/>
      <c r="S30" s="207"/>
      <c r="T30" s="208"/>
      <c r="U30" s="208"/>
      <c r="V30" s="209"/>
      <c r="W30" s="278">
        <f t="shared" si="0"/>
        <v>0</v>
      </c>
      <c r="X30" s="210" t="str">
        <f t="shared" si="2"/>
        <v/>
      </c>
    </row>
    <row r="31" spans="1:28" ht="13.5" hidden="1" thickBot="1" x14ac:dyDescent="0.25">
      <c r="A31" s="149"/>
      <c r="B31" s="226"/>
      <c r="C31" s="151"/>
      <c r="D31" s="152"/>
      <c r="E31" s="152"/>
      <c r="F31" s="153"/>
      <c r="G31" s="151"/>
      <c r="H31" s="152"/>
      <c r="I31" s="152"/>
      <c r="J31" s="153"/>
      <c r="K31" s="151"/>
      <c r="L31" s="152"/>
      <c r="M31" s="152"/>
      <c r="N31" s="153"/>
      <c r="O31" s="151"/>
      <c r="P31" s="152"/>
      <c r="Q31" s="152"/>
      <c r="R31" s="153"/>
      <c r="S31" s="151"/>
      <c r="T31" s="152"/>
      <c r="U31" s="152"/>
      <c r="V31" s="153"/>
      <c r="W31" s="278">
        <f t="shared" si="0"/>
        <v>0</v>
      </c>
      <c r="X31" s="204" t="str">
        <f t="shared" si="2"/>
        <v/>
      </c>
    </row>
    <row r="32" spans="1:28" ht="13.5" hidden="1" thickBot="1" x14ac:dyDescent="0.25">
      <c r="A32" s="149"/>
      <c r="B32" s="231"/>
      <c r="C32" s="151"/>
      <c r="D32" s="152"/>
      <c r="E32" s="152"/>
      <c r="F32" s="153"/>
      <c r="G32" s="151"/>
      <c r="H32" s="152"/>
      <c r="I32" s="152"/>
      <c r="J32" s="153"/>
      <c r="K32" s="151"/>
      <c r="L32" s="152"/>
      <c r="M32" s="152"/>
      <c r="N32" s="153"/>
      <c r="O32" s="151"/>
      <c r="P32" s="152"/>
      <c r="Q32" s="152"/>
      <c r="R32" s="153"/>
      <c r="S32" s="151"/>
      <c r="T32" s="152"/>
      <c r="U32" s="152"/>
      <c r="V32" s="153"/>
      <c r="W32" s="278">
        <f t="shared" si="0"/>
        <v>0</v>
      </c>
      <c r="X32" s="154" t="str">
        <f t="shared" si="2"/>
        <v/>
      </c>
    </row>
    <row r="33" spans="1:28" ht="13.5" hidden="1" thickBot="1" x14ac:dyDescent="0.25">
      <c r="A33" s="206"/>
      <c r="B33" s="230"/>
      <c r="C33" s="207"/>
      <c r="D33" s="208"/>
      <c r="E33" s="208"/>
      <c r="F33" s="209"/>
      <c r="G33" s="207"/>
      <c r="H33" s="208"/>
      <c r="I33" s="208"/>
      <c r="J33" s="209"/>
      <c r="K33" s="207"/>
      <c r="L33" s="208"/>
      <c r="M33" s="208"/>
      <c r="N33" s="209"/>
      <c r="O33" s="207"/>
      <c r="P33" s="208"/>
      <c r="Q33" s="208"/>
      <c r="R33" s="209"/>
      <c r="S33" s="207"/>
      <c r="T33" s="208"/>
      <c r="U33" s="208"/>
      <c r="V33" s="209"/>
      <c r="W33" s="278">
        <f t="shared" si="0"/>
        <v>0</v>
      </c>
      <c r="X33" s="210" t="str">
        <f t="shared" si="2"/>
        <v/>
      </c>
    </row>
    <row r="34" spans="1:28" ht="13.5" hidden="1" thickBot="1" x14ac:dyDescent="0.25">
      <c r="A34" s="213"/>
      <c r="B34" s="589"/>
      <c r="C34" s="214"/>
      <c r="D34" s="215"/>
      <c r="E34" s="215"/>
      <c r="F34" s="216"/>
      <c r="G34" s="214"/>
      <c r="H34" s="215"/>
      <c r="I34" s="215"/>
      <c r="J34" s="216"/>
      <c r="K34" s="214"/>
      <c r="L34" s="215"/>
      <c r="M34" s="215"/>
      <c r="N34" s="216"/>
      <c r="O34" s="214"/>
      <c r="P34" s="215"/>
      <c r="Q34" s="215"/>
      <c r="R34" s="216"/>
      <c r="S34" s="214"/>
      <c r="T34" s="215"/>
      <c r="U34" s="215"/>
      <c r="V34" s="216"/>
      <c r="W34" s="279">
        <f t="shared" si="0"/>
        <v>0</v>
      </c>
      <c r="X34" s="217" t="str">
        <f t="shared" si="2"/>
        <v/>
      </c>
    </row>
    <row r="35" spans="1:28" ht="13.5" thickBot="1" x14ac:dyDescent="0.25">
      <c r="A35" s="644"/>
      <c r="B35" s="645" t="s">
        <v>843</v>
      </c>
      <c r="C35" s="605"/>
      <c r="D35" s="605"/>
      <c r="E35" s="605"/>
      <c r="F35" s="605"/>
      <c r="G35" s="605"/>
      <c r="H35" s="605"/>
      <c r="I35" s="605"/>
      <c r="J35" s="605"/>
      <c r="K35" s="605"/>
      <c r="L35" s="605"/>
      <c r="M35" s="605"/>
      <c r="N35" s="605"/>
      <c r="O35" s="605"/>
      <c r="P35" s="605"/>
      <c r="Q35" s="605"/>
      <c r="R35" s="605"/>
      <c r="S35" s="605"/>
      <c r="T35" s="605"/>
      <c r="U35" s="605"/>
      <c r="V35" s="605"/>
      <c r="W35" s="646"/>
      <c r="X35" s="646"/>
      <c r="Y35" s="157"/>
      <c r="Z35" s="640"/>
      <c r="AA35" s="165" t="s">
        <v>181</v>
      </c>
      <c r="AB35" s="165" t="s">
        <v>182</v>
      </c>
    </row>
    <row r="36" spans="1:28" ht="13.5" hidden="1" thickBot="1" x14ac:dyDescent="0.25">
      <c r="A36" s="206"/>
      <c r="B36" s="212"/>
      <c r="C36" s="207"/>
      <c r="D36" s="198"/>
      <c r="E36" s="208"/>
      <c r="F36" s="209"/>
      <c r="G36" s="207"/>
      <c r="H36" s="198"/>
      <c r="I36" s="208"/>
      <c r="J36" s="209"/>
      <c r="K36" s="207"/>
      <c r="L36" s="198"/>
      <c r="M36" s="208"/>
      <c r="N36" s="209"/>
      <c r="O36" s="207"/>
      <c r="P36" s="198"/>
      <c r="Q36" s="208"/>
      <c r="R36" s="209"/>
      <c r="S36" s="207"/>
      <c r="T36" s="198"/>
      <c r="U36" s="208"/>
      <c r="V36" s="209"/>
      <c r="W36" s="278" t="str">
        <f t="shared" ref="W36:W67" si="3">IF(COUNTA(C36:V36)=0,"",SUM(C36:V36)+COUNTIF(C36:V36,5)/100+COUNTIF(C36:V36,3)/10000)</f>
        <v/>
      </c>
      <c r="X36" s="210"/>
    </row>
    <row r="37" spans="1:28" ht="13.5" hidden="1" thickBot="1" x14ac:dyDescent="0.25">
      <c r="A37" s="206"/>
      <c r="B37" s="212"/>
      <c r="C37" s="207"/>
      <c r="D37" s="198"/>
      <c r="E37" s="208"/>
      <c r="F37" s="209"/>
      <c r="G37" s="207"/>
      <c r="H37" s="198"/>
      <c r="I37" s="208"/>
      <c r="J37" s="209"/>
      <c r="K37" s="207"/>
      <c r="L37" s="198"/>
      <c r="M37" s="208"/>
      <c r="N37" s="209"/>
      <c r="O37" s="207"/>
      <c r="P37" s="198"/>
      <c r="Q37" s="208"/>
      <c r="R37" s="209"/>
      <c r="S37" s="207"/>
      <c r="T37" s="198"/>
      <c r="U37" s="208"/>
      <c r="V37" s="209"/>
      <c r="W37" s="278" t="str">
        <f t="shared" si="3"/>
        <v/>
      </c>
      <c r="X37" s="210"/>
    </row>
    <row r="38" spans="1:28" ht="13.5" hidden="1" thickBot="1" x14ac:dyDescent="0.25">
      <c r="A38" s="206"/>
      <c r="B38" s="211"/>
      <c r="C38" s="207"/>
      <c r="D38" s="198"/>
      <c r="E38" s="208"/>
      <c r="F38" s="209"/>
      <c r="G38" s="207"/>
      <c r="H38" s="198"/>
      <c r="I38" s="208"/>
      <c r="J38" s="209"/>
      <c r="K38" s="207"/>
      <c r="L38" s="198"/>
      <c r="M38" s="208"/>
      <c r="N38" s="209"/>
      <c r="O38" s="207"/>
      <c r="P38" s="198"/>
      <c r="Q38" s="208"/>
      <c r="R38" s="209"/>
      <c r="S38" s="207"/>
      <c r="T38" s="198"/>
      <c r="U38" s="208"/>
      <c r="V38" s="209"/>
      <c r="W38" s="278" t="str">
        <f t="shared" si="3"/>
        <v/>
      </c>
      <c r="X38" s="210"/>
    </row>
    <row r="39" spans="1:28" ht="13.5" hidden="1" thickBot="1" x14ac:dyDescent="0.25">
      <c r="A39" s="688"/>
      <c r="B39" s="689"/>
      <c r="C39" s="690"/>
      <c r="D39" s="691"/>
      <c r="E39" s="692"/>
      <c r="F39" s="693"/>
      <c r="G39" s="690"/>
      <c r="H39" s="691"/>
      <c r="I39" s="692"/>
      <c r="J39" s="693"/>
      <c r="K39" s="690"/>
      <c r="L39" s="691"/>
      <c r="M39" s="692"/>
      <c r="N39" s="693"/>
      <c r="O39" s="690"/>
      <c r="P39" s="691"/>
      <c r="Q39" s="692"/>
      <c r="R39" s="693"/>
      <c r="S39" s="690"/>
      <c r="T39" s="691"/>
      <c r="U39" s="692"/>
      <c r="V39" s="693"/>
      <c r="W39" s="694" t="str">
        <f t="shared" si="3"/>
        <v/>
      </c>
      <c r="X39" s="695"/>
    </row>
    <row r="40" spans="1:28" x14ac:dyDescent="0.2">
      <c r="A40" s="143"/>
      <c r="B40" s="622" t="s">
        <v>22</v>
      </c>
      <c r="C40" s="623"/>
      <c r="D40" s="624">
        <v>3</v>
      </c>
      <c r="E40" s="625"/>
      <c r="F40" s="626"/>
      <c r="G40" s="623"/>
      <c r="H40" s="624">
        <v>3</v>
      </c>
      <c r="I40" s="625"/>
      <c r="J40" s="626"/>
      <c r="K40" s="623"/>
      <c r="L40" s="624">
        <v>3</v>
      </c>
      <c r="M40" s="625"/>
      <c r="N40" s="626"/>
      <c r="O40" s="623"/>
      <c r="P40" s="624">
        <v>0</v>
      </c>
      <c r="Q40" s="625"/>
      <c r="R40" s="626"/>
      <c r="S40" s="623"/>
      <c r="T40" s="729">
        <v>0</v>
      </c>
      <c r="U40" s="625"/>
      <c r="V40" s="626"/>
      <c r="W40" s="281">
        <f t="shared" si="3"/>
        <v>9.0002999999999993</v>
      </c>
      <c r="X40" s="760" t="s">
        <v>839</v>
      </c>
      <c r="Y40" s="157"/>
      <c r="Z40" s="157"/>
      <c r="AA40" s="157"/>
      <c r="AB40" s="157"/>
    </row>
    <row r="41" spans="1:28" ht="13.5" thickBot="1" x14ac:dyDescent="0.25">
      <c r="A41" s="703"/>
      <c r="B41" s="704" t="s">
        <v>27</v>
      </c>
      <c r="C41" s="201"/>
      <c r="D41" s="158">
        <v>3</v>
      </c>
      <c r="E41" s="202"/>
      <c r="F41" s="203"/>
      <c r="G41" s="201"/>
      <c r="H41" s="158">
        <v>3</v>
      </c>
      <c r="I41" s="202"/>
      <c r="J41" s="203"/>
      <c r="K41" s="201"/>
      <c r="L41" s="158">
        <v>3</v>
      </c>
      <c r="M41" s="202"/>
      <c r="N41" s="203"/>
      <c r="O41" s="201"/>
      <c r="P41" s="158">
        <v>0</v>
      </c>
      <c r="Q41" s="202"/>
      <c r="R41" s="203"/>
      <c r="S41" s="727"/>
      <c r="T41" s="158">
        <v>5</v>
      </c>
      <c r="U41" s="728"/>
      <c r="V41" s="203"/>
      <c r="W41" s="279">
        <f t="shared" si="3"/>
        <v>14.010299999999999</v>
      </c>
      <c r="X41" s="761" t="s">
        <v>838</v>
      </c>
      <c r="Y41" s="157"/>
      <c r="Z41" s="157"/>
      <c r="AA41" s="157"/>
      <c r="AB41" s="157"/>
    </row>
    <row r="42" spans="1:28" ht="13.5" hidden="1" thickBot="1" x14ac:dyDescent="0.25">
      <c r="A42" s="696"/>
      <c r="B42" s="697"/>
      <c r="C42" s="698"/>
      <c r="D42" s="699"/>
      <c r="E42" s="700"/>
      <c r="F42" s="701"/>
      <c r="G42" s="698"/>
      <c r="H42" s="699"/>
      <c r="I42" s="700"/>
      <c r="J42" s="701"/>
      <c r="K42" s="698"/>
      <c r="L42" s="699"/>
      <c r="M42" s="700"/>
      <c r="N42" s="701"/>
      <c r="O42" s="698"/>
      <c r="P42" s="699"/>
      <c r="Q42" s="700"/>
      <c r="R42" s="701"/>
      <c r="S42" s="698"/>
      <c r="T42" s="699"/>
      <c r="U42" s="700"/>
      <c r="V42" s="701"/>
      <c r="W42" s="702" t="str">
        <f t="shared" si="3"/>
        <v/>
      </c>
      <c r="X42" s="655"/>
    </row>
    <row r="43" spans="1:28" ht="13.5" hidden="1" thickBot="1" x14ac:dyDescent="0.25">
      <c r="A43" s="197"/>
      <c r="B43" s="155"/>
      <c r="C43" s="151"/>
      <c r="D43" s="148"/>
      <c r="E43" s="152"/>
      <c r="F43" s="153"/>
      <c r="G43" s="151"/>
      <c r="H43" s="148"/>
      <c r="I43" s="152"/>
      <c r="J43" s="153"/>
      <c r="K43" s="151"/>
      <c r="L43" s="148"/>
      <c r="M43" s="152"/>
      <c r="N43" s="153"/>
      <c r="O43" s="151"/>
      <c r="P43" s="148"/>
      <c r="Q43" s="152"/>
      <c r="R43" s="153"/>
      <c r="S43" s="151"/>
      <c r="T43" s="148"/>
      <c r="U43" s="152"/>
      <c r="V43" s="153"/>
      <c r="W43" s="278" t="str">
        <f t="shared" si="3"/>
        <v/>
      </c>
      <c r="X43" s="154"/>
    </row>
    <row r="44" spans="1:28" ht="13.5" hidden="1" thickBot="1" x14ac:dyDescent="0.25">
      <c r="A44" s="206"/>
      <c r="B44" s="212"/>
      <c r="C44" s="207"/>
      <c r="D44" s="198"/>
      <c r="E44" s="208"/>
      <c r="F44" s="209"/>
      <c r="G44" s="207"/>
      <c r="H44" s="198"/>
      <c r="I44" s="208"/>
      <c r="J44" s="209"/>
      <c r="K44" s="207"/>
      <c r="L44" s="198"/>
      <c r="M44" s="208"/>
      <c r="N44" s="209"/>
      <c r="O44" s="207"/>
      <c r="P44" s="198"/>
      <c r="Q44" s="208"/>
      <c r="R44" s="209"/>
      <c r="S44" s="207"/>
      <c r="T44" s="198"/>
      <c r="U44" s="208"/>
      <c r="V44" s="209"/>
      <c r="W44" s="278" t="str">
        <f t="shared" si="3"/>
        <v/>
      </c>
      <c r="X44" s="210"/>
    </row>
    <row r="45" spans="1:28" ht="13.5" hidden="1" thickBot="1" x14ac:dyDescent="0.25">
      <c r="A45" s="206"/>
      <c r="B45" s="212"/>
      <c r="C45" s="207"/>
      <c r="D45" s="198"/>
      <c r="E45" s="208"/>
      <c r="F45" s="209"/>
      <c r="G45" s="207"/>
      <c r="H45" s="198"/>
      <c r="I45" s="208"/>
      <c r="J45" s="209"/>
      <c r="K45" s="207"/>
      <c r="L45" s="198"/>
      <c r="M45" s="208"/>
      <c r="N45" s="209"/>
      <c r="O45" s="207"/>
      <c r="P45" s="198"/>
      <c r="Q45" s="208"/>
      <c r="R45" s="209"/>
      <c r="S45" s="207"/>
      <c r="T45" s="198"/>
      <c r="U45" s="208"/>
      <c r="V45" s="209"/>
      <c r="W45" s="278" t="str">
        <f t="shared" si="3"/>
        <v/>
      </c>
      <c r="X45" s="210"/>
    </row>
    <row r="46" spans="1:28" ht="13.5" hidden="1" thickBot="1" x14ac:dyDescent="0.25">
      <c r="A46" s="206"/>
      <c r="B46" s="211"/>
      <c r="C46" s="207"/>
      <c r="D46" s="198"/>
      <c r="E46" s="208"/>
      <c r="F46" s="209"/>
      <c r="G46" s="207"/>
      <c r="H46" s="198"/>
      <c r="I46" s="208"/>
      <c r="J46" s="209"/>
      <c r="K46" s="207"/>
      <c r="L46" s="198"/>
      <c r="M46" s="208"/>
      <c r="N46" s="209"/>
      <c r="O46" s="207"/>
      <c r="P46" s="198"/>
      <c r="Q46" s="208"/>
      <c r="R46" s="209"/>
      <c r="S46" s="207"/>
      <c r="T46" s="198"/>
      <c r="U46" s="208"/>
      <c r="V46" s="209"/>
      <c r="W46" s="278" t="str">
        <f t="shared" si="3"/>
        <v/>
      </c>
      <c r="X46" s="210"/>
    </row>
    <row r="47" spans="1:28" ht="13.5" hidden="1" thickBot="1" x14ac:dyDescent="0.25">
      <c r="A47" s="206"/>
      <c r="B47" s="212"/>
      <c r="C47" s="207"/>
      <c r="D47" s="198"/>
      <c r="E47" s="208"/>
      <c r="F47" s="209"/>
      <c r="G47" s="207"/>
      <c r="H47" s="198"/>
      <c r="I47" s="208"/>
      <c r="J47" s="209"/>
      <c r="K47" s="207"/>
      <c r="L47" s="198"/>
      <c r="M47" s="208"/>
      <c r="N47" s="209"/>
      <c r="O47" s="207"/>
      <c r="P47" s="198"/>
      <c r="Q47" s="208"/>
      <c r="R47" s="209"/>
      <c r="S47" s="207"/>
      <c r="T47" s="198"/>
      <c r="U47" s="208"/>
      <c r="V47" s="209"/>
      <c r="W47" s="278" t="str">
        <f t="shared" si="3"/>
        <v/>
      </c>
      <c r="X47" s="210"/>
    </row>
    <row r="48" spans="1:28" ht="13.5" hidden="1" thickBot="1" x14ac:dyDescent="0.25">
      <c r="A48" s="149"/>
      <c r="B48" s="195"/>
      <c r="C48" s="151"/>
      <c r="D48" s="148"/>
      <c r="E48" s="152"/>
      <c r="F48" s="153"/>
      <c r="G48" s="151"/>
      <c r="H48" s="148"/>
      <c r="I48" s="152"/>
      <c r="J48" s="153"/>
      <c r="K48" s="151"/>
      <c r="L48" s="148"/>
      <c r="M48" s="152"/>
      <c r="N48" s="153"/>
      <c r="O48" s="151"/>
      <c r="P48" s="148"/>
      <c r="Q48" s="152"/>
      <c r="R48" s="153"/>
      <c r="S48" s="151"/>
      <c r="T48" s="148"/>
      <c r="U48" s="152"/>
      <c r="V48" s="153"/>
      <c r="W48" s="278" t="str">
        <f t="shared" si="3"/>
        <v/>
      </c>
      <c r="X48" s="154"/>
    </row>
    <row r="49" spans="1:24" ht="13.5" hidden="1" thickBot="1" x14ac:dyDescent="0.25">
      <c r="A49" s="149"/>
      <c r="B49" s="181"/>
      <c r="C49" s="151"/>
      <c r="D49" s="148"/>
      <c r="E49" s="152"/>
      <c r="F49" s="153"/>
      <c r="G49" s="151"/>
      <c r="H49" s="148"/>
      <c r="I49" s="152"/>
      <c r="J49" s="153"/>
      <c r="K49" s="151"/>
      <c r="L49" s="148"/>
      <c r="M49" s="152"/>
      <c r="N49" s="153"/>
      <c r="O49" s="151"/>
      <c r="P49" s="148"/>
      <c r="Q49" s="152"/>
      <c r="R49" s="153"/>
      <c r="S49" s="151"/>
      <c r="T49" s="148"/>
      <c r="U49" s="152"/>
      <c r="V49" s="153"/>
      <c r="W49" s="278" t="str">
        <f t="shared" si="3"/>
        <v/>
      </c>
      <c r="X49" s="154"/>
    </row>
    <row r="50" spans="1:24" ht="13.5" hidden="1" thickBot="1" x14ac:dyDescent="0.25">
      <c r="A50" s="197"/>
      <c r="B50" s="155"/>
      <c r="C50" s="151"/>
      <c r="D50" s="148"/>
      <c r="E50" s="152"/>
      <c r="F50" s="153"/>
      <c r="G50" s="151"/>
      <c r="H50" s="148"/>
      <c r="I50" s="152"/>
      <c r="J50" s="153"/>
      <c r="K50" s="151"/>
      <c r="L50" s="148"/>
      <c r="M50" s="152"/>
      <c r="N50" s="153"/>
      <c r="O50" s="151"/>
      <c r="P50" s="148"/>
      <c r="Q50" s="152"/>
      <c r="R50" s="153"/>
      <c r="S50" s="151"/>
      <c r="T50" s="148"/>
      <c r="U50" s="152"/>
      <c r="V50" s="153"/>
      <c r="W50" s="278" t="str">
        <f t="shared" si="3"/>
        <v/>
      </c>
      <c r="X50" s="154"/>
    </row>
    <row r="51" spans="1:24" ht="13.5" hidden="1" thickBot="1" x14ac:dyDescent="0.25">
      <c r="A51" s="197"/>
      <c r="B51" s="155"/>
      <c r="C51" s="151"/>
      <c r="D51" s="148"/>
      <c r="E51" s="152"/>
      <c r="F51" s="153"/>
      <c r="G51" s="151"/>
      <c r="H51" s="148"/>
      <c r="I51" s="152"/>
      <c r="J51" s="153"/>
      <c r="K51" s="151"/>
      <c r="L51" s="148"/>
      <c r="M51" s="152"/>
      <c r="N51" s="153"/>
      <c r="O51" s="151"/>
      <c r="P51" s="148"/>
      <c r="Q51" s="152"/>
      <c r="R51" s="153"/>
      <c r="S51" s="151"/>
      <c r="T51" s="148"/>
      <c r="U51" s="152"/>
      <c r="V51" s="153"/>
      <c r="W51" s="278" t="str">
        <f t="shared" si="3"/>
        <v/>
      </c>
      <c r="X51" s="154"/>
    </row>
    <row r="52" spans="1:24" ht="13.5" hidden="1" thickBot="1" x14ac:dyDescent="0.25">
      <c r="A52" s="206"/>
      <c r="B52" s="212"/>
      <c r="C52" s="207"/>
      <c r="D52" s="198"/>
      <c r="E52" s="208"/>
      <c r="F52" s="209"/>
      <c r="G52" s="207"/>
      <c r="H52" s="198"/>
      <c r="I52" s="208"/>
      <c r="J52" s="209"/>
      <c r="K52" s="207"/>
      <c r="L52" s="198"/>
      <c r="M52" s="208"/>
      <c r="N52" s="209"/>
      <c r="O52" s="207"/>
      <c r="P52" s="198"/>
      <c r="Q52" s="208"/>
      <c r="R52" s="209"/>
      <c r="S52" s="207"/>
      <c r="T52" s="198"/>
      <c r="U52" s="208"/>
      <c r="V52" s="209"/>
      <c r="W52" s="278" t="str">
        <f t="shared" si="3"/>
        <v/>
      </c>
      <c r="X52" s="210"/>
    </row>
    <row r="53" spans="1:24" ht="13.5" hidden="1" thickBot="1" x14ac:dyDescent="0.25">
      <c r="A53" s="206"/>
      <c r="B53" s="212"/>
      <c r="C53" s="207"/>
      <c r="D53" s="198"/>
      <c r="E53" s="208"/>
      <c r="F53" s="209"/>
      <c r="G53" s="207"/>
      <c r="H53" s="198"/>
      <c r="I53" s="208"/>
      <c r="J53" s="209"/>
      <c r="K53" s="207"/>
      <c r="L53" s="198"/>
      <c r="M53" s="208"/>
      <c r="N53" s="209"/>
      <c r="O53" s="207"/>
      <c r="P53" s="198"/>
      <c r="Q53" s="208"/>
      <c r="R53" s="209"/>
      <c r="S53" s="207"/>
      <c r="T53" s="198"/>
      <c r="U53" s="208"/>
      <c r="V53" s="209"/>
      <c r="W53" s="278" t="str">
        <f t="shared" si="3"/>
        <v/>
      </c>
      <c r="X53" s="210"/>
    </row>
    <row r="54" spans="1:24" ht="13.5" hidden="1" thickBot="1" x14ac:dyDescent="0.25">
      <c r="A54" s="206"/>
      <c r="B54" s="211"/>
      <c r="C54" s="207"/>
      <c r="D54" s="198"/>
      <c r="E54" s="208"/>
      <c r="F54" s="209"/>
      <c r="G54" s="207"/>
      <c r="H54" s="198"/>
      <c r="I54" s="208"/>
      <c r="J54" s="209"/>
      <c r="K54" s="207"/>
      <c r="L54" s="198"/>
      <c r="M54" s="208"/>
      <c r="N54" s="209"/>
      <c r="O54" s="207"/>
      <c r="P54" s="198"/>
      <c r="Q54" s="208"/>
      <c r="R54" s="209"/>
      <c r="S54" s="207"/>
      <c r="T54" s="198"/>
      <c r="U54" s="208"/>
      <c r="V54" s="209"/>
      <c r="W54" s="278" t="str">
        <f t="shared" si="3"/>
        <v/>
      </c>
      <c r="X54" s="210"/>
    </row>
    <row r="55" spans="1:24" ht="13.5" hidden="1" thickBot="1" x14ac:dyDescent="0.25">
      <c r="A55" s="206"/>
      <c r="B55" s="212"/>
      <c r="C55" s="207"/>
      <c r="D55" s="198"/>
      <c r="E55" s="208"/>
      <c r="F55" s="209"/>
      <c r="G55" s="207"/>
      <c r="H55" s="198"/>
      <c r="I55" s="208"/>
      <c r="J55" s="209"/>
      <c r="K55" s="207"/>
      <c r="L55" s="198"/>
      <c r="M55" s="208"/>
      <c r="N55" s="209"/>
      <c r="O55" s="207"/>
      <c r="P55" s="198"/>
      <c r="Q55" s="208"/>
      <c r="R55" s="209"/>
      <c r="S55" s="207"/>
      <c r="T55" s="198"/>
      <c r="U55" s="208"/>
      <c r="V55" s="209"/>
      <c r="W55" s="278" t="str">
        <f t="shared" si="3"/>
        <v/>
      </c>
      <c r="X55" s="210"/>
    </row>
    <row r="56" spans="1:24" ht="13.5" hidden="1" thickBot="1" x14ac:dyDescent="0.25">
      <c r="A56" s="149"/>
      <c r="B56" s="195"/>
      <c r="C56" s="151"/>
      <c r="D56" s="148"/>
      <c r="E56" s="152"/>
      <c r="F56" s="153"/>
      <c r="G56" s="151"/>
      <c r="H56" s="148"/>
      <c r="I56" s="152"/>
      <c r="J56" s="153"/>
      <c r="K56" s="151"/>
      <c r="L56" s="148"/>
      <c r="M56" s="152"/>
      <c r="N56" s="153"/>
      <c r="O56" s="151"/>
      <c r="P56" s="148"/>
      <c r="Q56" s="152"/>
      <c r="R56" s="153"/>
      <c r="S56" s="151"/>
      <c r="T56" s="148"/>
      <c r="U56" s="152"/>
      <c r="V56" s="153"/>
      <c r="W56" s="278" t="str">
        <f t="shared" si="3"/>
        <v/>
      </c>
      <c r="X56" s="154"/>
    </row>
    <row r="57" spans="1:24" ht="13.5" hidden="1" thickBot="1" x14ac:dyDescent="0.25">
      <c r="A57" s="149"/>
      <c r="B57" s="181"/>
      <c r="C57" s="151"/>
      <c r="D57" s="148"/>
      <c r="E57" s="152"/>
      <c r="F57" s="153"/>
      <c r="G57" s="151"/>
      <c r="H57" s="148"/>
      <c r="I57" s="152"/>
      <c r="J57" s="153"/>
      <c r="K57" s="151"/>
      <c r="L57" s="148"/>
      <c r="M57" s="152"/>
      <c r="N57" s="153"/>
      <c r="O57" s="151"/>
      <c r="P57" s="148"/>
      <c r="Q57" s="152"/>
      <c r="R57" s="153"/>
      <c r="S57" s="151"/>
      <c r="T57" s="148"/>
      <c r="U57" s="152"/>
      <c r="V57" s="153"/>
      <c r="W57" s="278" t="str">
        <f t="shared" si="3"/>
        <v/>
      </c>
      <c r="X57" s="154"/>
    </row>
    <row r="58" spans="1:24" ht="13.5" hidden="1" thickBot="1" x14ac:dyDescent="0.25">
      <c r="A58" s="197"/>
      <c r="B58" s="155"/>
      <c r="C58" s="151"/>
      <c r="D58" s="148"/>
      <c r="E58" s="152"/>
      <c r="F58" s="153"/>
      <c r="G58" s="151"/>
      <c r="H58" s="148"/>
      <c r="I58" s="152"/>
      <c r="J58" s="153"/>
      <c r="K58" s="151"/>
      <c r="L58" s="148"/>
      <c r="M58" s="152"/>
      <c r="N58" s="153"/>
      <c r="O58" s="151"/>
      <c r="P58" s="148"/>
      <c r="Q58" s="152"/>
      <c r="R58" s="153"/>
      <c r="S58" s="151"/>
      <c r="T58" s="148"/>
      <c r="U58" s="152"/>
      <c r="V58" s="153"/>
      <c r="W58" s="278" t="str">
        <f t="shared" si="3"/>
        <v/>
      </c>
      <c r="X58" s="154"/>
    </row>
    <row r="59" spans="1:24" ht="13.5" hidden="1" thickBot="1" x14ac:dyDescent="0.25">
      <c r="A59" s="197"/>
      <c r="B59" s="155"/>
      <c r="C59" s="151"/>
      <c r="D59" s="148"/>
      <c r="E59" s="152"/>
      <c r="F59" s="153"/>
      <c r="G59" s="151"/>
      <c r="H59" s="148"/>
      <c r="I59" s="152"/>
      <c r="J59" s="153"/>
      <c r="K59" s="151"/>
      <c r="L59" s="148"/>
      <c r="M59" s="152"/>
      <c r="N59" s="153"/>
      <c r="O59" s="151"/>
      <c r="P59" s="148"/>
      <c r="Q59" s="152"/>
      <c r="R59" s="153"/>
      <c r="S59" s="151"/>
      <c r="T59" s="148"/>
      <c r="U59" s="152"/>
      <c r="V59" s="153"/>
      <c r="W59" s="278" t="str">
        <f t="shared" si="3"/>
        <v/>
      </c>
      <c r="X59" s="154"/>
    </row>
    <row r="60" spans="1:24" ht="13.5" hidden="1" thickBot="1" x14ac:dyDescent="0.25">
      <c r="A60" s="206"/>
      <c r="B60" s="211"/>
      <c r="C60" s="207"/>
      <c r="D60" s="198"/>
      <c r="E60" s="208"/>
      <c r="F60" s="209"/>
      <c r="G60" s="207"/>
      <c r="H60" s="198"/>
      <c r="I60" s="208"/>
      <c r="J60" s="209"/>
      <c r="K60" s="207"/>
      <c r="L60" s="198"/>
      <c r="M60" s="208"/>
      <c r="N60" s="209"/>
      <c r="O60" s="207"/>
      <c r="P60" s="198"/>
      <c r="Q60" s="208"/>
      <c r="R60" s="209"/>
      <c r="S60" s="207"/>
      <c r="T60" s="198"/>
      <c r="U60" s="208"/>
      <c r="V60" s="209"/>
      <c r="W60" s="278" t="str">
        <f t="shared" si="3"/>
        <v/>
      </c>
      <c r="X60" s="210"/>
    </row>
    <row r="61" spans="1:24" ht="13.5" hidden="1" thickBot="1" x14ac:dyDescent="0.25">
      <c r="A61" s="206"/>
      <c r="B61" s="211"/>
      <c r="C61" s="207"/>
      <c r="D61" s="198"/>
      <c r="E61" s="208"/>
      <c r="F61" s="209"/>
      <c r="G61" s="207"/>
      <c r="H61" s="198"/>
      <c r="I61" s="208"/>
      <c r="J61" s="209"/>
      <c r="K61" s="207"/>
      <c r="L61" s="198"/>
      <c r="M61" s="208"/>
      <c r="N61" s="209"/>
      <c r="O61" s="207"/>
      <c r="P61" s="198"/>
      <c r="Q61" s="208"/>
      <c r="R61" s="209"/>
      <c r="S61" s="207"/>
      <c r="T61" s="198"/>
      <c r="U61" s="208"/>
      <c r="V61" s="209"/>
      <c r="W61" s="278" t="str">
        <f t="shared" si="3"/>
        <v/>
      </c>
      <c r="X61" s="210"/>
    </row>
    <row r="62" spans="1:24" ht="13.5" hidden="1" thickBot="1" x14ac:dyDescent="0.25">
      <c r="A62" s="206"/>
      <c r="B62" s="212"/>
      <c r="C62" s="207"/>
      <c r="D62" s="198"/>
      <c r="E62" s="208"/>
      <c r="F62" s="209"/>
      <c r="G62" s="207"/>
      <c r="H62" s="198"/>
      <c r="I62" s="208"/>
      <c r="J62" s="209"/>
      <c r="K62" s="207"/>
      <c r="L62" s="198"/>
      <c r="M62" s="208"/>
      <c r="N62" s="209"/>
      <c r="O62" s="207"/>
      <c r="P62" s="198"/>
      <c r="Q62" s="208"/>
      <c r="R62" s="209"/>
      <c r="S62" s="207"/>
      <c r="T62" s="198"/>
      <c r="U62" s="208"/>
      <c r="V62" s="209"/>
      <c r="W62" s="278" t="str">
        <f t="shared" si="3"/>
        <v/>
      </c>
      <c r="X62" s="210"/>
    </row>
    <row r="63" spans="1:24" ht="13.5" hidden="1" thickBot="1" x14ac:dyDescent="0.25">
      <c r="A63" s="206"/>
      <c r="B63" s="218"/>
      <c r="C63" s="207"/>
      <c r="D63" s="198"/>
      <c r="E63" s="208"/>
      <c r="F63" s="209"/>
      <c r="G63" s="207"/>
      <c r="H63" s="198"/>
      <c r="I63" s="208"/>
      <c r="J63" s="209"/>
      <c r="K63" s="207"/>
      <c r="L63" s="198"/>
      <c r="M63" s="208"/>
      <c r="N63" s="209"/>
      <c r="O63" s="207"/>
      <c r="P63" s="198"/>
      <c r="Q63" s="208"/>
      <c r="R63" s="209"/>
      <c r="S63" s="207"/>
      <c r="T63" s="198"/>
      <c r="U63" s="208"/>
      <c r="V63" s="209"/>
      <c r="W63" s="278" t="str">
        <f t="shared" si="3"/>
        <v/>
      </c>
      <c r="X63" s="210"/>
    </row>
    <row r="64" spans="1:24" ht="13.5" hidden="1" thickBot="1" x14ac:dyDescent="0.25">
      <c r="A64" s="149"/>
      <c r="B64" s="195"/>
      <c r="C64" s="151"/>
      <c r="D64" s="148"/>
      <c r="E64" s="152"/>
      <c r="F64" s="153"/>
      <c r="G64" s="151"/>
      <c r="H64" s="148"/>
      <c r="I64" s="152"/>
      <c r="J64" s="153"/>
      <c r="K64" s="151"/>
      <c r="L64" s="148"/>
      <c r="M64" s="152"/>
      <c r="N64" s="153"/>
      <c r="O64" s="151"/>
      <c r="P64" s="148"/>
      <c r="Q64" s="152"/>
      <c r="R64" s="153"/>
      <c r="S64" s="151"/>
      <c r="T64" s="148"/>
      <c r="U64" s="152"/>
      <c r="V64" s="153"/>
      <c r="W64" s="278" t="str">
        <f t="shared" si="3"/>
        <v/>
      </c>
      <c r="X64" s="154"/>
    </row>
    <row r="65" spans="1:28" ht="13.5" hidden="1" thickBot="1" x14ac:dyDescent="0.25">
      <c r="A65" s="149"/>
      <c r="B65" s="181"/>
      <c r="C65" s="151"/>
      <c r="D65" s="148"/>
      <c r="E65" s="152"/>
      <c r="F65" s="153"/>
      <c r="G65" s="151"/>
      <c r="H65" s="148"/>
      <c r="I65" s="152"/>
      <c r="J65" s="153"/>
      <c r="K65" s="151"/>
      <c r="L65" s="148"/>
      <c r="M65" s="152"/>
      <c r="N65" s="153"/>
      <c r="O65" s="151"/>
      <c r="P65" s="148"/>
      <c r="Q65" s="152"/>
      <c r="R65" s="153"/>
      <c r="S65" s="151"/>
      <c r="T65" s="148"/>
      <c r="U65" s="152"/>
      <c r="V65" s="153"/>
      <c r="W65" s="278" t="str">
        <f t="shared" si="3"/>
        <v/>
      </c>
      <c r="X65" s="154"/>
    </row>
    <row r="66" spans="1:28" ht="13.5" hidden="1" thickBot="1" x14ac:dyDescent="0.25">
      <c r="A66" s="197"/>
      <c r="B66" s="155"/>
      <c r="C66" s="151"/>
      <c r="D66" s="148"/>
      <c r="E66" s="152"/>
      <c r="F66" s="153"/>
      <c r="G66" s="151"/>
      <c r="H66" s="148"/>
      <c r="I66" s="152"/>
      <c r="J66" s="153"/>
      <c r="K66" s="151"/>
      <c r="L66" s="148"/>
      <c r="M66" s="152"/>
      <c r="N66" s="153"/>
      <c r="O66" s="151"/>
      <c r="P66" s="148"/>
      <c r="Q66" s="152"/>
      <c r="R66" s="153"/>
      <c r="S66" s="151"/>
      <c r="T66" s="148"/>
      <c r="U66" s="152"/>
      <c r="V66" s="153"/>
      <c r="W66" s="278" t="str">
        <f t="shared" si="3"/>
        <v/>
      </c>
      <c r="X66" s="154"/>
    </row>
    <row r="67" spans="1:28" ht="13.5" hidden="1" thickBot="1" x14ac:dyDescent="0.25">
      <c r="A67" s="199"/>
      <c r="B67" s="200"/>
      <c r="C67" s="201"/>
      <c r="D67" s="158"/>
      <c r="E67" s="202"/>
      <c r="F67" s="203"/>
      <c r="G67" s="201"/>
      <c r="H67" s="158"/>
      <c r="I67" s="202"/>
      <c r="J67" s="203"/>
      <c r="K67" s="201"/>
      <c r="L67" s="158"/>
      <c r="M67" s="202"/>
      <c r="N67" s="203"/>
      <c r="O67" s="201"/>
      <c r="P67" s="158"/>
      <c r="Q67" s="202"/>
      <c r="R67" s="203"/>
      <c r="S67" s="201"/>
      <c r="T67" s="158"/>
      <c r="U67" s="202"/>
      <c r="V67" s="203"/>
      <c r="W67" s="279" t="str">
        <f t="shared" si="3"/>
        <v/>
      </c>
      <c r="X67" s="176"/>
      <c r="Y67" s="157"/>
    </row>
    <row r="68" spans="1:28" ht="13.5" thickBot="1" x14ac:dyDescent="0.25">
      <c r="A68" s="647" t="s">
        <v>908</v>
      </c>
      <c r="B68" s="642" t="s">
        <v>841</v>
      </c>
      <c r="C68" s="666"/>
      <c r="D68" s="666"/>
      <c r="E68" s="666"/>
      <c r="F68" s="666"/>
      <c r="G68" s="666"/>
      <c r="H68" s="666"/>
      <c r="I68" s="666"/>
      <c r="J68" s="666"/>
      <c r="K68" s="666"/>
      <c r="L68" s="666"/>
      <c r="M68" s="666"/>
      <c r="N68" s="666"/>
      <c r="O68" s="666"/>
      <c r="P68" s="666"/>
      <c r="Q68" s="666"/>
      <c r="R68" s="666"/>
      <c r="S68" s="666"/>
      <c r="T68" s="666"/>
      <c r="U68" s="666"/>
      <c r="V68" s="666"/>
      <c r="W68" s="686"/>
      <c r="X68" s="667"/>
      <c r="Y68" s="627" t="s">
        <v>196</v>
      </c>
      <c r="Z68" s="164"/>
      <c r="AA68" s="165" t="s">
        <v>181</v>
      </c>
      <c r="AB68" s="165" t="s">
        <v>182</v>
      </c>
    </row>
    <row r="69" spans="1:28" x14ac:dyDescent="0.2">
      <c r="A69" s="675">
        <v>8</v>
      </c>
      <c r="B69" s="676" t="s">
        <v>194</v>
      </c>
      <c r="C69" s="677">
        <v>3</v>
      </c>
      <c r="D69" s="678">
        <v>3</v>
      </c>
      <c r="E69" s="678">
        <v>0</v>
      </c>
      <c r="F69" s="679">
        <v>3</v>
      </c>
      <c r="G69" s="677">
        <v>0</v>
      </c>
      <c r="H69" s="678">
        <v>0</v>
      </c>
      <c r="I69" s="678">
        <v>3</v>
      </c>
      <c r="J69" s="730">
        <v>0</v>
      </c>
      <c r="K69" s="677">
        <v>0</v>
      </c>
      <c r="L69" s="678">
        <v>1</v>
      </c>
      <c r="M69" s="678">
        <v>1</v>
      </c>
      <c r="N69" s="679">
        <v>1</v>
      </c>
      <c r="O69" s="677">
        <v>0</v>
      </c>
      <c r="P69" s="678">
        <v>1</v>
      </c>
      <c r="Q69" s="678">
        <v>3</v>
      </c>
      <c r="R69" s="679">
        <v>1</v>
      </c>
      <c r="S69" s="677">
        <v>3</v>
      </c>
      <c r="T69" s="678">
        <v>0</v>
      </c>
      <c r="U69" s="678">
        <v>0</v>
      </c>
      <c r="V69" s="730">
        <v>0</v>
      </c>
      <c r="W69" s="660">
        <f t="shared" ref="W69:W76" si="4">SUM(C69:V69)+COUNTIF(C69:V69,5)/100+COUNTIF(C69:V69,3)/10000</f>
        <v>23.000599999999999</v>
      </c>
      <c r="X69" s="661" t="str">
        <f t="shared" ref="X69:X76" si="5">IF(RANK(Y69,$Y$69:$Y$76)&lt;5,"edasi "&amp;RANK(Y69,$Y$69:$Y$76)+4,RANK(Y69,$Y$69:$Y$76)+4)</f>
        <v>edasi 5</v>
      </c>
      <c r="Y69" s="661">
        <f t="shared" ref="Y69:Y76" si="6">W69+IFERROR(INDEX(W$9:W$34,MATCH(B69,B$9:B$34,0)),0)</f>
        <v>49.030900000000003</v>
      </c>
      <c r="Z69" s="166" t="e">
        <f>IF(COUNTA(C69:V69)=0,100,W69+IF(RANK(W69,$W$103:$W$104)=1,100,0))</f>
        <v>#N/A</v>
      </c>
      <c r="AA69" s="165">
        <f>MIN(W69:W70)</f>
        <v>21.0105</v>
      </c>
      <c r="AB69" s="165">
        <f>MAX(W69:W70)</f>
        <v>23.000599999999999</v>
      </c>
    </row>
    <row r="70" spans="1:28" x14ac:dyDescent="0.2">
      <c r="A70" s="263">
        <v>7</v>
      </c>
      <c r="B70" s="680" t="s">
        <v>53</v>
      </c>
      <c r="C70" s="264">
        <v>3</v>
      </c>
      <c r="D70" s="265">
        <v>0</v>
      </c>
      <c r="E70" s="265">
        <v>3</v>
      </c>
      <c r="F70" s="266">
        <v>0</v>
      </c>
      <c r="G70" s="264">
        <v>5</v>
      </c>
      <c r="H70" s="265">
        <v>0</v>
      </c>
      <c r="I70" s="265">
        <v>3</v>
      </c>
      <c r="J70" s="731">
        <v>0</v>
      </c>
      <c r="K70" s="264">
        <v>1</v>
      </c>
      <c r="L70" s="265">
        <v>0</v>
      </c>
      <c r="M70" s="265">
        <v>0</v>
      </c>
      <c r="N70" s="266">
        <v>0</v>
      </c>
      <c r="O70" s="264">
        <v>3</v>
      </c>
      <c r="P70" s="265">
        <v>0</v>
      </c>
      <c r="Q70" s="265">
        <v>0</v>
      </c>
      <c r="R70" s="266">
        <v>3</v>
      </c>
      <c r="S70" s="264">
        <v>0</v>
      </c>
      <c r="T70" s="265">
        <v>0</v>
      </c>
      <c r="U70" s="265">
        <v>0</v>
      </c>
      <c r="V70" s="731">
        <v>0</v>
      </c>
      <c r="W70" s="305">
        <f t="shared" si="4"/>
        <v>21.0105</v>
      </c>
      <c r="X70" s="247" t="str">
        <f t="shared" si="5"/>
        <v>edasi 6</v>
      </c>
      <c r="Y70" s="247">
        <f t="shared" si="6"/>
        <v>45.030799999999999</v>
      </c>
      <c r="Z70" s="166"/>
      <c r="AA70" s="165"/>
      <c r="AB70" s="165"/>
    </row>
    <row r="71" spans="1:28" x14ac:dyDescent="0.2">
      <c r="A71" s="263">
        <v>5</v>
      </c>
      <c r="B71" s="592" t="s">
        <v>227</v>
      </c>
      <c r="C71" s="264">
        <v>0</v>
      </c>
      <c r="D71" s="265">
        <v>0</v>
      </c>
      <c r="E71" s="265">
        <v>3</v>
      </c>
      <c r="F71" s="266">
        <v>3</v>
      </c>
      <c r="G71" s="264">
        <v>0</v>
      </c>
      <c r="H71" s="265">
        <v>1</v>
      </c>
      <c r="I71" s="265">
        <v>0</v>
      </c>
      <c r="J71" s="731">
        <v>0</v>
      </c>
      <c r="K71" s="264">
        <v>1</v>
      </c>
      <c r="L71" s="265">
        <v>0</v>
      </c>
      <c r="M71" s="265">
        <v>0</v>
      </c>
      <c r="N71" s="266">
        <v>0</v>
      </c>
      <c r="O71" s="264">
        <v>0</v>
      </c>
      <c r="P71" s="265">
        <v>0</v>
      </c>
      <c r="Q71" s="265">
        <v>0</v>
      </c>
      <c r="R71" s="266">
        <v>0</v>
      </c>
      <c r="S71" s="264">
        <v>5</v>
      </c>
      <c r="T71" s="265">
        <v>3</v>
      </c>
      <c r="U71" s="265">
        <v>0</v>
      </c>
      <c r="V71" s="731">
        <v>0</v>
      </c>
      <c r="W71" s="305">
        <f t="shared" si="4"/>
        <v>16.010300000000001</v>
      </c>
      <c r="X71" s="247" t="str">
        <f t="shared" si="5"/>
        <v>edasi 7</v>
      </c>
      <c r="Y71" s="247">
        <f t="shared" si="6"/>
        <v>37.020800000000001</v>
      </c>
      <c r="Z71" s="166" t="e">
        <f>IF(COUNTA(C71:V71)=0,100,W71+IF(RANK(W71,$W$105:$W$106)=1,100,0))</f>
        <v>#N/A</v>
      </c>
      <c r="AA71" s="165">
        <f>MIN(W71:W72)</f>
        <v>13.000400000000001</v>
      </c>
      <c r="AB71" s="165">
        <f>MAX(W71:W72)</f>
        <v>16.010300000000001</v>
      </c>
    </row>
    <row r="72" spans="1:28" x14ac:dyDescent="0.2">
      <c r="A72" s="263">
        <v>6</v>
      </c>
      <c r="B72" s="592" t="s">
        <v>49</v>
      </c>
      <c r="C72" s="264">
        <v>3</v>
      </c>
      <c r="D72" s="265">
        <v>0</v>
      </c>
      <c r="E72" s="265">
        <v>3</v>
      </c>
      <c r="F72" s="266">
        <v>0</v>
      </c>
      <c r="G72" s="264">
        <v>3</v>
      </c>
      <c r="H72" s="265">
        <v>0</v>
      </c>
      <c r="I72" s="265">
        <v>0</v>
      </c>
      <c r="J72" s="731">
        <v>0</v>
      </c>
      <c r="K72" s="264">
        <v>1</v>
      </c>
      <c r="L72" s="265">
        <v>0</v>
      </c>
      <c r="M72" s="265">
        <v>3</v>
      </c>
      <c r="N72" s="266">
        <v>0</v>
      </c>
      <c r="O72" s="264">
        <v>0</v>
      </c>
      <c r="P72" s="265">
        <v>0</v>
      </c>
      <c r="Q72" s="265">
        <v>0</v>
      </c>
      <c r="R72" s="266">
        <v>0</v>
      </c>
      <c r="S72" s="264">
        <v>0</v>
      </c>
      <c r="T72" s="265">
        <v>0</v>
      </c>
      <c r="U72" s="265">
        <v>0</v>
      </c>
      <c r="V72" s="731">
        <v>0</v>
      </c>
      <c r="W72" s="305">
        <f t="shared" si="4"/>
        <v>13.000400000000001</v>
      </c>
      <c r="X72" s="247" t="str">
        <f t="shared" si="5"/>
        <v>edasi 8</v>
      </c>
      <c r="Y72" s="247">
        <f t="shared" si="6"/>
        <v>36.020800000000001</v>
      </c>
      <c r="Z72" s="167" t="e">
        <f>IF(COUNTA(C72:V72)=0,0,W72+IF(RANK(W72,$W$105:$W$106)=1,100,0))</f>
        <v>#N/A</v>
      </c>
      <c r="AA72" s="165"/>
      <c r="AB72" s="165"/>
    </row>
    <row r="73" spans="1:28" x14ac:dyDescent="0.2">
      <c r="A73" s="267">
        <v>4</v>
      </c>
      <c r="B73" s="268" t="s">
        <v>225</v>
      </c>
      <c r="C73" s="269">
        <v>3</v>
      </c>
      <c r="D73" s="270">
        <v>3</v>
      </c>
      <c r="E73" s="270">
        <v>0</v>
      </c>
      <c r="F73" s="271">
        <v>0</v>
      </c>
      <c r="G73" s="269">
        <v>0</v>
      </c>
      <c r="H73" s="270">
        <v>0</v>
      </c>
      <c r="I73" s="270">
        <v>0</v>
      </c>
      <c r="J73" s="732">
        <v>0</v>
      </c>
      <c r="K73" s="269">
        <v>3</v>
      </c>
      <c r="L73" s="270">
        <v>0</v>
      </c>
      <c r="M73" s="270">
        <v>1</v>
      </c>
      <c r="N73" s="271">
        <v>0</v>
      </c>
      <c r="O73" s="269">
        <v>3</v>
      </c>
      <c r="P73" s="270">
        <v>3</v>
      </c>
      <c r="Q73" s="270">
        <v>0</v>
      </c>
      <c r="R73" s="271">
        <v>0</v>
      </c>
      <c r="S73" s="269">
        <v>0</v>
      </c>
      <c r="T73" s="270">
        <v>0</v>
      </c>
      <c r="U73" s="270">
        <v>0</v>
      </c>
      <c r="V73" s="732">
        <v>0</v>
      </c>
      <c r="W73" s="282">
        <f t="shared" si="4"/>
        <v>16.000499999999999</v>
      </c>
      <c r="X73" s="257">
        <f t="shared" si="5"/>
        <v>9</v>
      </c>
      <c r="Y73" s="257">
        <f t="shared" si="6"/>
        <v>35.020799999999994</v>
      </c>
      <c r="Z73" s="166" t="e">
        <f>IF(COUNTA(C73:V73)=0,100,W73+IF(RANK(W73,$W$107:$W$108)=1,100,0))</f>
        <v>#N/A</v>
      </c>
      <c r="AA73" s="165">
        <f>MIN(W73:W74)</f>
        <v>16.000499999999999</v>
      </c>
      <c r="AB73" s="165">
        <f>MAX(W73:W74)</f>
        <v>19.000499999999999</v>
      </c>
    </row>
    <row r="74" spans="1:28" x14ac:dyDescent="0.2">
      <c r="A74" s="267">
        <v>3</v>
      </c>
      <c r="B74" s="591" t="s">
        <v>191</v>
      </c>
      <c r="C74" s="269">
        <v>3</v>
      </c>
      <c r="D74" s="270">
        <v>0</v>
      </c>
      <c r="E74" s="270">
        <v>3</v>
      </c>
      <c r="F74" s="271">
        <v>0</v>
      </c>
      <c r="G74" s="269">
        <v>0</v>
      </c>
      <c r="H74" s="270">
        <v>3</v>
      </c>
      <c r="I74" s="270">
        <v>3</v>
      </c>
      <c r="J74" s="732">
        <v>1</v>
      </c>
      <c r="K74" s="269">
        <v>1</v>
      </c>
      <c r="L74" s="270">
        <v>3</v>
      </c>
      <c r="M74" s="270">
        <v>1</v>
      </c>
      <c r="N74" s="271">
        <v>1</v>
      </c>
      <c r="O74" s="269">
        <v>0</v>
      </c>
      <c r="P74" s="270">
        <v>0</v>
      </c>
      <c r="Q74" s="270">
        <v>0</v>
      </c>
      <c r="R74" s="271">
        <v>0</v>
      </c>
      <c r="S74" s="269">
        <v>0</v>
      </c>
      <c r="T74" s="270">
        <v>0</v>
      </c>
      <c r="U74" s="270">
        <v>0</v>
      </c>
      <c r="V74" s="732">
        <v>0</v>
      </c>
      <c r="W74" s="282">
        <f t="shared" si="4"/>
        <v>19.000499999999999</v>
      </c>
      <c r="X74" s="257">
        <f t="shared" si="5"/>
        <v>10</v>
      </c>
      <c r="Y74" s="257">
        <f t="shared" si="6"/>
        <v>34.0107</v>
      </c>
      <c r="Z74" s="167" t="e">
        <f>IF(COUNTA(C74:V74)=0,0,W74+IF(RANK(W74,$W$107:$W$108)=1,100,0))</f>
        <v>#N/A</v>
      </c>
      <c r="AA74" s="165"/>
      <c r="AB74" s="165"/>
    </row>
    <row r="75" spans="1:28" x14ac:dyDescent="0.2">
      <c r="A75" s="267">
        <v>1</v>
      </c>
      <c r="B75" s="258" t="s">
        <v>104</v>
      </c>
      <c r="C75" s="269">
        <v>3</v>
      </c>
      <c r="D75" s="270">
        <v>0</v>
      </c>
      <c r="E75" s="270">
        <v>0</v>
      </c>
      <c r="F75" s="271">
        <v>0</v>
      </c>
      <c r="G75" s="269">
        <v>3</v>
      </c>
      <c r="H75" s="270">
        <v>3</v>
      </c>
      <c r="I75" s="270">
        <v>0</v>
      </c>
      <c r="J75" s="732">
        <v>0</v>
      </c>
      <c r="K75" s="269">
        <v>0</v>
      </c>
      <c r="L75" s="270">
        <v>0</v>
      </c>
      <c r="M75" s="270">
        <v>0</v>
      </c>
      <c r="N75" s="271">
        <v>3</v>
      </c>
      <c r="O75" s="269">
        <v>3</v>
      </c>
      <c r="P75" s="270">
        <v>0</v>
      </c>
      <c r="Q75" s="270">
        <v>0</v>
      </c>
      <c r="R75" s="271">
        <v>0</v>
      </c>
      <c r="S75" s="269">
        <v>0</v>
      </c>
      <c r="T75" s="270">
        <v>0</v>
      </c>
      <c r="U75" s="270">
        <v>0</v>
      </c>
      <c r="V75" s="732">
        <v>0</v>
      </c>
      <c r="W75" s="282">
        <f t="shared" si="4"/>
        <v>15.000500000000001</v>
      </c>
      <c r="X75" s="257">
        <f t="shared" si="5"/>
        <v>11</v>
      </c>
      <c r="Y75" s="257">
        <f t="shared" si="6"/>
        <v>27.0106</v>
      </c>
      <c r="Z75" s="166" t="e">
        <f>IF(COUNTA(C75:V75)=0,100,W75+IF(RANK(W75,$W$105:$W$106)=1,100,0))</f>
        <v>#N/A</v>
      </c>
      <c r="AA75" s="165">
        <f>MIN(W75:W76)</f>
        <v>6.0002000000000004</v>
      </c>
      <c r="AB75" s="165">
        <f>MAX(W75:W76)</f>
        <v>15.000500000000001</v>
      </c>
    </row>
    <row r="76" spans="1:28" ht="13.5" thickBot="1" x14ac:dyDescent="0.25">
      <c r="A76" s="272">
        <v>2</v>
      </c>
      <c r="B76" s="681" t="s">
        <v>189</v>
      </c>
      <c r="C76" s="273">
        <v>0</v>
      </c>
      <c r="D76" s="274">
        <v>3</v>
      </c>
      <c r="E76" s="274">
        <v>0</v>
      </c>
      <c r="F76" s="275">
        <v>0</v>
      </c>
      <c r="G76" s="273">
        <v>3</v>
      </c>
      <c r="H76" s="274">
        <v>0</v>
      </c>
      <c r="I76" s="274">
        <v>0</v>
      </c>
      <c r="J76" s="733">
        <v>0</v>
      </c>
      <c r="K76" s="273">
        <v>0</v>
      </c>
      <c r="L76" s="274">
        <v>0</v>
      </c>
      <c r="M76" s="274">
        <v>0</v>
      </c>
      <c r="N76" s="275">
        <v>0</v>
      </c>
      <c r="O76" s="273">
        <v>0</v>
      </c>
      <c r="P76" s="274">
        <v>0</v>
      </c>
      <c r="Q76" s="274">
        <v>0</v>
      </c>
      <c r="R76" s="275">
        <v>0</v>
      </c>
      <c r="S76" s="273">
        <v>0</v>
      </c>
      <c r="T76" s="274">
        <v>0</v>
      </c>
      <c r="U76" s="274">
        <v>0</v>
      </c>
      <c r="V76" s="733">
        <v>0</v>
      </c>
      <c r="W76" s="283">
        <f t="shared" si="4"/>
        <v>6.0002000000000004</v>
      </c>
      <c r="X76" s="262">
        <f t="shared" si="5"/>
        <v>12</v>
      </c>
      <c r="Y76" s="262">
        <f t="shared" si="6"/>
        <v>21.000700000000002</v>
      </c>
      <c r="Z76" s="167" t="e">
        <f>IF(COUNTA(C76:V76)=0,0,W76+IF(RANK(W76,$W$105:$W$106)=1,100,0))</f>
        <v>#N/A</v>
      </c>
      <c r="AA76" s="165"/>
      <c r="AB76" s="165"/>
    </row>
    <row r="77" spans="1:28" ht="13.5" hidden="1" thickBot="1" x14ac:dyDescent="0.25">
      <c r="A77" s="668"/>
      <c r="B77" s="669" t="s">
        <v>197</v>
      </c>
      <c r="C77" s="670"/>
      <c r="D77" s="671"/>
      <c r="E77" s="671"/>
      <c r="F77" s="672"/>
      <c r="G77" s="670"/>
      <c r="H77" s="671"/>
      <c r="I77" s="671"/>
      <c r="J77" s="672"/>
      <c r="K77" s="670"/>
      <c r="L77" s="671"/>
      <c r="M77" s="671"/>
      <c r="N77" s="672"/>
      <c r="O77" s="670"/>
      <c r="P77" s="671"/>
      <c r="Q77" s="671"/>
      <c r="R77" s="672"/>
      <c r="S77" s="670"/>
      <c r="T77" s="671"/>
      <c r="U77" s="671"/>
      <c r="V77" s="672"/>
      <c r="W77" s="673"/>
      <c r="X77" s="674"/>
      <c r="Z77" s="164"/>
      <c r="AA77" s="165" t="s">
        <v>181</v>
      </c>
      <c r="AB77" s="165" t="s">
        <v>182</v>
      </c>
    </row>
    <row r="78" spans="1:28" ht="13.5" hidden="1" thickBot="1" x14ac:dyDescent="0.25">
      <c r="A78" s="206"/>
      <c r="B78" s="212"/>
      <c r="C78" s="207"/>
      <c r="D78" s="198"/>
      <c r="E78" s="208"/>
      <c r="F78" s="209"/>
      <c r="G78" s="207"/>
      <c r="H78" s="198"/>
      <c r="I78" s="208"/>
      <c r="J78" s="209"/>
      <c r="K78" s="207"/>
      <c r="L78" s="198"/>
      <c r="M78" s="208"/>
      <c r="N78" s="209"/>
      <c r="O78" s="207"/>
      <c r="P78" s="198"/>
      <c r="Q78" s="208"/>
      <c r="R78" s="209"/>
      <c r="S78" s="207"/>
      <c r="T78" s="198"/>
      <c r="U78" s="208"/>
      <c r="V78" s="209"/>
      <c r="W78" s="278" t="str">
        <f t="shared" ref="W78:W121" si="7">IF(COUNTA(C78:V78)=0,"",SUM(C78:V78)+COUNTIF(C78:V78,5)/100+COUNTIF(C78:V78,3)/10000)</f>
        <v/>
      </c>
      <c r="X78" s="210"/>
    </row>
    <row r="79" spans="1:28" ht="13.5" hidden="1" thickBot="1" x14ac:dyDescent="0.25">
      <c r="A79" s="206"/>
      <c r="B79" s="212"/>
      <c r="C79" s="207"/>
      <c r="D79" s="198"/>
      <c r="E79" s="208"/>
      <c r="F79" s="209"/>
      <c r="G79" s="207"/>
      <c r="H79" s="198"/>
      <c r="I79" s="208"/>
      <c r="J79" s="209"/>
      <c r="K79" s="207"/>
      <c r="L79" s="198"/>
      <c r="M79" s="208"/>
      <c r="N79" s="209"/>
      <c r="O79" s="207"/>
      <c r="P79" s="198"/>
      <c r="Q79" s="208"/>
      <c r="R79" s="209"/>
      <c r="S79" s="207"/>
      <c r="T79" s="198"/>
      <c r="U79" s="208"/>
      <c r="V79" s="209"/>
      <c r="W79" s="278" t="str">
        <f t="shared" si="7"/>
        <v/>
      </c>
      <c r="X79" s="210"/>
    </row>
    <row r="80" spans="1:28" ht="13.5" hidden="1" thickBot="1" x14ac:dyDescent="0.25">
      <c r="A80" s="206"/>
      <c r="B80" s="211"/>
      <c r="C80" s="207"/>
      <c r="D80" s="198"/>
      <c r="E80" s="208"/>
      <c r="F80" s="209"/>
      <c r="G80" s="207"/>
      <c r="H80" s="198"/>
      <c r="I80" s="208"/>
      <c r="J80" s="209"/>
      <c r="K80" s="207"/>
      <c r="L80" s="198"/>
      <c r="M80" s="208"/>
      <c r="N80" s="209"/>
      <c r="O80" s="207"/>
      <c r="P80" s="198"/>
      <c r="Q80" s="208"/>
      <c r="R80" s="209"/>
      <c r="S80" s="207"/>
      <c r="T80" s="198"/>
      <c r="U80" s="208"/>
      <c r="V80" s="209"/>
      <c r="W80" s="278" t="str">
        <f t="shared" si="7"/>
        <v/>
      </c>
      <c r="X80" s="210"/>
    </row>
    <row r="81" spans="1:24" ht="13.5" hidden="1" thickBot="1" x14ac:dyDescent="0.25">
      <c r="A81" s="206"/>
      <c r="B81" s="212"/>
      <c r="C81" s="207"/>
      <c r="D81" s="198"/>
      <c r="E81" s="208"/>
      <c r="F81" s="209"/>
      <c r="G81" s="207"/>
      <c r="H81" s="198"/>
      <c r="I81" s="208"/>
      <c r="J81" s="209"/>
      <c r="K81" s="207"/>
      <c r="L81" s="198"/>
      <c r="M81" s="208"/>
      <c r="N81" s="209"/>
      <c r="O81" s="207"/>
      <c r="P81" s="198"/>
      <c r="Q81" s="208"/>
      <c r="R81" s="209"/>
      <c r="S81" s="207"/>
      <c r="T81" s="198"/>
      <c r="U81" s="208"/>
      <c r="V81" s="209"/>
      <c r="W81" s="278" t="str">
        <f t="shared" si="7"/>
        <v/>
      </c>
      <c r="X81" s="210"/>
    </row>
    <row r="82" spans="1:24" ht="13.5" hidden="1" thickBot="1" x14ac:dyDescent="0.25">
      <c r="A82" s="149"/>
      <c r="B82" s="195"/>
      <c r="C82" s="151"/>
      <c r="D82" s="148"/>
      <c r="E82" s="152"/>
      <c r="F82" s="153"/>
      <c r="G82" s="151"/>
      <c r="H82" s="148"/>
      <c r="I82" s="152"/>
      <c r="J82" s="153"/>
      <c r="K82" s="151"/>
      <c r="L82" s="148"/>
      <c r="M82" s="152"/>
      <c r="N82" s="153"/>
      <c r="O82" s="151"/>
      <c r="P82" s="148"/>
      <c r="Q82" s="152"/>
      <c r="R82" s="153"/>
      <c r="S82" s="151"/>
      <c r="T82" s="148"/>
      <c r="U82" s="152"/>
      <c r="V82" s="153"/>
      <c r="W82" s="278" t="str">
        <f t="shared" si="7"/>
        <v/>
      </c>
      <c r="X82" s="154"/>
    </row>
    <row r="83" spans="1:24" ht="13.5" hidden="1" thickBot="1" x14ac:dyDescent="0.25">
      <c r="A83" s="149"/>
      <c r="B83" s="181"/>
      <c r="C83" s="151"/>
      <c r="D83" s="148"/>
      <c r="E83" s="152"/>
      <c r="F83" s="153"/>
      <c r="G83" s="151"/>
      <c r="H83" s="148"/>
      <c r="I83" s="152"/>
      <c r="J83" s="153"/>
      <c r="K83" s="151"/>
      <c r="L83" s="148"/>
      <c r="M83" s="152"/>
      <c r="N83" s="153"/>
      <c r="O83" s="151"/>
      <c r="P83" s="148"/>
      <c r="Q83" s="152"/>
      <c r="R83" s="153"/>
      <c r="S83" s="151"/>
      <c r="T83" s="148"/>
      <c r="U83" s="152"/>
      <c r="V83" s="153"/>
      <c r="W83" s="278" t="str">
        <f t="shared" si="7"/>
        <v/>
      </c>
      <c r="X83" s="154"/>
    </row>
    <row r="84" spans="1:24" ht="13.5" hidden="1" thickBot="1" x14ac:dyDescent="0.25">
      <c r="A84" s="197"/>
      <c r="B84" s="155"/>
      <c r="C84" s="151"/>
      <c r="D84" s="148"/>
      <c r="E84" s="152"/>
      <c r="F84" s="153"/>
      <c r="G84" s="151"/>
      <c r="H84" s="148"/>
      <c r="I84" s="152"/>
      <c r="J84" s="153"/>
      <c r="K84" s="151"/>
      <c r="L84" s="148"/>
      <c r="M84" s="152"/>
      <c r="N84" s="153"/>
      <c r="O84" s="151"/>
      <c r="P84" s="148"/>
      <c r="Q84" s="152"/>
      <c r="R84" s="153"/>
      <c r="S84" s="151"/>
      <c r="T84" s="148"/>
      <c r="U84" s="152"/>
      <c r="V84" s="153"/>
      <c r="W84" s="278" t="str">
        <f t="shared" si="7"/>
        <v/>
      </c>
      <c r="X84" s="154"/>
    </row>
    <row r="85" spans="1:24" ht="13.5" hidden="1" thickBot="1" x14ac:dyDescent="0.25">
      <c r="A85" s="197"/>
      <c r="B85" s="155"/>
      <c r="C85" s="151"/>
      <c r="D85" s="148"/>
      <c r="E85" s="152"/>
      <c r="F85" s="153"/>
      <c r="G85" s="151"/>
      <c r="H85" s="148"/>
      <c r="I85" s="152"/>
      <c r="J85" s="153"/>
      <c r="K85" s="151"/>
      <c r="L85" s="148"/>
      <c r="M85" s="152"/>
      <c r="N85" s="153"/>
      <c r="O85" s="151"/>
      <c r="P85" s="148"/>
      <c r="Q85" s="152"/>
      <c r="R85" s="153"/>
      <c r="S85" s="151"/>
      <c r="T85" s="148"/>
      <c r="U85" s="152"/>
      <c r="V85" s="153"/>
      <c r="W85" s="278" t="str">
        <f t="shared" si="7"/>
        <v/>
      </c>
      <c r="X85" s="154"/>
    </row>
    <row r="86" spans="1:24" ht="13.5" hidden="1" thickBot="1" x14ac:dyDescent="0.25">
      <c r="A86" s="206"/>
      <c r="B86" s="212"/>
      <c r="C86" s="207"/>
      <c r="D86" s="198"/>
      <c r="E86" s="208"/>
      <c r="F86" s="209"/>
      <c r="G86" s="207"/>
      <c r="H86" s="198"/>
      <c r="I86" s="208"/>
      <c r="J86" s="209"/>
      <c r="K86" s="207"/>
      <c r="L86" s="198"/>
      <c r="M86" s="208"/>
      <c r="N86" s="209"/>
      <c r="O86" s="207"/>
      <c r="P86" s="198"/>
      <c r="Q86" s="208"/>
      <c r="R86" s="209"/>
      <c r="S86" s="207"/>
      <c r="T86" s="198"/>
      <c r="U86" s="208"/>
      <c r="V86" s="209"/>
      <c r="W86" s="278" t="str">
        <f t="shared" si="7"/>
        <v/>
      </c>
      <c r="X86" s="210"/>
    </row>
    <row r="87" spans="1:24" ht="13.5" hidden="1" thickBot="1" x14ac:dyDescent="0.25">
      <c r="A87" s="206"/>
      <c r="B87" s="212"/>
      <c r="C87" s="207"/>
      <c r="D87" s="198"/>
      <c r="E87" s="208"/>
      <c r="F87" s="209"/>
      <c r="G87" s="207"/>
      <c r="H87" s="198"/>
      <c r="I87" s="208"/>
      <c r="J87" s="209"/>
      <c r="K87" s="207"/>
      <c r="L87" s="198"/>
      <c r="M87" s="208"/>
      <c r="N87" s="209"/>
      <c r="O87" s="207"/>
      <c r="P87" s="198"/>
      <c r="Q87" s="208"/>
      <c r="R87" s="209"/>
      <c r="S87" s="207"/>
      <c r="T87" s="198"/>
      <c r="U87" s="208"/>
      <c r="V87" s="209"/>
      <c r="W87" s="278" t="str">
        <f t="shared" si="7"/>
        <v/>
      </c>
      <c r="X87" s="210"/>
    </row>
    <row r="88" spans="1:24" ht="13.5" hidden="1" thickBot="1" x14ac:dyDescent="0.25">
      <c r="A88" s="206"/>
      <c r="B88" s="211"/>
      <c r="C88" s="207"/>
      <c r="D88" s="198"/>
      <c r="E88" s="208"/>
      <c r="F88" s="209"/>
      <c r="G88" s="207"/>
      <c r="H88" s="198"/>
      <c r="I88" s="208"/>
      <c r="J88" s="209"/>
      <c r="K88" s="207"/>
      <c r="L88" s="198"/>
      <c r="M88" s="208"/>
      <c r="N88" s="209"/>
      <c r="O88" s="207"/>
      <c r="P88" s="198"/>
      <c r="Q88" s="208"/>
      <c r="R88" s="209"/>
      <c r="S88" s="207"/>
      <c r="T88" s="198"/>
      <c r="U88" s="208"/>
      <c r="V88" s="209"/>
      <c r="W88" s="278" t="str">
        <f t="shared" si="7"/>
        <v/>
      </c>
      <c r="X88" s="210"/>
    </row>
    <row r="89" spans="1:24" ht="13.5" hidden="1" thickBot="1" x14ac:dyDescent="0.25">
      <c r="A89" s="206"/>
      <c r="B89" s="212"/>
      <c r="C89" s="207"/>
      <c r="D89" s="198"/>
      <c r="E89" s="208"/>
      <c r="F89" s="209"/>
      <c r="G89" s="207"/>
      <c r="H89" s="198"/>
      <c r="I89" s="208"/>
      <c r="J89" s="209"/>
      <c r="K89" s="207"/>
      <c r="L89" s="198"/>
      <c r="M89" s="208"/>
      <c r="N89" s="209"/>
      <c r="O89" s="207"/>
      <c r="P89" s="198"/>
      <c r="Q89" s="208"/>
      <c r="R89" s="209"/>
      <c r="S89" s="207"/>
      <c r="T89" s="198"/>
      <c r="U89" s="208"/>
      <c r="V89" s="209"/>
      <c r="W89" s="278" t="str">
        <f t="shared" si="7"/>
        <v/>
      </c>
      <c r="X89" s="210"/>
    </row>
    <row r="90" spans="1:24" ht="13.5" hidden="1" thickBot="1" x14ac:dyDescent="0.25">
      <c r="A90" s="149"/>
      <c r="B90" s="195"/>
      <c r="C90" s="151"/>
      <c r="D90" s="148"/>
      <c r="E90" s="152"/>
      <c r="F90" s="153"/>
      <c r="G90" s="151"/>
      <c r="H90" s="148"/>
      <c r="I90" s="152"/>
      <c r="J90" s="153"/>
      <c r="K90" s="151"/>
      <c r="L90" s="148"/>
      <c r="M90" s="152"/>
      <c r="N90" s="153"/>
      <c r="O90" s="151"/>
      <c r="P90" s="148"/>
      <c r="Q90" s="152"/>
      <c r="R90" s="153"/>
      <c r="S90" s="151"/>
      <c r="T90" s="148"/>
      <c r="U90" s="152"/>
      <c r="V90" s="153"/>
      <c r="W90" s="278" t="str">
        <f t="shared" si="7"/>
        <v/>
      </c>
      <c r="X90" s="154"/>
    </row>
    <row r="91" spans="1:24" ht="13.5" hidden="1" thickBot="1" x14ac:dyDescent="0.25">
      <c r="A91" s="149"/>
      <c r="B91" s="181"/>
      <c r="C91" s="151"/>
      <c r="D91" s="148"/>
      <c r="E91" s="152"/>
      <c r="F91" s="153"/>
      <c r="G91" s="151"/>
      <c r="H91" s="148"/>
      <c r="I91" s="152"/>
      <c r="J91" s="153"/>
      <c r="K91" s="151"/>
      <c r="L91" s="148"/>
      <c r="M91" s="152"/>
      <c r="N91" s="153"/>
      <c r="O91" s="151"/>
      <c r="P91" s="148"/>
      <c r="Q91" s="152"/>
      <c r="R91" s="153"/>
      <c r="S91" s="151"/>
      <c r="T91" s="148"/>
      <c r="U91" s="152"/>
      <c r="V91" s="153"/>
      <c r="W91" s="278" t="str">
        <f t="shared" si="7"/>
        <v/>
      </c>
      <c r="X91" s="154"/>
    </row>
    <row r="92" spans="1:24" ht="13.5" hidden="1" thickBot="1" x14ac:dyDescent="0.25">
      <c r="A92" s="197"/>
      <c r="B92" s="155"/>
      <c r="C92" s="151"/>
      <c r="D92" s="148"/>
      <c r="E92" s="152"/>
      <c r="F92" s="153"/>
      <c r="G92" s="151"/>
      <c r="H92" s="148"/>
      <c r="I92" s="152"/>
      <c r="J92" s="153"/>
      <c r="K92" s="151"/>
      <c r="L92" s="148"/>
      <c r="M92" s="152"/>
      <c r="N92" s="153"/>
      <c r="O92" s="151"/>
      <c r="P92" s="148"/>
      <c r="Q92" s="152"/>
      <c r="R92" s="153"/>
      <c r="S92" s="151"/>
      <c r="T92" s="148"/>
      <c r="U92" s="152"/>
      <c r="V92" s="153"/>
      <c r="W92" s="278" t="str">
        <f t="shared" si="7"/>
        <v/>
      </c>
      <c r="X92" s="154"/>
    </row>
    <row r="93" spans="1:24" ht="13.5" hidden="1" thickBot="1" x14ac:dyDescent="0.25">
      <c r="A93" s="197"/>
      <c r="B93" s="155"/>
      <c r="C93" s="151"/>
      <c r="D93" s="148"/>
      <c r="E93" s="152"/>
      <c r="F93" s="153"/>
      <c r="G93" s="151"/>
      <c r="H93" s="148"/>
      <c r="I93" s="152"/>
      <c r="J93" s="153"/>
      <c r="K93" s="151"/>
      <c r="L93" s="148"/>
      <c r="M93" s="152"/>
      <c r="N93" s="153"/>
      <c r="O93" s="151"/>
      <c r="P93" s="148"/>
      <c r="Q93" s="152"/>
      <c r="R93" s="153"/>
      <c r="S93" s="151"/>
      <c r="T93" s="148"/>
      <c r="U93" s="152"/>
      <c r="V93" s="153"/>
      <c r="W93" s="278" t="str">
        <f t="shared" si="7"/>
        <v/>
      </c>
      <c r="X93" s="154"/>
    </row>
    <row r="94" spans="1:24" ht="13.5" hidden="1" thickBot="1" x14ac:dyDescent="0.25">
      <c r="A94" s="206"/>
      <c r="B94" s="211"/>
      <c r="C94" s="207"/>
      <c r="D94" s="198"/>
      <c r="E94" s="208"/>
      <c r="F94" s="209"/>
      <c r="G94" s="207"/>
      <c r="H94" s="198"/>
      <c r="I94" s="208"/>
      <c r="J94" s="209"/>
      <c r="K94" s="207"/>
      <c r="L94" s="198"/>
      <c r="M94" s="208"/>
      <c r="N94" s="209"/>
      <c r="O94" s="207"/>
      <c r="P94" s="198"/>
      <c r="Q94" s="208"/>
      <c r="R94" s="209"/>
      <c r="S94" s="207"/>
      <c r="T94" s="198"/>
      <c r="U94" s="208"/>
      <c r="V94" s="209"/>
      <c r="W94" s="278" t="str">
        <f t="shared" si="7"/>
        <v/>
      </c>
      <c r="X94" s="210"/>
    </row>
    <row r="95" spans="1:24" ht="13.5" hidden="1" thickBot="1" x14ac:dyDescent="0.25">
      <c r="A95" s="206"/>
      <c r="B95" s="211"/>
      <c r="C95" s="207"/>
      <c r="D95" s="198"/>
      <c r="E95" s="208"/>
      <c r="F95" s="209"/>
      <c r="G95" s="207"/>
      <c r="H95" s="198"/>
      <c r="I95" s="208"/>
      <c r="J95" s="209"/>
      <c r="K95" s="207"/>
      <c r="L95" s="198"/>
      <c r="M95" s="208"/>
      <c r="N95" s="209"/>
      <c r="O95" s="207"/>
      <c r="P95" s="198"/>
      <c r="Q95" s="208"/>
      <c r="R95" s="209"/>
      <c r="S95" s="207"/>
      <c r="T95" s="198"/>
      <c r="U95" s="208"/>
      <c r="V95" s="209"/>
      <c r="W95" s="278" t="str">
        <f t="shared" si="7"/>
        <v/>
      </c>
      <c r="X95" s="210"/>
    </row>
    <row r="96" spans="1:24" ht="13.5" hidden="1" thickBot="1" x14ac:dyDescent="0.25">
      <c r="A96" s="206"/>
      <c r="B96" s="212"/>
      <c r="C96" s="207"/>
      <c r="D96" s="198"/>
      <c r="E96" s="208"/>
      <c r="F96" s="209"/>
      <c r="G96" s="207"/>
      <c r="H96" s="198"/>
      <c r="I96" s="208"/>
      <c r="J96" s="209"/>
      <c r="K96" s="207"/>
      <c r="L96" s="198"/>
      <c r="M96" s="208"/>
      <c r="N96" s="209"/>
      <c r="O96" s="207"/>
      <c r="P96" s="198"/>
      <c r="Q96" s="208"/>
      <c r="R96" s="209"/>
      <c r="S96" s="207"/>
      <c r="T96" s="198"/>
      <c r="U96" s="208"/>
      <c r="V96" s="209"/>
      <c r="W96" s="278" t="str">
        <f t="shared" si="7"/>
        <v/>
      </c>
      <c r="X96" s="210"/>
    </row>
    <row r="97" spans="1:28" ht="13.5" hidden="1" thickBot="1" x14ac:dyDescent="0.25">
      <c r="A97" s="206"/>
      <c r="B97" s="218"/>
      <c r="C97" s="207"/>
      <c r="D97" s="198"/>
      <c r="E97" s="208"/>
      <c r="F97" s="209"/>
      <c r="G97" s="207"/>
      <c r="H97" s="198"/>
      <c r="I97" s="208"/>
      <c r="J97" s="209"/>
      <c r="K97" s="207"/>
      <c r="L97" s="198"/>
      <c r="M97" s="208"/>
      <c r="N97" s="209"/>
      <c r="O97" s="207"/>
      <c r="P97" s="198"/>
      <c r="Q97" s="208"/>
      <c r="R97" s="209"/>
      <c r="S97" s="207"/>
      <c r="T97" s="198"/>
      <c r="U97" s="208"/>
      <c r="V97" s="209"/>
      <c r="W97" s="278" t="str">
        <f t="shared" si="7"/>
        <v/>
      </c>
      <c r="X97" s="210"/>
    </row>
    <row r="98" spans="1:28" ht="13.5" hidden="1" thickBot="1" x14ac:dyDescent="0.25">
      <c r="A98" s="149"/>
      <c r="B98" s="195"/>
      <c r="C98" s="151"/>
      <c r="D98" s="148"/>
      <c r="E98" s="152"/>
      <c r="F98" s="153"/>
      <c r="G98" s="151"/>
      <c r="H98" s="148"/>
      <c r="I98" s="152"/>
      <c r="J98" s="153"/>
      <c r="K98" s="151"/>
      <c r="L98" s="148"/>
      <c r="M98" s="152"/>
      <c r="N98" s="153"/>
      <c r="O98" s="151"/>
      <c r="P98" s="148"/>
      <c r="Q98" s="152"/>
      <c r="R98" s="153"/>
      <c r="S98" s="151"/>
      <c r="T98" s="148"/>
      <c r="U98" s="152"/>
      <c r="V98" s="153"/>
      <c r="W98" s="278" t="str">
        <f t="shared" si="7"/>
        <v/>
      </c>
      <c r="X98" s="154"/>
    </row>
    <row r="99" spans="1:28" ht="13.5" hidden="1" thickBot="1" x14ac:dyDescent="0.25">
      <c r="A99" s="149"/>
      <c r="B99" s="181"/>
      <c r="C99" s="151"/>
      <c r="D99" s="148"/>
      <c r="E99" s="152"/>
      <c r="F99" s="153"/>
      <c r="G99" s="151"/>
      <c r="H99" s="148"/>
      <c r="I99" s="152"/>
      <c r="J99" s="153"/>
      <c r="K99" s="151"/>
      <c r="L99" s="148"/>
      <c r="M99" s="152"/>
      <c r="N99" s="153"/>
      <c r="O99" s="151"/>
      <c r="P99" s="148"/>
      <c r="Q99" s="152"/>
      <c r="R99" s="153"/>
      <c r="S99" s="151"/>
      <c r="T99" s="148"/>
      <c r="U99" s="152"/>
      <c r="V99" s="153"/>
      <c r="W99" s="278" t="str">
        <f t="shared" si="7"/>
        <v/>
      </c>
      <c r="X99" s="154"/>
    </row>
    <row r="100" spans="1:28" ht="13.5" hidden="1" thickBot="1" x14ac:dyDescent="0.25">
      <c r="A100" s="197"/>
      <c r="B100" s="155"/>
      <c r="C100" s="151"/>
      <c r="D100" s="148"/>
      <c r="E100" s="152"/>
      <c r="F100" s="153"/>
      <c r="G100" s="151"/>
      <c r="H100" s="148"/>
      <c r="I100" s="152"/>
      <c r="J100" s="153"/>
      <c r="K100" s="151"/>
      <c r="L100" s="148"/>
      <c r="M100" s="152"/>
      <c r="N100" s="153"/>
      <c r="O100" s="151"/>
      <c r="P100" s="148"/>
      <c r="Q100" s="152"/>
      <c r="R100" s="153"/>
      <c r="S100" s="151"/>
      <c r="T100" s="148"/>
      <c r="U100" s="152"/>
      <c r="V100" s="153"/>
      <c r="W100" s="278" t="str">
        <f t="shared" si="7"/>
        <v/>
      </c>
      <c r="X100" s="154"/>
    </row>
    <row r="101" spans="1:28" ht="13.5" hidden="1" thickBot="1" x14ac:dyDescent="0.25">
      <c r="A101" s="199"/>
      <c r="B101" s="200"/>
      <c r="C101" s="201"/>
      <c r="D101" s="158"/>
      <c r="E101" s="202"/>
      <c r="F101" s="203"/>
      <c r="G101" s="201"/>
      <c r="H101" s="158"/>
      <c r="I101" s="202"/>
      <c r="J101" s="203"/>
      <c r="K101" s="201"/>
      <c r="L101" s="158"/>
      <c r="M101" s="202"/>
      <c r="N101" s="203"/>
      <c r="O101" s="201"/>
      <c r="P101" s="158"/>
      <c r="Q101" s="202"/>
      <c r="R101" s="203"/>
      <c r="S101" s="201"/>
      <c r="T101" s="158"/>
      <c r="U101" s="202"/>
      <c r="V101" s="203"/>
      <c r="W101" s="279" t="str">
        <f t="shared" si="7"/>
        <v/>
      </c>
      <c r="X101" s="176"/>
    </row>
    <row r="102" spans="1:28" ht="13.5" thickBot="1" x14ac:dyDescent="0.25">
      <c r="A102" s="648"/>
      <c r="B102" s="642" t="s">
        <v>844</v>
      </c>
      <c r="C102" s="606"/>
      <c r="D102" s="606"/>
      <c r="E102" s="606"/>
      <c r="F102" s="606"/>
      <c r="G102" s="606"/>
      <c r="H102" s="606"/>
      <c r="I102" s="606"/>
      <c r="J102" s="606"/>
      <c r="K102" s="606"/>
      <c r="L102" s="606"/>
      <c r="M102" s="606"/>
      <c r="N102" s="606"/>
      <c r="O102" s="606"/>
      <c r="P102" s="606"/>
      <c r="Q102" s="606"/>
      <c r="R102" s="606"/>
      <c r="S102" s="606"/>
      <c r="T102" s="606"/>
      <c r="U102" s="606"/>
      <c r="V102" s="606"/>
      <c r="W102" s="683"/>
      <c r="X102" s="643"/>
      <c r="Y102" s="157"/>
      <c r="Z102" s="682"/>
      <c r="AA102" s="682" t="s">
        <v>181</v>
      </c>
      <c r="AB102" s="682" t="s">
        <v>182</v>
      </c>
    </row>
    <row r="103" spans="1:28" x14ac:dyDescent="0.2">
      <c r="A103" s="628">
        <v>1</v>
      </c>
      <c r="B103" s="749" t="s">
        <v>245</v>
      </c>
      <c r="C103" s="630">
        <v>5</v>
      </c>
      <c r="D103" s="631">
        <v>0</v>
      </c>
      <c r="E103" s="631">
        <v>0</v>
      </c>
      <c r="F103" s="746">
        <v>0</v>
      </c>
      <c r="G103" s="750">
        <v>0</v>
      </c>
      <c r="H103" s="631">
        <v>3</v>
      </c>
      <c r="I103" s="631">
        <v>3</v>
      </c>
      <c r="J103" s="632">
        <v>3</v>
      </c>
      <c r="K103" s="630">
        <v>0</v>
      </c>
      <c r="L103" s="631">
        <v>1</v>
      </c>
      <c r="M103" s="631">
        <v>0</v>
      </c>
      <c r="N103" s="746">
        <v>0</v>
      </c>
      <c r="O103" s="750">
        <v>0</v>
      </c>
      <c r="P103" s="631">
        <v>0</v>
      </c>
      <c r="Q103" s="631">
        <v>0</v>
      </c>
      <c r="R103" s="632">
        <v>0</v>
      </c>
      <c r="S103" s="630">
        <v>0</v>
      </c>
      <c r="T103" s="631">
        <v>5</v>
      </c>
      <c r="U103" s="631">
        <v>5</v>
      </c>
      <c r="V103" s="746">
        <v>5</v>
      </c>
      <c r="W103" s="751">
        <f t="shared" si="7"/>
        <v>30.040299999999998</v>
      </c>
      <c r="X103" s="634" t="str">
        <f>IF(ISBLANK(C103),"",IF(W103=W104,"edasi "&amp;RANK(W103,$AB$103:$AB$110),(IF(RANK(Z103,$Z$103:$Z$104)&lt;2,"edasi "&amp;RANK(W103,$AB$103:$AB$110),RANK(W103,$AA$103:$AA$110)+4))))</f>
        <v>edasi 3</v>
      </c>
      <c r="Z103" s="166">
        <f>IF(COUNTA(C103:V103)=0,100,W103+IF(RANK(W103,$W$103:$W$104)=1,100,0))</f>
        <v>130.0403</v>
      </c>
      <c r="AA103" s="165">
        <f>MIN(W103:W104)</f>
        <v>20.020299999999999</v>
      </c>
      <c r="AB103" s="165">
        <f>MAX(W103:W104)</f>
        <v>30.040299999999998</v>
      </c>
    </row>
    <row r="104" spans="1:28" x14ac:dyDescent="0.2">
      <c r="A104" s="218">
        <v>8</v>
      </c>
      <c r="B104" s="734" t="s">
        <v>49</v>
      </c>
      <c r="C104" s="219">
        <v>0</v>
      </c>
      <c r="D104" s="220">
        <v>3</v>
      </c>
      <c r="E104" s="220">
        <v>3</v>
      </c>
      <c r="F104" s="747">
        <v>0</v>
      </c>
      <c r="G104" s="740">
        <v>0</v>
      </c>
      <c r="H104" s="220">
        <v>0</v>
      </c>
      <c r="I104" s="220">
        <v>0</v>
      </c>
      <c r="J104" s="221">
        <v>0</v>
      </c>
      <c r="K104" s="219">
        <v>3</v>
      </c>
      <c r="L104" s="220">
        <v>1</v>
      </c>
      <c r="M104" s="220">
        <v>0</v>
      </c>
      <c r="N104" s="747">
        <v>0</v>
      </c>
      <c r="O104" s="740">
        <v>0</v>
      </c>
      <c r="P104" s="220">
        <v>0</v>
      </c>
      <c r="Q104" s="220">
        <v>0</v>
      </c>
      <c r="R104" s="221">
        <v>0</v>
      </c>
      <c r="S104" s="219">
        <v>5</v>
      </c>
      <c r="T104" s="220">
        <v>5</v>
      </c>
      <c r="U104" s="220">
        <v>0</v>
      </c>
      <c r="V104" s="747">
        <v>0</v>
      </c>
      <c r="W104" s="743">
        <f t="shared" si="7"/>
        <v>20.020299999999999</v>
      </c>
      <c r="X104" s="222">
        <f>IF(ISBLANK(C104),"",IF(RANK(Z104,$Z$103:$Z$104)&lt;2,"edasi "&amp;RANK(W104,$AB$103:$AB$110),RANK(W104,$AA$103:$AA$110)+4))</f>
        <v>5</v>
      </c>
      <c r="Y104" s="157"/>
      <c r="Z104" s="167">
        <f>IF(COUNTA(C104:V104)=0,0,W104+IF(RANK(W104,$W$103:$W$104)=1,100,0))</f>
        <v>20.020299999999999</v>
      </c>
      <c r="AA104" s="165"/>
      <c r="AB104" s="165"/>
    </row>
    <row r="105" spans="1:28" x14ac:dyDescent="0.2">
      <c r="A105" s="159">
        <v>4</v>
      </c>
      <c r="B105" s="735" t="s">
        <v>52</v>
      </c>
      <c r="C105" s="160">
        <v>0</v>
      </c>
      <c r="D105" s="161">
        <v>0</v>
      </c>
      <c r="E105" s="161">
        <v>0</v>
      </c>
      <c r="F105" s="585">
        <v>3</v>
      </c>
      <c r="G105" s="741">
        <v>0</v>
      </c>
      <c r="H105" s="161">
        <v>0</v>
      </c>
      <c r="I105" s="161">
        <v>0</v>
      </c>
      <c r="J105" s="162">
        <v>0</v>
      </c>
      <c r="K105" s="160">
        <v>0</v>
      </c>
      <c r="L105" s="161">
        <v>1</v>
      </c>
      <c r="M105" s="161">
        <v>0</v>
      </c>
      <c r="N105" s="585">
        <v>1</v>
      </c>
      <c r="O105" s="741">
        <v>0</v>
      </c>
      <c r="P105" s="161">
        <v>3</v>
      </c>
      <c r="Q105" s="161">
        <v>0</v>
      </c>
      <c r="R105" s="162">
        <v>3</v>
      </c>
      <c r="S105" s="160">
        <v>0</v>
      </c>
      <c r="T105" s="161">
        <v>3</v>
      </c>
      <c r="U105" s="161">
        <v>5</v>
      </c>
      <c r="V105" s="585">
        <v>0</v>
      </c>
      <c r="W105" s="743">
        <f t="shared" si="7"/>
        <v>19.010400000000001</v>
      </c>
      <c r="X105" s="163">
        <f>IF(ISBLANK(C105),"",IF(RANK(Z105,$Z$105:$Z$106)&lt;2,"edasi "&amp;RANK(W105,$AB$103:$AB$110),RANK(W105,$AA$103:$AA$110)+4))</f>
        <v>6</v>
      </c>
      <c r="Y105" s="157"/>
      <c r="Z105" s="166">
        <f>IF(COUNTA(C105:V105)=0,100,W105+IF(RANK(W105,$W$105:$W$106)=1,100,0))</f>
        <v>19.010400000000001</v>
      </c>
      <c r="AA105" s="165">
        <f>MIN(W105:W106)</f>
        <v>19.010400000000001</v>
      </c>
      <c r="AB105" s="165">
        <f>MAX(W105:W106)</f>
        <v>38.040500000000002</v>
      </c>
    </row>
    <row r="106" spans="1:28" x14ac:dyDescent="0.2">
      <c r="A106" s="159">
        <v>5</v>
      </c>
      <c r="B106" s="736" t="s">
        <v>194</v>
      </c>
      <c r="C106" s="160">
        <v>5</v>
      </c>
      <c r="D106" s="161">
        <v>5</v>
      </c>
      <c r="E106" s="161">
        <v>5</v>
      </c>
      <c r="F106" s="585">
        <v>3</v>
      </c>
      <c r="G106" s="741">
        <v>3</v>
      </c>
      <c r="H106" s="161">
        <v>0</v>
      </c>
      <c r="I106" s="161">
        <v>0</v>
      </c>
      <c r="J106" s="162">
        <v>3</v>
      </c>
      <c r="K106" s="160">
        <v>1</v>
      </c>
      <c r="L106" s="161">
        <v>1</v>
      </c>
      <c r="M106" s="161">
        <v>0</v>
      </c>
      <c r="N106" s="585">
        <v>1</v>
      </c>
      <c r="O106" s="741">
        <v>0</v>
      </c>
      <c r="P106" s="161">
        <v>0</v>
      </c>
      <c r="Q106" s="161">
        <v>0</v>
      </c>
      <c r="R106" s="162">
        <v>0</v>
      </c>
      <c r="S106" s="160">
        <v>3</v>
      </c>
      <c r="T106" s="161">
        <v>3</v>
      </c>
      <c r="U106" s="161">
        <v>5</v>
      </c>
      <c r="V106" s="585">
        <v>0</v>
      </c>
      <c r="W106" s="743">
        <f t="shared" si="7"/>
        <v>38.040500000000002</v>
      </c>
      <c r="X106" s="163" t="str">
        <f>IF(ISBLANK(C106),"",IF(RANK(Z106,$Z$105:$Z$106)&lt;2,"edasi "&amp;RANK(W106,$AB$103:$AB$110),RANK(W106,$AA$103:$AA$110)+4))</f>
        <v>edasi 1</v>
      </c>
      <c r="Z106" s="167">
        <f>IF(COUNTA(C106:V106)=0,0,W106+IF(RANK(W106,$W$105:$W$106)=1,100,0))</f>
        <v>138.04050000000001</v>
      </c>
      <c r="AA106" s="165"/>
      <c r="AB106" s="165"/>
    </row>
    <row r="107" spans="1:28" x14ac:dyDescent="0.2">
      <c r="A107" s="218">
        <v>3</v>
      </c>
      <c r="B107" s="737" t="s">
        <v>22</v>
      </c>
      <c r="C107" s="219">
        <v>0</v>
      </c>
      <c r="D107" s="220">
        <v>0</v>
      </c>
      <c r="E107" s="220">
        <v>0</v>
      </c>
      <c r="F107" s="747">
        <v>0</v>
      </c>
      <c r="G107" s="740">
        <v>3</v>
      </c>
      <c r="H107" s="220">
        <v>3</v>
      </c>
      <c r="I107" s="220">
        <v>0</v>
      </c>
      <c r="J107" s="221">
        <v>3</v>
      </c>
      <c r="K107" s="219">
        <v>0</v>
      </c>
      <c r="L107" s="220">
        <v>0</v>
      </c>
      <c r="M107" s="220">
        <v>1</v>
      </c>
      <c r="N107" s="747">
        <v>0</v>
      </c>
      <c r="O107" s="740">
        <v>3</v>
      </c>
      <c r="P107" s="220">
        <v>0</v>
      </c>
      <c r="Q107" s="220">
        <v>0</v>
      </c>
      <c r="R107" s="221">
        <v>0</v>
      </c>
      <c r="S107" s="219">
        <v>0</v>
      </c>
      <c r="T107" s="220">
        <v>0</v>
      </c>
      <c r="U107" s="220">
        <v>0</v>
      </c>
      <c r="V107" s="747">
        <v>0</v>
      </c>
      <c r="W107" s="743">
        <f t="shared" si="7"/>
        <v>13.000400000000001</v>
      </c>
      <c r="X107" s="222">
        <f>IF(ISBLANK(C107),"",IF(RANK(Z107,$Z$107:$Z$108)&lt;2,"edasi "&amp;RANK(W107,$AB$103:$AB$110),RANK(W107,$AA$103:$AA$110)+4))</f>
        <v>7</v>
      </c>
      <c r="Z107" s="166">
        <f>IF(COUNTA(C107:V107)=0,100,W107+IF(RANK(W107,$W$107:$W$108)=1,100,0))</f>
        <v>13.000400000000001</v>
      </c>
      <c r="AA107" s="165">
        <f>MIN(W107:W108)</f>
        <v>13.000400000000001</v>
      </c>
      <c r="AB107" s="165">
        <f>MAX(W107:W108)</f>
        <v>23.020299999999999</v>
      </c>
    </row>
    <row r="108" spans="1:28" x14ac:dyDescent="0.2">
      <c r="A108" s="218">
        <v>6</v>
      </c>
      <c r="B108" s="737" t="s">
        <v>53</v>
      </c>
      <c r="C108" s="219">
        <v>0</v>
      </c>
      <c r="D108" s="220">
        <v>3</v>
      </c>
      <c r="E108" s="220">
        <v>3</v>
      </c>
      <c r="F108" s="747">
        <v>0</v>
      </c>
      <c r="G108" s="740">
        <v>0</v>
      </c>
      <c r="H108" s="220">
        <v>0</v>
      </c>
      <c r="I108" s="220">
        <v>0</v>
      </c>
      <c r="J108" s="752">
        <v>0</v>
      </c>
      <c r="K108" s="219">
        <v>1</v>
      </c>
      <c r="L108" s="220">
        <v>1</v>
      </c>
      <c r="M108" s="220">
        <v>0</v>
      </c>
      <c r="N108" s="747">
        <v>3</v>
      </c>
      <c r="O108" s="740">
        <v>1</v>
      </c>
      <c r="P108" s="220">
        <v>0</v>
      </c>
      <c r="Q108" s="220">
        <v>0</v>
      </c>
      <c r="R108" s="221">
        <v>1</v>
      </c>
      <c r="S108" s="219">
        <v>5</v>
      </c>
      <c r="T108" s="220">
        <v>0</v>
      </c>
      <c r="U108" s="220">
        <v>0</v>
      </c>
      <c r="V108" s="747">
        <v>5</v>
      </c>
      <c r="W108" s="743">
        <f t="shared" si="7"/>
        <v>23.020299999999999</v>
      </c>
      <c r="X108" s="222" t="str">
        <f>IF(ISBLANK(C108),"",IF(RANK(Z108,$Z$107:$Z$108)&lt;2,"edasi "&amp;RANK(W108,$AB$103:$AB$110),RANK(W108,$AA$103:$AA$110)+4))</f>
        <v>edasi 4</v>
      </c>
      <c r="Z108" s="167">
        <f>IF(COUNTA(C108:V108)=0,0,W108+IF(RANK(W108,$W$107:$W$108)=1,100,0))</f>
        <v>123.02029999999999</v>
      </c>
      <c r="AA108" s="165"/>
      <c r="AB108" s="165"/>
    </row>
    <row r="109" spans="1:28" x14ac:dyDescent="0.2">
      <c r="A109" s="159">
        <v>2</v>
      </c>
      <c r="B109" s="738" t="s">
        <v>27</v>
      </c>
      <c r="C109" s="160">
        <v>3</v>
      </c>
      <c r="D109" s="161">
        <v>3</v>
      </c>
      <c r="E109" s="161">
        <v>3</v>
      </c>
      <c r="F109" s="585">
        <v>3</v>
      </c>
      <c r="G109" s="741">
        <v>0</v>
      </c>
      <c r="H109" s="161">
        <v>3</v>
      </c>
      <c r="I109" s="162">
        <v>0</v>
      </c>
      <c r="J109" s="585">
        <v>5</v>
      </c>
      <c r="K109" s="160">
        <v>1</v>
      </c>
      <c r="L109" s="161">
        <v>3</v>
      </c>
      <c r="M109" s="161">
        <v>0</v>
      </c>
      <c r="N109" s="585">
        <v>0</v>
      </c>
      <c r="O109" s="741">
        <v>0</v>
      </c>
      <c r="P109" s="161">
        <v>0</v>
      </c>
      <c r="Q109" s="161">
        <v>0</v>
      </c>
      <c r="R109" s="162">
        <v>0</v>
      </c>
      <c r="S109" s="160">
        <v>3</v>
      </c>
      <c r="T109" s="161">
        <v>5</v>
      </c>
      <c r="U109" s="161">
        <v>0</v>
      </c>
      <c r="V109" s="585">
        <v>0</v>
      </c>
      <c r="W109" s="743">
        <f t="shared" si="7"/>
        <v>32.020700000000005</v>
      </c>
      <c r="X109" s="163" t="str">
        <f>IF(ISBLANK(C109),"",IF(RANK(Z109,$Z$109:$Z$110)&lt;2,"edasi "&amp;RANK(W109,$AB$103:$AB$110),RANK(W109,$AA$103:$AA$110)+4))</f>
        <v>edasi 2</v>
      </c>
      <c r="Z109" s="166">
        <f>IF(COUNTA(C109:V109)=0,100,W109+IF(RANK(W109,$W$109:$W$110)=1,100,0))</f>
        <v>132.02070000000001</v>
      </c>
      <c r="AA109" s="165">
        <f>MIN(W109:W110)</f>
        <v>12.010199999999999</v>
      </c>
      <c r="AB109" s="165">
        <f>MAX(W109:W110)</f>
        <v>32.020700000000005</v>
      </c>
    </row>
    <row r="110" spans="1:28" ht="13.5" thickBot="1" x14ac:dyDescent="0.25">
      <c r="A110" s="171">
        <v>7</v>
      </c>
      <c r="B110" s="739" t="s">
        <v>227</v>
      </c>
      <c r="C110" s="173">
        <v>0</v>
      </c>
      <c r="D110" s="174">
        <v>0</v>
      </c>
      <c r="E110" s="174">
        <v>3</v>
      </c>
      <c r="F110" s="748">
        <v>0</v>
      </c>
      <c r="G110" s="742">
        <v>0</v>
      </c>
      <c r="H110" s="174">
        <v>0</v>
      </c>
      <c r="I110" s="174">
        <v>0</v>
      </c>
      <c r="J110" s="753">
        <v>1</v>
      </c>
      <c r="K110" s="173">
        <v>0</v>
      </c>
      <c r="L110" s="174">
        <v>5</v>
      </c>
      <c r="M110" s="174">
        <v>0</v>
      </c>
      <c r="N110" s="748">
        <v>0</v>
      </c>
      <c r="O110" s="742">
        <v>0</v>
      </c>
      <c r="P110" s="174">
        <v>3</v>
      </c>
      <c r="Q110" s="174">
        <v>0</v>
      </c>
      <c r="R110" s="175">
        <v>0</v>
      </c>
      <c r="S110" s="173">
        <v>0</v>
      </c>
      <c r="T110" s="174">
        <v>0</v>
      </c>
      <c r="U110" s="174">
        <v>0</v>
      </c>
      <c r="V110" s="748">
        <v>0</v>
      </c>
      <c r="W110" s="744">
        <f t="shared" si="7"/>
        <v>12.010199999999999</v>
      </c>
      <c r="X110" s="192">
        <f>IF(ISBLANK(C110),"",IF(RANK(Z110,$Z$109:$Z$110)&lt;2,"edasi "&amp;RANK(W110,$AB$103:$AB$110),RANK(W110,$AA$103:$AA$110)+4))</f>
        <v>8</v>
      </c>
      <c r="Z110" s="167">
        <f>IF(COUNTA(C110:V110)=0,0,W110+IF(RANK(W110,$W$109:$W$110)=1,100,0))</f>
        <v>12.010199999999999</v>
      </c>
      <c r="AA110" s="165"/>
      <c r="AB110" s="165"/>
    </row>
    <row r="111" spans="1:28" ht="13.5" thickBot="1" x14ac:dyDescent="0.25">
      <c r="A111" s="648"/>
      <c r="B111" s="642" t="s">
        <v>845</v>
      </c>
      <c r="C111" s="286"/>
      <c r="D111" s="286"/>
      <c r="E111" s="286"/>
      <c r="F111" s="286"/>
      <c r="G111" s="606"/>
      <c r="H111" s="606"/>
      <c r="I111" s="606"/>
      <c r="J111" s="606"/>
      <c r="K111" s="286"/>
      <c r="L111" s="286"/>
      <c r="M111" s="286"/>
      <c r="N111" s="286"/>
      <c r="O111" s="606"/>
      <c r="P111" s="606"/>
      <c r="Q111" s="606"/>
      <c r="R111" s="606"/>
      <c r="S111" s="286"/>
      <c r="T111" s="286"/>
      <c r="U111" s="286"/>
      <c r="V111" s="286"/>
      <c r="W111" s="683" t="str">
        <f t="shared" si="7"/>
        <v/>
      </c>
      <c r="X111" s="643"/>
      <c r="Y111" s="157"/>
      <c r="Z111" s="157"/>
      <c r="AA111" s="157"/>
      <c r="AB111" s="157"/>
    </row>
    <row r="112" spans="1:28" x14ac:dyDescent="0.2">
      <c r="A112" s="628">
        <v>1</v>
      </c>
      <c r="B112" s="754" t="s">
        <v>194</v>
      </c>
      <c r="C112" s="630">
        <v>5</v>
      </c>
      <c r="D112" s="631">
        <v>0</v>
      </c>
      <c r="E112" s="631">
        <v>3</v>
      </c>
      <c r="F112" s="746">
        <v>0</v>
      </c>
      <c r="G112" s="630">
        <v>5</v>
      </c>
      <c r="H112" s="750">
        <v>0</v>
      </c>
      <c r="I112" s="631">
        <v>0</v>
      </c>
      <c r="J112" s="632">
        <v>3</v>
      </c>
      <c r="K112" s="630">
        <v>1</v>
      </c>
      <c r="L112" s="631">
        <v>1</v>
      </c>
      <c r="M112" s="631">
        <v>0</v>
      </c>
      <c r="N112" s="632">
        <v>0</v>
      </c>
      <c r="O112" s="630">
        <v>0</v>
      </c>
      <c r="P112" s="631">
        <v>0</v>
      </c>
      <c r="Q112" s="631">
        <v>3</v>
      </c>
      <c r="R112" s="632">
        <v>1</v>
      </c>
      <c r="S112" s="630">
        <v>0</v>
      </c>
      <c r="T112" s="631">
        <v>0</v>
      </c>
      <c r="U112" s="636" t="s">
        <v>81</v>
      </c>
      <c r="V112" s="755" t="s">
        <v>81</v>
      </c>
      <c r="W112" s="751">
        <f t="shared" si="7"/>
        <v>22.020299999999999</v>
      </c>
      <c r="X112" s="634" t="str">
        <f>IF(COUNTA(C112:V112)=0,"",IF(W112=W113,"ümbervisk",IF(W112&gt;W113,"finaali "&amp;(IF(W112&lt;MAX(W114:W115),2,IF(W112=MAX(W114:W115),"",1))),"pronksi "&amp;(IF(W112&lt;MIN(W114:W115),2,IF(W112=MIN(W114:W115),"",1))))))</f>
        <v>finaali 2</v>
      </c>
    </row>
    <row r="113" spans="1:28" x14ac:dyDescent="0.2">
      <c r="A113" s="218">
        <v>4</v>
      </c>
      <c r="B113" s="734" t="s">
        <v>53</v>
      </c>
      <c r="C113" s="219">
        <v>3</v>
      </c>
      <c r="D113" s="220">
        <v>3</v>
      </c>
      <c r="E113" s="220">
        <v>0</v>
      </c>
      <c r="F113" s="747">
        <v>3</v>
      </c>
      <c r="G113" s="757">
        <v>0</v>
      </c>
      <c r="H113" s="220">
        <v>0</v>
      </c>
      <c r="I113" s="220">
        <v>0</v>
      </c>
      <c r="J113" s="221">
        <v>0</v>
      </c>
      <c r="K113" s="219">
        <v>0</v>
      </c>
      <c r="L113" s="220">
        <v>1</v>
      </c>
      <c r="M113" s="220">
        <v>1</v>
      </c>
      <c r="N113" s="221">
        <v>0</v>
      </c>
      <c r="O113" s="219">
        <v>0</v>
      </c>
      <c r="P113" s="220">
        <v>0</v>
      </c>
      <c r="Q113" s="220">
        <v>0</v>
      </c>
      <c r="R113" s="221">
        <v>1</v>
      </c>
      <c r="S113" s="219">
        <v>0</v>
      </c>
      <c r="T113" s="220">
        <v>0</v>
      </c>
      <c r="U113" s="220">
        <v>3</v>
      </c>
      <c r="V113" s="756" t="s">
        <v>81</v>
      </c>
      <c r="W113" s="743">
        <f t="shared" si="7"/>
        <v>15.000400000000001</v>
      </c>
      <c r="X113" s="222" t="str">
        <f>IF(COUNTA(C113:V113)=0,"",IF(W112=W113,"ümbervisk",IF(W113&gt;W112,"finaali "&amp;(IF(W113&lt;MAX(W114:W115),2,IF(W113=MAX(W114:W115),"",1))),"pronksi "&amp;(IF(W113&lt;MIN(W114:W115),2,IF(W113=MIN(W114:W115),"",1))))))</f>
        <v>pronksi 2</v>
      </c>
    </row>
    <row r="114" spans="1:28" x14ac:dyDescent="0.2">
      <c r="A114" s="159">
        <v>2</v>
      </c>
      <c r="B114" s="738" t="s">
        <v>27</v>
      </c>
      <c r="C114" s="160">
        <v>0</v>
      </c>
      <c r="D114" s="161">
        <v>3</v>
      </c>
      <c r="E114" s="161">
        <v>0</v>
      </c>
      <c r="F114" s="585">
        <v>0</v>
      </c>
      <c r="G114" s="741">
        <v>1</v>
      </c>
      <c r="H114" s="161">
        <v>0</v>
      </c>
      <c r="I114" s="161">
        <v>0</v>
      </c>
      <c r="J114" s="162">
        <v>3</v>
      </c>
      <c r="K114" s="160">
        <v>3</v>
      </c>
      <c r="L114" s="161">
        <v>3</v>
      </c>
      <c r="M114" s="161">
        <v>0</v>
      </c>
      <c r="N114" s="162">
        <v>1</v>
      </c>
      <c r="O114" s="160">
        <v>0</v>
      </c>
      <c r="P114" s="161">
        <v>3</v>
      </c>
      <c r="Q114" s="161">
        <v>0</v>
      </c>
      <c r="R114" s="162">
        <v>0</v>
      </c>
      <c r="S114" s="160">
        <v>5</v>
      </c>
      <c r="T114" s="587">
        <v>5</v>
      </c>
      <c r="U114" s="161">
        <v>0</v>
      </c>
      <c r="V114" s="585">
        <v>0</v>
      </c>
      <c r="W114" s="743">
        <f t="shared" si="7"/>
        <v>27.020499999999998</v>
      </c>
      <c r="X114" s="163" t="str">
        <f>IF(COUNTA(C114:V114)=0,"",IF(W114=W115,"ümbervisk",IF(W114&gt;W115,"finaali "&amp;(IF(W114&lt;MAX(W112:W113),2,IF(W114=MAX(W112:W113),"",1))),"pronksi "&amp;(IF(W114&lt;MIN(W112:W113),2,IF(W114=MIN(W112:W113),"",1))))))</f>
        <v>finaali 1</v>
      </c>
    </row>
    <row r="115" spans="1:28" ht="13.5" thickBot="1" x14ac:dyDescent="0.25">
      <c r="A115" s="171">
        <v>3</v>
      </c>
      <c r="B115" s="739" t="s">
        <v>245</v>
      </c>
      <c r="C115" s="173">
        <v>0</v>
      </c>
      <c r="D115" s="174">
        <v>3</v>
      </c>
      <c r="E115" s="174">
        <v>0</v>
      </c>
      <c r="F115" s="748">
        <v>0</v>
      </c>
      <c r="G115" s="742">
        <v>0</v>
      </c>
      <c r="H115" s="174">
        <v>3</v>
      </c>
      <c r="I115" s="174">
        <v>3</v>
      </c>
      <c r="J115" s="175">
        <v>0</v>
      </c>
      <c r="K115" s="173">
        <v>1</v>
      </c>
      <c r="L115" s="174">
        <v>0</v>
      </c>
      <c r="M115" s="174">
        <v>0</v>
      </c>
      <c r="N115" s="175">
        <v>0</v>
      </c>
      <c r="O115" s="173">
        <v>1</v>
      </c>
      <c r="P115" s="174">
        <v>0</v>
      </c>
      <c r="Q115" s="174">
        <v>0</v>
      </c>
      <c r="R115" s="175">
        <v>0</v>
      </c>
      <c r="S115" s="173">
        <v>5</v>
      </c>
      <c r="T115" s="174">
        <v>0</v>
      </c>
      <c r="U115" s="174">
        <v>0</v>
      </c>
      <c r="V115" s="748">
        <v>0</v>
      </c>
      <c r="W115" s="744">
        <f t="shared" si="7"/>
        <v>16.010300000000001</v>
      </c>
      <c r="X115" s="192" t="str">
        <f>IF(COUNTA(C115:V115)=0,"",IF(W114=W115,"ümbervisk",IF(W115&gt;W114,"finaali "&amp;(IF(W115&lt;MAX(W112:W113),2,IF(W115=MAX(W112:W113),"",1))),"pronksi "&amp;(IF(W115&lt;MIN(W112:W113),2,IF(W115=MIN(W112:W113),"",1))))))</f>
        <v>pronksi 1</v>
      </c>
    </row>
    <row r="116" spans="1:28" ht="13.5" thickBot="1" x14ac:dyDescent="0.25">
      <c r="A116" s="284"/>
      <c r="B116" s="642" t="s">
        <v>847</v>
      </c>
      <c r="C116" s="286"/>
      <c r="D116" s="286"/>
      <c r="E116" s="286"/>
      <c r="F116" s="286"/>
      <c r="G116" s="286"/>
      <c r="H116" s="286"/>
      <c r="I116" s="286"/>
      <c r="J116" s="286"/>
      <c r="K116" s="286"/>
      <c r="L116" s="286"/>
      <c r="M116" s="286"/>
      <c r="N116" s="286"/>
      <c r="O116" s="286"/>
      <c r="P116" s="286"/>
      <c r="Q116" s="286"/>
      <c r="R116" s="286"/>
      <c r="S116" s="286"/>
      <c r="T116" s="286"/>
      <c r="U116" s="286"/>
      <c r="V116" s="286"/>
      <c r="W116" s="287" t="str">
        <f t="shared" si="7"/>
        <v/>
      </c>
      <c r="X116" s="156"/>
      <c r="Y116" s="157"/>
    </row>
    <row r="117" spans="1:28" x14ac:dyDescent="0.2">
      <c r="A117" s="189">
        <v>1</v>
      </c>
      <c r="B117" s="638" t="s">
        <v>245</v>
      </c>
      <c r="C117" s="144">
        <v>0</v>
      </c>
      <c r="D117" s="145">
        <v>0</v>
      </c>
      <c r="E117" s="145">
        <v>0</v>
      </c>
      <c r="F117" s="146">
        <v>3</v>
      </c>
      <c r="G117" s="144">
        <v>0</v>
      </c>
      <c r="H117" s="145">
        <v>3</v>
      </c>
      <c r="I117" s="145">
        <v>0</v>
      </c>
      <c r="J117" s="146">
        <v>3</v>
      </c>
      <c r="K117" s="144">
        <v>1</v>
      </c>
      <c r="L117" s="145">
        <v>0</v>
      </c>
      <c r="M117" s="145">
        <v>0</v>
      </c>
      <c r="N117" s="758">
        <v>0</v>
      </c>
      <c r="O117" s="144">
        <v>0</v>
      </c>
      <c r="P117" s="145">
        <v>0</v>
      </c>
      <c r="Q117" s="145">
        <v>0</v>
      </c>
      <c r="R117" s="146">
        <v>0</v>
      </c>
      <c r="S117" s="144">
        <v>3</v>
      </c>
      <c r="T117" s="145">
        <v>0</v>
      </c>
      <c r="U117" s="145">
        <v>5</v>
      </c>
      <c r="V117" s="758">
        <v>3</v>
      </c>
      <c r="W117" s="281">
        <f t="shared" si="7"/>
        <v>21.0105</v>
      </c>
      <c r="X117" s="236">
        <f ca="1">IF( INDIRECT("RC[-1]",0)=MAX(( INDIRECT("R[-1]C[-1]",0)):( INDIRECT("R[1]C[-1]",0))),3,4)</f>
        <v>4</v>
      </c>
    </row>
    <row r="118" spans="1:28" ht="13.5" thickBot="1" x14ac:dyDescent="0.25">
      <c r="A118" s="171">
        <v>2</v>
      </c>
      <c r="B118" s="191" t="s">
        <v>53</v>
      </c>
      <c r="C118" s="173">
        <v>3</v>
      </c>
      <c r="D118" s="174">
        <v>3</v>
      </c>
      <c r="E118" s="174">
        <v>3</v>
      </c>
      <c r="F118" s="175">
        <v>0</v>
      </c>
      <c r="G118" s="173">
        <v>0</v>
      </c>
      <c r="H118" s="174">
        <v>0</v>
      </c>
      <c r="I118" s="174">
        <v>0</v>
      </c>
      <c r="J118" s="193">
        <v>0</v>
      </c>
      <c r="K118" s="173">
        <v>1</v>
      </c>
      <c r="L118" s="174">
        <v>5</v>
      </c>
      <c r="M118" s="174">
        <v>5</v>
      </c>
      <c r="N118" s="748">
        <v>1</v>
      </c>
      <c r="O118" s="173">
        <v>0</v>
      </c>
      <c r="P118" s="174">
        <v>0</v>
      </c>
      <c r="Q118" s="174">
        <v>0</v>
      </c>
      <c r="R118" s="175">
        <v>0</v>
      </c>
      <c r="S118" s="173">
        <v>0</v>
      </c>
      <c r="T118" s="174">
        <v>5</v>
      </c>
      <c r="U118" s="174">
        <v>3</v>
      </c>
      <c r="V118" s="748">
        <v>0</v>
      </c>
      <c r="W118" s="279">
        <f t="shared" si="7"/>
        <v>29.0304</v>
      </c>
      <c r="X118" s="177">
        <f ca="1">IF( INDIRECT("RC[-1]",0)=MAX(( INDIRECT("R[-1]C[-1]",0)):( INDIRECT("R[1]C[-1]",0))),3,4)</f>
        <v>3</v>
      </c>
    </row>
    <row r="119" spans="1:28" ht="13.5" thickBot="1" x14ac:dyDescent="0.25">
      <c r="A119" s="644"/>
      <c r="B119" s="642" t="s">
        <v>846</v>
      </c>
      <c r="C119" s="606"/>
      <c r="D119" s="606"/>
      <c r="E119" s="606"/>
      <c r="F119" s="606"/>
      <c r="G119" s="605"/>
      <c r="H119" s="605"/>
      <c r="I119" s="605"/>
      <c r="J119" s="605"/>
      <c r="K119" s="745"/>
      <c r="L119" s="745"/>
      <c r="M119" s="745"/>
      <c r="N119" s="745"/>
      <c r="O119" s="605"/>
      <c r="P119" s="605"/>
      <c r="Q119" s="605"/>
      <c r="R119" s="605"/>
      <c r="S119" s="286"/>
      <c r="T119" s="286"/>
      <c r="U119" s="286"/>
      <c r="V119" s="286"/>
      <c r="W119" s="685" t="str">
        <f t="shared" si="7"/>
        <v/>
      </c>
      <c r="X119" s="646"/>
      <c r="Y119" s="157"/>
      <c r="Z119" s="157"/>
      <c r="AA119" s="157"/>
      <c r="AB119" s="157"/>
    </row>
    <row r="120" spans="1:28" x14ac:dyDescent="0.2">
      <c r="A120" s="159">
        <v>1</v>
      </c>
      <c r="B120" s="735" t="s">
        <v>27</v>
      </c>
      <c r="C120" s="144">
        <v>0</v>
      </c>
      <c r="D120" s="145">
        <v>0</v>
      </c>
      <c r="E120" s="145">
        <v>0</v>
      </c>
      <c r="F120" s="758">
        <v>0</v>
      </c>
      <c r="G120" s="741">
        <v>0</v>
      </c>
      <c r="H120" s="161">
        <v>3</v>
      </c>
      <c r="I120" s="161">
        <v>0</v>
      </c>
      <c r="J120" s="162">
        <v>0</v>
      </c>
      <c r="K120" s="160">
        <v>0</v>
      </c>
      <c r="L120" s="161">
        <v>1</v>
      </c>
      <c r="M120" s="161">
        <v>1</v>
      </c>
      <c r="N120" s="162">
        <v>3</v>
      </c>
      <c r="O120" s="160">
        <v>0</v>
      </c>
      <c r="P120" s="161">
        <v>3</v>
      </c>
      <c r="Q120" s="161">
        <v>0</v>
      </c>
      <c r="R120" s="162">
        <v>0</v>
      </c>
      <c r="S120" s="144">
        <v>5</v>
      </c>
      <c r="T120" s="145">
        <v>5</v>
      </c>
      <c r="U120" s="145">
        <v>0</v>
      </c>
      <c r="V120" s="758">
        <v>5</v>
      </c>
      <c r="W120" s="743">
        <f t="shared" si="7"/>
        <v>26.0303</v>
      </c>
      <c r="X120" s="170">
        <f ca="1">IF( INDIRECT("RC[-1]",0)=MAX(( INDIRECT("R[-1]C[-1]",0)):( INDIRECT("R[1]C[-1]",0))),1,2)</f>
        <v>2</v>
      </c>
    </row>
    <row r="121" spans="1:28" ht="13.5" thickBot="1" x14ac:dyDescent="0.25">
      <c r="A121" s="171">
        <v>2</v>
      </c>
      <c r="B121" s="759" t="s">
        <v>194</v>
      </c>
      <c r="C121" s="173">
        <v>5</v>
      </c>
      <c r="D121" s="174">
        <v>0</v>
      </c>
      <c r="E121" s="174">
        <v>1</v>
      </c>
      <c r="F121" s="748">
        <v>3</v>
      </c>
      <c r="G121" s="742">
        <v>0</v>
      </c>
      <c r="H121" s="174">
        <v>3</v>
      </c>
      <c r="I121" s="174">
        <v>3</v>
      </c>
      <c r="J121" s="175">
        <v>3</v>
      </c>
      <c r="K121" s="173">
        <v>3</v>
      </c>
      <c r="L121" s="174">
        <v>1</v>
      </c>
      <c r="M121" s="174">
        <v>1</v>
      </c>
      <c r="N121" s="175">
        <v>1</v>
      </c>
      <c r="O121" s="173">
        <v>0</v>
      </c>
      <c r="P121" s="174">
        <v>3</v>
      </c>
      <c r="Q121" s="174">
        <v>0</v>
      </c>
      <c r="R121" s="175">
        <v>0</v>
      </c>
      <c r="S121" s="173">
        <v>5</v>
      </c>
      <c r="T121" s="174">
        <v>0</v>
      </c>
      <c r="U121" s="174">
        <v>0</v>
      </c>
      <c r="V121" s="748">
        <v>5</v>
      </c>
      <c r="W121" s="744">
        <f t="shared" si="7"/>
        <v>37.0306</v>
      </c>
      <c r="X121" s="177">
        <f ca="1">IF( INDIRECT("RC[-1]",0)=MAX(( INDIRECT("R[-1]C[-1]",0)):( INDIRECT("R[1]C[-1]",0))),1,2)</f>
        <v>1</v>
      </c>
    </row>
    <row r="123" spans="1:28" x14ac:dyDescent="0.2">
      <c r="B123" s="288" t="s">
        <v>203</v>
      </c>
      <c r="C123" s="160">
        <f>SUM(C9:C24,C69:C121)</f>
        <v>79</v>
      </c>
      <c r="D123" s="161">
        <f t="shared" ref="D123:V123" si="8">SUM(D9:D24,D69:D121)</f>
        <v>63</v>
      </c>
      <c r="E123" s="161">
        <f t="shared" si="8"/>
        <v>67</v>
      </c>
      <c r="F123" s="585">
        <f t="shared" si="8"/>
        <v>39</v>
      </c>
      <c r="G123" s="160">
        <f t="shared" si="8"/>
        <v>49</v>
      </c>
      <c r="H123" s="161">
        <f t="shared" si="8"/>
        <v>35</v>
      </c>
      <c r="I123" s="161">
        <f t="shared" si="8"/>
        <v>28</v>
      </c>
      <c r="J123" s="585">
        <f t="shared" si="8"/>
        <v>37</v>
      </c>
      <c r="K123" s="160">
        <f t="shared" si="8"/>
        <v>41</v>
      </c>
      <c r="L123" s="161">
        <f t="shared" si="8"/>
        <v>44</v>
      </c>
      <c r="M123" s="161">
        <f t="shared" si="8"/>
        <v>26</v>
      </c>
      <c r="N123" s="585">
        <f t="shared" si="8"/>
        <v>21</v>
      </c>
      <c r="O123" s="160">
        <f t="shared" si="8"/>
        <v>31</v>
      </c>
      <c r="P123" s="161">
        <f t="shared" si="8"/>
        <v>25</v>
      </c>
      <c r="Q123" s="161">
        <f t="shared" si="8"/>
        <v>10</v>
      </c>
      <c r="R123" s="585">
        <f t="shared" si="8"/>
        <v>16</v>
      </c>
      <c r="S123" s="160">
        <f t="shared" si="8"/>
        <v>67</v>
      </c>
      <c r="T123" s="161">
        <f t="shared" si="8"/>
        <v>64</v>
      </c>
      <c r="U123" s="161">
        <f t="shared" si="8"/>
        <v>49</v>
      </c>
      <c r="V123" s="585">
        <f t="shared" si="8"/>
        <v>33</v>
      </c>
    </row>
    <row r="124" spans="1:28" x14ac:dyDescent="0.2">
      <c r="C124" s="291">
        <f t="shared" ref="C124:V124" si="9">SUM(C9:C24,C69:C121)</f>
        <v>79</v>
      </c>
      <c r="D124" s="289">
        <f t="shared" si="9"/>
        <v>63</v>
      </c>
      <c r="E124" s="289">
        <f t="shared" si="9"/>
        <v>67</v>
      </c>
      <c r="F124" s="290">
        <f t="shared" si="9"/>
        <v>39</v>
      </c>
      <c r="G124" s="291">
        <f t="shared" si="9"/>
        <v>49</v>
      </c>
      <c r="H124" s="289">
        <f t="shared" si="9"/>
        <v>35</v>
      </c>
      <c r="I124" s="289">
        <f t="shared" si="9"/>
        <v>28</v>
      </c>
      <c r="J124" s="290">
        <f t="shared" si="9"/>
        <v>37</v>
      </c>
      <c r="K124" s="291">
        <f t="shared" si="9"/>
        <v>41</v>
      </c>
      <c r="L124" s="289">
        <f t="shared" si="9"/>
        <v>44</v>
      </c>
      <c r="M124" s="289">
        <f t="shared" si="9"/>
        <v>26</v>
      </c>
      <c r="N124" s="290">
        <f t="shared" si="9"/>
        <v>21</v>
      </c>
      <c r="O124" s="291">
        <f t="shared" si="9"/>
        <v>31</v>
      </c>
      <c r="P124" s="289">
        <f t="shared" si="9"/>
        <v>25</v>
      </c>
      <c r="Q124" s="289">
        <f t="shared" si="9"/>
        <v>10</v>
      </c>
      <c r="R124" s="290">
        <f t="shared" si="9"/>
        <v>16</v>
      </c>
      <c r="S124" s="291">
        <f t="shared" si="9"/>
        <v>67</v>
      </c>
      <c r="T124" s="289">
        <f t="shared" si="9"/>
        <v>64</v>
      </c>
      <c r="U124" s="289">
        <f t="shared" si="9"/>
        <v>49</v>
      </c>
      <c r="V124" s="290">
        <f t="shared" si="9"/>
        <v>33</v>
      </c>
    </row>
    <row r="125" spans="1:28" x14ac:dyDescent="0.2">
      <c r="B125" s="285"/>
      <c r="C125" s="926">
        <f>SUM(C9:F24,C69:F121)</f>
        <v>248</v>
      </c>
      <c r="D125" s="927"/>
      <c r="E125" s="927"/>
      <c r="F125" s="928"/>
      <c r="G125" s="926">
        <f t="shared" ref="G125" si="10">SUM(G9:J24,G69:J121)</f>
        <v>149</v>
      </c>
      <c r="H125" s="927"/>
      <c r="I125" s="927"/>
      <c r="J125" s="928"/>
      <c r="K125" s="926">
        <f t="shared" ref="K125" si="11">SUM(K9:N24,K69:N121)</f>
        <v>132</v>
      </c>
      <c r="L125" s="927"/>
      <c r="M125" s="927"/>
      <c r="N125" s="928"/>
      <c r="O125" s="926">
        <f t="shared" ref="O125" si="12">SUM(O9:R24,O69:R121)</f>
        <v>82</v>
      </c>
      <c r="P125" s="927"/>
      <c r="Q125" s="927"/>
      <c r="R125" s="928"/>
      <c r="S125" s="926">
        <f t="shared" ref="S125" si="13">SUM(S9:V24,S69:V121)</f>
        <v>213</v>
      </c>
      <c r="T125" s="927"/>
      <c r="U125" s="927"/>
      <c r="V125" s="928"/>
    </row>
    <row r="127" spans="1:28" hidden="1" x14ac:dyDescent="0.2"/>
    <row r="128" spans="1:28" hidden="1" x14ac:dyDescent="0.2"/>
    <row r="129" spans="4:25" hidden="1" x14ac:dyDescent="0.2"/>
    <row r="130" spans="4:25" hidden="1" x14ac:dyDescent="0.2"/>
    <row r="131" spans="4:25" hidden="1" x14ac:dyDescent="0.2"/>
    <row r="132" spans="4:25" hidden="1" x14ac:dyDescent="0.2"/>
    <row r="133" spans="4:25" hidden="1" x14ac:dyDescent="0.2"/>
    <row r="134" spans="4:25" hidden="1" x14ac:dyDescent="0.2"/>
    <row r="135" spans="4:25" hidden="1" x14ac:dyDescent="0.2"/>
    <row r="136" spans="4:25" hidden="1" x14ac:dyDescent="0.2"/>
    <row r="137" spans="4:25" hidden="1" x14ac:dyDescent="0.2">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4:25" hidden="1" x14ac:dyDescent="0.2">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4:25" hidden="1" x14ac:dyDescent="0.2">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4:25" hidden="1" x14ac:dyDescent="0.2">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4:25" hidden="1" x14ac:dyDescent="0.2"/>
    <row r="142" spans="4:25" hidden="1" x14ac:dyDescent="0.2"/>
    <row r="143" spans="4:25" hidden="1" x14ac:dyDescent="0.2"/>
    <row r="144" spans="4:2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78"/>
      <c r="B299" s="178"/>
      <c r="C299" s="347" t="s">
        <v>577</v>
      </c>
    </row>
    <row r="300" spans="1:3" x14ac:dyDescent="0.2">
      <c r="A300" s="179">
        <v>1</v>
      </c>
      <c r="B300" s="180" t="str">
        <f ca="1">IF(IFERROR(INDEX($B$9:$B$200,MATCH($A300,$X$9:$X$200,0)),"")=0,"",IFERROR(INDEX($B$9:$B$200,MATCH($A300,$X$9:$X$200,0)),""))</f>
        <v>Veiko Proos</v>
      </c>
      <c r="C300" s="347">
        <v>25</v>
      </c>
    </row>
    <row r="301" spans="1:3" x14ac:dyDescent="0.2">
      <c r="A301" s="179">
        <v>2</v>
      </c>
      <c r="B301" s="603" t="str">
        <f t="shared" ref="B301:B315" ca="1" si="14">IF(IFERROR(INDEX($B$9:$B$200,MATCH($A301,$X$9:$X$200,0)),"")=0,"",IFERROR(INDEX($B$9:$B$200,MATCH($A301,$X$9:$X$200,0)),""))</f>
        <v>Ülo Piik</v>
      </c>
      <c r="C301" s="347">
        <v>20</v>
      </c>
    </row>
    <row r="302" spans="1:3" x14ac:dyDescent="0.2">
      <c r="A302" s="179">
        <v>3</v>
      </c>
      <c r="B302" s="604" t="str">
        <f t="shared" ca="1" si="14"/>
        <v>Kaido Kopel</v>
      </c>
      <c r="C302" s="347">
        <v>16</v>
      </c>
    </row>
    <row r="303" spans="1:3" x14ac:dyDescent="0.2">
      <c r="A303" s="179">
        <v>4</v>
      </c>
      <c r="B303" s="33" t="str">
        <f t="shared" ca="1" si="14"/>
        <v>Andero Kelu</v>
      </c>
      <c r="C303" s="347">
        <v>12</v>
      </c>
    </row>
    <row r="304" spans="1:3" x14ac:dyDescent="0.2">
      <c r="A304" s="179">
        <v>5</v>
      </c>
      <c r="B304" s="33" t="str">
        <f t="shared" si="14"/>
        <v>Margo Peebo</v>
      </c>
      <c r="C304" s="347">
        <v>9</v>
      </c>
    </row>
    <row r="305" spans="1:3" x14ac:dyDescent="0.2">
      <c r="A305" s="179">
        <v>6</v>
      </c>
      <c r="B305" s="33" t="str">
        <f t="shared" si="14"/>
        <v>Hardo Sokk</v>
      </c>
      <c r="C305" s="347">
        <v>7</v>
      </c>
    </row>
    <row r="306" spans="1:3" x14ac:dyDescent="0.2">
      <c r="A306" s="179">
        <v>7</v>
      </c>
      <c r="B306" s="33" t="str">
        <f t="shared" si="14"/>
        <v>Ivar Viljaste</v>
      </c>
      <c r="C306" s="347">
        <v>5</v>
      </c>
    </row>
    <row r="307" spans="1:3" x14ac:dyDescent="0.2">
      <c r="A307" s="179">
        <v>8</v>
      </c>
      <c r="B307" s="33" t="str">
        <f t="shared" si="14"/>
        <v>Jaan Joonas</v>
      </c>
      <c r="C307" s="347">
        <v>4</v>
      </c>
    </row>
    <row r="308" spans="1:3" x14ac:dyDescent="0.2">
      <c r="A308" s="179">
        <v>9</v>
      </c>
      <c r="B308" s="33" t="str">
        <f t="shared" si="14"/>
        <v>Alari Keedus</v>
      </c>
      <c r="C308" s="347">
        <v>2</v>
      </c>
    </row>
    <row r="309" spans="1:3" x14ac:dyDescent="0.2">
      <c r="A309" s="179">
        <v>10</v>
      </c>
      <c r="B309" s="33" t="str">
        <f t="shared" si="14"/>
        <v>Arti Lindvest</v>
      </c>
      <c r="C309" s="347">
        <v>2</v>
      </c>
    </row>
    <row r="310" spans="1:3" x14ac:dyDescent="0.2">
      <c r="A310" s="179">
        <v>11</v>
      </c>
      <c r="B310" s="33" t="str">
        <f t="shared" si="14"/>
        <v>Marko Ode</v>
      </c>
      <c r="C310" s="347">
        <v>2</v>
      </c>
    </row>
    <row r="311" spans="1:3" x14ac:dyDescent="0.2">
      <c r="A311" s="179">
        <v>12</v>
      </c>
      <c r="B311" s="33" t="str">
        <f t="shared" si="14"/>
        <v>Toomas Hoole</v>
      </c>
      <c r="C311" s="347">
        <v>2</v>
      </c>
    </row>
    <row r="312" spans="1:3" x14ac:dyDescent="0.2">
      <c r="A312" s="179">
        <v>13</v>
      </c>
      <c r="B312" s="33" t="str">
        <f t="shared" si="14"/>
        <v>Vahur Raudsepp</v>
      </c>
      <c r="C312" s="347">
        <v>2</v>
      </c>
    </row>
    <row r="313" spans="1:3" x14ac:dyDescent="0.2">
      <c r="A313" s="179">
        <v>14</v>
      </c>
      <c r="B313" s="33" t="str">
        <f t="shared" si="14"/>
        <v>Ott Karl Kopel</v>
      </c>
      <c r="C313" s="347">
        <v>2</v>
      </c>
    </row>
    <row r="314" spans="1:3" x14ac:dyDescent="0.2">
      <c r="A314" s="179">
        <v>15</v>
      </c>
      <c r="B314" s="33" t="str">
        <f t="shared" si="14"/>
        <v>Aigar Lusbo</v>
      </c>
      <c r="C314" s="347">
        <v>2</v>
      </c>
    </row>
    <row r="315" spans="1:3" x14ac:dyDescent="0.2">
      <c r="A315" s="179">
        <v>16</v>
      </c>
      <c r="B315" s="33" t="str">
        <f t="shared" si="14"/>
        <v>Triin Gretel Tauk</v>
      </c>
      <c r="C315" s="347">
        <v>2</v>
      </c>
    </row>
  </sheetData>
  <sortState ref="A68:Y76">
    <sortCondition descending="1" ref="Y68:Y76"/>
  </sortState>
  <mergeCells count="5">
    <mergeCell ref="C125:F125"/>
    <mergeCell ref="G125:J125"/>
    <mergeCell ref="K125:N125"/>
    <mergeCell ref="O125:R125"/>
    <mergeCell ref="S125:V125"/>
  </mergeCells>
  <conditionalFormatting sqref="B25:B32">
    <cfRule type="duplicateValues" dxfId="845" priority="46" stopIfTrue="1"/>
  </conditionalFormatting>
  <conditionalFormatting sqref="B22:B24">
    <cfRule type="duplicateValues" dxfId="844" priority="45" stopIfTrue="1"/>
  </conditionalFormatting>
  <conditionalFormatting sqref="B36:B41">
    <cfRule type="duplicateValues" dxfId="843" priority="44" stopIfTrue="1"/>
  </conditionalFormatting>
  <conditionalFormatting sqref="X36:X43 X60:X63">
    <cfRule type="duplicateValues" dxfId="842" priority="47"/>
    <cfRule type="top10" dxfId="841" priority="48" stopIfTrue="1" rank="100"/>
  </conditionalFormatting>
  <conditionalFormatting sqref="B42:B43 B60:B63">
    <cfRule type="duplicateValues" dxfId="840" priority="49" stopIfTrue="1"/>
  </conditionalFormatting>
  <conditionalFormatting sqref="B52:B57">
    <cfRule type="duplicateValues" dxfId="839" priority="40" stopIfTrue="1"/>
  </conditionalFormatting>
  <conditionalFormatting sqref="X52:X59">
    <cfRule type="duplicateValues" dxfId="838" priority="41"/>
    <cfRule type="top10" dxfId="837" priority="42" stopIfTrue="1" rank="100"/>
  </conditionalFormatting>
  <conditionalFormatting sqref="B58:B59">
    <cfRule type="duplicateValues" dxfId="836" priority="43" stopIfTrue="1"/>
  </conditionalFormatting>
  <conditionalFormatting sqref="B78:B83">
    <cfRule type="duplicateValues" dxfId="835" priority="36" stopIfTrue="1"/>
  </conditionalFormatting>
  <conditionalFormatting sqref="X78:X85 X94:X97">
    <cfRule type="duplicateValues" dxfId="834" priority="37"/>
    <cfRule type="top10" dxfId="833" priority="38" stopIfTrue="1" rank="100"/>
  </conditionalFormatting>
  <conditionalFormatting sqref="B84:B85 B94:B97">
    <cfRule type="duplicateValues" dxfId="832" priority="39" stopIfTrue="1"/>
  </conditionalFormatting>
  <conditionalFormatting sqref="B86:B91">
    <cfRule type="duplicateValues" dxfId="831" priority="32" stopIfTrue="1"/>
  </conditionalFormatting>
  <conditionalFormatting sqref="X86:X93">
    <cfRule type="duplicateValues" dxfId="830" priority="33"/>
    <cfRule type="top10" dxfId="829" priority="34" stopIfTrue="1" rank="100"/>
  </conditionalFormatting>
  <conditionalFormatting sqref="B92:B93">
    <cfRule type="duplicateValues" dxfId="828" priority="35" stopIfTrue="1"/>
  </conditionalFormatting>
  <conditionalFormatting sqref="B98:B99">
    <cfRule type="duplicateValues" dxfId="827" priority="28" stopIfTrue="1"/>
  </conditionalFormatting>
  <conditionalFormatting sqref="X98:X101">
    <cfRule type="duplicateValues" dxfId="826" priority="29"/>
    <cfRule type="top10" dxfId="825" priority="30" stopIfTrue="1" rank="100"/>
  </conditionalFormatting>
  <conditionalFormatting sqref="B100:B101">
    <cfRule type="duplicateValues" dxfId="824" priority="31" stopIfTrue="1"/>
  </conditionalFormatting>
  <conditionalFormatting sqref="B64:B65">
    <cfRule type="duplicateValues" dxfId="823" priority="27" stopIfTrue="1"/>
  </conditionalFormatting>
  <conditionalFormatting sqref="B44:B49">
    <cfRule type="duplicateValues" dxfId="822" priority="23" stopIfTrue="1"/>
  </conditionalFormatting>
  <conditionalFormatting sqref="X44:X51">
    <cfRule type="duplicateValues" dxfId="821" priority="24"/>
    <cfRule type="top10" dxfId="820" priority="25" stopIfTrue="1" rank="100"/>
  </conditionalFormatting>
  <conditionalFormatting sqref="B50:B51">
    <cfRule type="duplicateValues" dxfId="819" priority="26" stopIfTrue="1"/>
  </conditionalFormatting>
  <conditionalFormatting sqref="W36:W39">
    <cfRule type="top10" dxfId="818" priority="22" rank="1"/>
  </conditionalFormatting>
  <conditionalFormatting sqref="W40:W43">
    <cfRule type="top10" dxfId="817" priority="21" rank="1"/>
  </conditionalFormatting>
  <conditionalFormatting sqref="W44:W47">
    <cfRule type="top10" dxfId="816" priority="20" rank="1"/>
  </conditionalFormatting>
  <conditionalFormatting sqref="W48:W51">
    <cfRule type="top10" dxfId="815" priority="19" rank="1"/>
  </conditionalFormatting>
  <conditionalFormatting sqref="W52:W55">
    <cfRule type="top10" dxfId="814" priority="18" rank="1"/>
  </conditionalFormatting>
  <conditionalFormatting sqref="W56:W59">
    <cfRule type="top10" dxfId="813" priority="17" rank="1"/>
  </conditionalFormatting>
  <conditionalFormatting sqref="W60:W63">
    <cfRule type="top10" dxfId="812" priority="16" rank="1"/>
  </conditionalFormatting>
  <conditionalFormatting sqref="W64:W67">
    <cfRule type="top10" dxfId="811" priority="15" rank="1"/>
  </conditionalFormatting>
  <conditionalFormatting sqref="W78:W81">
    <cfRule type="top10" dxfId="810" priority="14" rank="1"/>
  </conditionalFormatting>
  <conditionalFormatting sqref="W82:W85">
    <cfRule type="top10" dxfId="809" priority="13" rank="1"/>
  </conditionalFormatting>
  <conditionalFormatting sqref="W86:W89">
    <cfRule type="top10" dxfId="808" priority="12" rank="1"/>
  </conditionalFormatting>
  <conditionalFormatting sqref="W90:W93">
    <cfRule type="top10" dxfId="807" priority="11" rank="1"/>
  </conditionalFormatting>
  <conditionalFormatting sqref="W94:W97">
    <cfRule type="top10" dxfId="806" priority="10" rank="1"/>
  </conditionalFormatting>
  <conditionalFormatting sqref="W98:W101">
    <cfRule type="top10" dxfId="805" priority="9" rank="1"/>
  </conditionalFormatting>
  <conditionalFormatting sqref="W103:W104">
    <cfRule type="top10" dxfId="804" priority="50" rank="1"/>
  </conditionalFormatting>
  <conditionalFormatting sqref="W105:W106">
    <cfRule type="top10" dxfId="803" priority="51" rank="1"/>
  </conditionalFormatting>
  <conditionalFormatting sqref="W107:W108">
    <cfRule type="top10" dxfId="802" priority="52" rank="1"/>
  </conditionalFormatting>
  <conditionalFormatting sqref="W112:W113">
    <cfRule type="top10" dxfId="801" priority="53" rank="1"/>
  </conditionalFormatting>
  <conditionalFormatting sqref="W114:W115">
    <cfRule type="top10" dxfId="800" priority="54" rank="1"/>
  </conditionalFormatting>
  <conditionalFormatting sqref="W117:W118">
    <cfRule type="top10" dxfId="799" priority="55" rank="1"/>
  </conditionalFormatting>
  <conditionalFormatting sqref="W120:W121">
    <cfRule type="top10" dxfId="798" priority="56" rank="1"/>
  </conditionalFormatting>
  <conditionalFormatting sqref="X103:X110">
    <cfRule type="duplicateValues" dxfId="797" priority="57"/>
    <cfRule type="top10" dxfId="796" priority="58" stopIfTrue="1" rank="4"/>
  </conditionalFormatting>
  <conditionalFormatting sqref="W109:W110">
    <cfRule type="top10" dxfId="795" priority="59" rank="1"/>
  </conditionalFormatting>
  <conditionalFormatting sqref="X64:X67">
    <cfRule type="duplicateValues" dxfId="794" priority="60"/>
    <cfRule type="top10" dxfId="793" priority="61" stopIfTrue="1" rank="100"/>
  </conditionalFormatting>
  <conditionalFormatting sqref="B66:B67">
    <cfRule type="duplicateValues" dxfId="792" priority="62" stopIfTrue="1"/>
  </conditionalFormatting>
  <conditionalFormatting sqref="X9:X34">
    <cfRule type="duplicateValues" dxfId="791" priority="63"/>
    <cfRule type="top10" dxfId="790" priority="64" stopIfTrue="1" rank="100"/>
  </conditionalFormatting>
  <conditionalFormatting sqref="B33:B34 B10:B12 B14">
    <cfRule type="duplicateValues" dxfId="789" priority="65" stopIfTrue="1"/>
  </conditionalFormatting>
  <conditionalFormatting sqref="X69:X76">
    <cfRule type="duplicateValues" dxfId="788" priority="66"/>
    <cfRule type="top10" dxfId="787" priority="67" stopIfTrue="1" rank="100"/>
  </conditionalFormatting>
  <conditionalFormatting sqref="Y69:Y76">
    <cfRule type="top10" dxfId="786" priority="8" rank="4"/>
    <cfRule type="duplicateValues" dxfId="785" priority="68"/>
  </conditionalFormatting>
  <conditionalFormatting sqref="W9:W121">
    <cfRule type="top10" dxfId="784" priority="69" rank="1"/>
  </conditionalFormatting>
  <conditionalFormatting sqref="C125:V125">
    <cfRule type="colorScale" priority="7">
      <colorScale>
        <cfvo type="min"/>
        <cfvo type="percentile" val="50"/>
        <cfvo type="max"/>
        <color rgb="FFF8696B"/>
        <color rgb="FFFFEB84"/>
        <color rgb="FF63BE7B"/>
      </colorScale>
    </cfRule>
  </conditionalFormatting>
  <conditionalFormatting sqref="C124:V124">
    <cfRule type="dataBar" priority="6">
      <dataBar>
        <cfvo type="min"/>
        <cfvo type="max"/>
        <color rgb="FF008AEF"/>
      </dataBar>
      <extLst>
        <ext xmlns:x14="http://schemas.microsoft.com/office/spreadsheetml/2009/9/main" uri="{B025F937-C7B1-47D3-B67F-A62EFF666E3E}">
          <x14:id>{95EA7EFD-3331-4691-9EB8-CF22A83C427B}</x14:id>
        </ext>
      </extLst>
    </cfRule>
  </conditionalFormatting>
  <conditionalFormatting sqref="C123:V123">
    <cfRule type="top10" dxfId="783" priority="4" rank="1"/>
    <cfRule type="colorScale" priority="5">
      <colorScale>
        <cfvo type="min"/>
        <cfvo type="percentile" val="50"/>
        <cfvo type="max"/>
        <color rgb="FFF8696B"/>
        <color rgb="FFFFEB84"/>
        <color rgb="FF63BE7B"/>
      </colorScale>
    </cfRule>
  </conditionalFormatting>
  <conditionalFormatting sqref="C125:V125">
    <cfRule type="top10" dxfId="782" priority="3" rank="1"/>
  </conditionalFormatting>
  <conditionalFormatting sqref="W9:W24">
    <cfRule type="top10" dxfId="781" priority="2" rank="12"/>
  </conditionalFormatting>
  <conditionalFormatting sqref="C9:V121">
    <cfRule type="cellIs" dxfId="780" priority="1" operator="equal">
      <formula>5</formula>
    </cfRule>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rowBreaks count="1" manualBreakCount="1">
    <brk id="11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95EA7EFD-3331-4691-9EB8-CF22A83C427B}">
            <x14:dataBar minLength="0" maxLength="100" gradient="0">
              <x14:cfvo type="autoMin"/>
              <x14:cfvo type="autoMax"/>
              <x14:negativeFillColor rgb="FFFF0000"/>
              <x14:axisColor rgb="FF000000"/>
            </x14:dataBar>
          </x14:cfRule>
          <xm:sqref>C124:V124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15"/>
  <sheetViews>
    <sheetView showGridLines="0" showRowColHeaders="0" zoomScaleNormal="100" workbookViewId="0">
      <pane ySplit="7" topLeftCell="A8" activePane="bottomLeft" state="frozen"/>
      <selection activeCell="AK18" sqref="AK18"/>
      <selection pane="bottomLeft" activeCell="W1" sqref="W1"/>
    </sheetView>
  </sheetViews>
  <sheetFormatPr defaultRowHeight="12.75" x14ac:dyDescent="0.2"/>
  <cols>
    <col min="1" max="1" width="3" style="136" customWidth="1"/>
    <col min="2" max="2" width="18.85546875" style="136" customWidth="1"/>
    <col min="3" max="22" width="2.7109375" style="136" customWidth="1"/>
    <col min="23" max="23" width="3" style="136" bestFit="1" customWidth="1"/>
    <col min="24" max="24" width="11.5703125" style="136" bestFit="1" customWidth="1"/>
    <col min="25" max="25" width="3" style="136" customWidth="1"/>
    <col min="26" max="27" width="4" style="136" hidden="1" customWidth="1"/>
    <col min="28" max="28" width="4.5703125" style="136" hidden="1" customWidth="1"/>
    <col min="29" max="29" width="9.140625" style="136"/>
    <col min="30" max="36" width="2.7109375" style="136" customWidth="1"/>
    <col min="37" max="226" width="9.140625" style="136"/>
    <col min="227" max="227" width="3" style="136" customWidth="1"/>
    <col min="228" max="228" width="18.7109375" style="136" customWidth="1"/>
    <col min="229" max="248" width="2.85546875" style="136" customWidth="1"/>
    <col min="249" max="249" width="3" style="136" bestFit="1" customWidth="1"/>
    <col min="250" max="250" width="10.5703125" style="136" customWidth="1"/>
    <col min="251" max="253" width="0" style="136" hidden="1" customWidth="1"/>
    <col min="254" max="482" width="9.140625" style="136"/>
    <col min="483" max="483" width="3" style="136" customWidth="1"/>
    <col min="484" max="484" width="18.7109375" style="136" customWidth="1"/>
    <col min="485" max="504" width="2.85546875" style="136" customWidth="1"/>
    <col min="505" max="505" width="3" style="136" bestFit="1" customWidth="1"/>
    <col min="506" max="506" width="10.5703125" style="136" customWidth="1"/>
    <col min="507" max="509" width="0" style="136" hidden="1" customWidth="1"/>
    <col min="510" max="738" width="9.140625" style="136"/>
    <col min="739" max="739" width="3" style="136" customWidth="1"/>
    <col min="740" max="740" width="18.7109375" style="136" customWidth="1"/>
    <col min="741" max="760" width="2.85546875" style="136" customWidth="1"/>
    <col min="761" max="761" width="3" style="136" bestFit="1" customWidth="1"/>
    <col min="762" max="762" width="10.5703125" style="136" customWidth="1"/>
    <col min="763" max="765" width="0" style="136" hidden="1" customWidth="1"/>
    <col min="766" max="994" width="9.140625" style="136"/>
    <col min="995" max="995" width="3" style="136" customWidth="1"/>
    <col min="996" max="996" width="18.7109375" style="136" customWidth="1"/>
    <col min="997" max="1016" width="2.85546875" style="136" customWidth="1"/>
    <col min="1017" max="1017" width="3" style="136" bestFit="1" customWidth="1"/>
    <col min="1018" max="1018" width="10.5703125" style="136" customWidth="1"/>
    <col min="1019" max="1021" width="0" style="136" hidden="1" customWidth="1"/>
    <col min="1022" max="1250" width="9.140625" style="136"/>
    <col min="1251" max="1251" width="3" style="136" customWidth="1"/>
    <col min="1252" max="1252" width="18.7109375" style="136" customWidth="1"/>
    <col min="1253" max="1272" width="2.85546875" style="136" customWidth="1"/>
    <col min="1273" max="1273" width="3" style="136" bestFit="1" customWidth="1"/>
    <col min="1274" max="1274" width="10.5703125" style="136" customWidth="1"/>
    <col min="1275" max="1277" width="0" style="136" hidden="1" customWidth="1"/>
    <col min="1278" max="1506" width="9.140625" style="136"/>
    <col min="1507" max="1507" width="3" style="136" customWidth="1"/>
    <col min="1508" max="1508" width="18.7109375" style="136" customWidth="1"/>
    <col min="1509" max="1528" width="2.85546875" style="136" customWidth="1"/>
    <col min="1529" max="1529" width="3" style="136" bestFit="1" customWidth="1"/>
    <col min="1530" max="1530" width="10.5703125" style="136" customWidth="1"/>
    <col min="1531" max="1533" width="0" style="136" hidden="1" customWidth="1"/>
    <col min="1534" max="1762" width="9.140625" style="136"/>
    <col min="1763" max="1763" width="3" style="136" customWidth="1"/>
    <col min="1764" max="1764" width="18.7109375" style="136" customWidth="1"/>
    <col min="1765" max="1784" width="2.85546875" style="136" customWidth="1"/>
    <col min="1785" max="1785" width="3" style="136" bestFit="1" customWidth="1"/>
    <col min="1786" max="1786" width="10.5703125" style="136" customWidth="1"/>
    <col min="1787" max="1789" width="0" style="136" hidden="1" customWidth="1"/>
    <col min="1790" max="2018" width="9.140625" style="136"/>
    <col min="2019" max="2019" width="3" style="136" customWidth="1"/>
    <col min="2020" max="2020" width="18.7109375" style="136" customWidth="1"/>
    <col min="2021" max="2040" width="2.85546875" style="136" customWidth="1"/>
    <col min="2041" max="2041" width="3" style="136" bestFit="1" customWidth="1"/>
    <col min="2042" max="2042" width="10.5703125" style="136" customWidth="1"/>
    <col min="2043" max="2045" width="0" style="136" hidden="1" customWidth="1"/>
    <col min="2046" max="2274" width="9.140625" style="136"/>
    <col min="2275" max="2275" width="3" style="136" customWidth="1"/>
    <col min="2276" max="2276" width="18.7109375" style="136" customWidth="1"/>
    <col min="2277" max="2296" width="2.85546875" style="136" customWidth="1"/>
    <col min="2297" max="2297" width="3" style="136" bestFit="1" customWidth="1"/>
    <col min="2298" max="2298" width="10.5703125" style="136" customWidth="1"/>
    <col min="2299" max="2301" width="0" style="136" hidden="1" customWidth="1"/>
    <col min="2302" max="2530" width="9.140625" style="136"/>
    <col min="2531" max="2531" width="3" style="136" customWidth="1"/>
    <col min="2532" max="2532" width="18.7109375" style="136" customWidth="1"/>
    <col min="2533" max="2552" width="2.85546875" style="136" customWidth="1"/>
    <col min="2553" max="2553" width="3" style="136" bestFit="1" customWidth="1"/>
    <col min="2554" max="2554" width="10.5703125" style="136" customWidth="1"/>
    <col min="2555" max="2557" width="0" style="136" hidden="1" customWidth="1"/>
    <col min="2558" max="2786" width="9.140625" style="136"/>
    <col min="2787" max="2787" width="3" style="136" customWidth="1"/>
    <col min="2788" max="2788" width="18.7109375" style="136" customWidth="1"/>
    <col min="2789" max="2808" width="2.85546875" style="136" customWidth="1"/>
    <col min="2809" max="2809" width="3" style="136" bestFit="1" customWidth="1"/>
    <col min="2810" max="2810" width="10.5703125" style="136" customWidth="1"/>
    <col min="2811" max="2813" width="0" style="136" hidden="1" customWidth="1"/>
    <col min="2814" max="3042" width="9.140625" style="136"/>
    <col min="3043" max="3043" width="3" style="136" customWidth="1"/>
    <col min="3044" max="3044" width="18.7109375" style="136" customWidth="1"/>
    <col min="3045" max="3064" width="2.85546875" style="136" customWidth="1"/>
    <col min="3065" max="3065" width="3" style="136" bestFit="1" customWidth="1"/>
    <col min="3066" max="3066" width="10.5703125" style="136" customWidth="1"/>
    <col min="3067" max="3069" width="0" style="136" hidden="1" customWidth="1"/>
    <col min="3070" max="3298" width="9.140625" style="136"/>
    <col min="3299" max="3299" width="3" style="136" customWidth="1"/>
    <col min="3300" max="3300" width="18.7109375" style="136" customWidth="1"/>
    <col min="3301" max="3320" width="2.85546875" style="136" customWidth="1"/>
    <col min="3321" max="3321" width="3" style="136" bestFit="1" customWidth="1"/>
    <col min="3322" max="3322" width="10.5703125" style="136" customWidth="1"/>
    <col min="3323" max="3325" width="0" style="136" hidden="1" customWidth="1"/>
    <col min="3326" max="3554" width="9.140625" style="136"/>
    <col min="3555" max="3555" width="3" style="136" customWidth="1"/>
    <col min="3556" max="3556" width="18.7109375" style="136" customWidth="1"/>
    <col min="3557" max="3576" width="2.85546875" style="136" customWidth="1"/>
    <col min="3577" max="3577" width="3" style="136" bestFit="1" customWidth="1"/>
    <col min="3578" max="3578" width="10.5703125" style="136" customWidth="1"/>
    <col min="3579" max="3581" width="0" style="136" hidden="1" customWidth="1"/>
    <col min="3582" max="3810" width="9.140625" style="136"/>
    <col min="3811" max="3811" width="3" style="136" customWidth="1"/>
    <col min="3812" max="3812" width="18.7109375" style="136" customWidth="1"/>
    <col min="3813" max="3832" width="2.85546875" style="136" customWidth="1"/>
    <col min="3833" max="3833" width="3" style="136" bestFit="1" customWidth="1"/>
    <col min="3834" max="3834" width="10.5703125" style="136" customWidth="1"/>
    <col min="3835" max="3837" width="0" style="136" hidden="1" customWidth="1"/>
    <col min="3838" max="4066" width="9.140625" style="136"/>
    <col min="4067" max="4067" width="3" style="136" customWidth="1"/>
    <col min="4068" max="4068" width="18.7109375" style="136" customWidth="1"/>
    <col min="4069" max="4088" width="2.85546875" style="136" customWidth="1"/>
    <col min="4089" max="4089" width="3" style="136" bestFit="1" customWidth="1"/>
    <col min="4090" max="4090" width="10.5703125" style="136" customWidth="1"/>
    <col min="4091" max="4093" width="0" style="136" hidden="1" customWidth="1"/>
    <col min="4094" max="4322" width="9.140625" style="136"/>
    <col min="4323" max="4323" width="3" style="136" customWidth="1"/>
    <col min="4324" max="4324" width="18.7109375" style="136" customWidth="1"/>
    <col min="4325" max="4344" width="2.85546875" style="136" customWidth="1"/>
    <col min="4345" max="4345" width="3" style="136" bestFit="1" customWidth="1"/>
    <col min="4346" max="4346" width="10.5703125" style="136" customWidth="1"/>
    <col min="4347" max="4349" width="0" style="136" hidden="1" customWidth="1"/>
    <col min="4350" max="4578" width="9.140625" style="136"/>
    <col min="4579" max="4579" width="3" style="136" customWidth="1"/>
    <col min="4580" max="4580" width="18.7109375" style="136" customWidth="1"/>
    <col min="4581" max="4600" width="2.85546875" style="136" customWidth="1"/>
    <col min="4601" max="4601" width="3" style="136" bestFit="1" customWidth="1"/>
    <col min="4602" max="4602" width="10.5703125" style="136" customWidth="1"/>
    <col min="4603" max="4605" width="0" style="136" hidden="1" customWidth="1"/>
    <col min="4606" max="4834" width="9.140625" style="136"/>
    <col min="4835" max="4835" width="3" style="136" customWidth="1"/>
    <col min="4836" max="4836" width="18.7109375" style="136" customWidth="1"/>
    <col min="4837" max="4856" width="2.85546875" style="136" customWidth="1"/>
    <col min="4857" max="4857" width="3" style="136" bestFit="1" customWidth="1"/>
    <col min="4858" max="4858" width="10.5703125" style="136" customWidth="1"/>
    <col min="4859" max="4861" width="0" style="136" hidden="1" customWidth="1"/>
    <col min="4862" max="5090" width="9.140625" style="136"/>
    <col min="5091" max="5091" width="3" style="136" customWidth="1"/>
    <col min="5092" max="5092" width="18.7109375" style="136" customWidth="1"/>
    <col min="5093" max="5112" width="2.85546875" style="136" customWidth="1"/>
    <col min="5113" max="5113" width="3" style="136" bestFit="1" customWidth="1"/>
    <col min="5114" max="5114" width="10.5703125" style="136" customWidth="1"/>
    <col min="5115" max="5117" width="0" style="136" hidden="1" customWidth="1"/>
    <col min="5118" max="5346" width="9.140625" style="136"/>
    <col min="5347" max="5347" width="3" style="136" customWidth="1"/>
    <col min="5348" max="5348" width="18.7109375" style="136" customWidth="1"/>
    <col min="5349" max="5368" width="2.85546875" style="136" customWidth="1"/>
    <col min="5369" max="5369" width="3" style="136" bestFit="1" customWidth="1"/>
    <col min="5370" max="5370" width="10.5703125" style="136" customWidth="1"/>
    <col min="5371" max="5373" width="0" style="136" hidden="1" customWidth="1"/>
    <col min="5374" max="5602" width="9.140625" style="136"/>
    <col min="5603" max="5603" width="3" style="136" customWidth="1"/>
    <col min="5604" max="5604" width="18.7109375" style="136" customWidth="1"/>
    <col min="5605" max="5624" width="2.85546875" style="136" customWidth="1"/>
    <col min="5625" max="5625" width="3" style="136" bestFit="1" customWidth="1"/>
    <col min="5626" max="5626" width="10.5703125" style="136" customWidth="1"/>
    <col min="5627" max="5629" width="0" style="136" hidden="1" customWidth="1"/>
    <col min="5630" max="5858" width="9.140625" style="136"/>
    <col min="5859" max="5859" width="3" style="136" customWidth="1"/>
    <col min="5860" max="5860" width="18.7109375" style="136" customWidth="1"/>
    <col min="5861" max="5880" width="2.85546875" style="136" customWidth="1"/>
    <col min="5881" max="5881" width="3" style="136" bestFit="1" customWidth="1"/>
    <col min="5882" max="5882" width="10.5703125" style="136" customWidth="1"/>
    <col min="5883" max="5885" width="0" style="136" hidden="1" customWidth="1"/>
    <col min="5886" max="6114" width="9.140625" style="136"/>
    <col min="6115" max="6115" width="3" style="136" customWidth="1"/>
    <col min="6116" max="6116" width="18.7109375" style="136" customWidth="1"/>
    <col min="6117" max="6136" width="2.85546875" style="136" customWidth="1"/>
    <col min="6137" max="6137" width="3" style="136" bestFit="1" customWidth="1"/>
    <col min="6138" max="6138" width="10.5703125" style="136" customWidth="1"/>
    <col min="6139" max="6141" width="0" style="136" hidden="1" customWidth="1"/>
    <col min="6142" max="6370" width="9.140625" style="136"/>
    <col min="6371" max="6371" width="3" style="136" customWidth="1"/>
    <col min="6372" max="6372" width="18.7109375" style="136" customWidth="1"/>
    <col min="6373" max="6392" width="2.85546875" style="136" customWidth="1"/>
    <col min="6393" max="6393" width="3" style="136" bestFit="1" customWidth="1"/>
    <col min="6394" max="6394" width="10.5703125" style="136" customWidth="1"/>
    <col min="6395" max="6397" width="0" style="136" hidden="1" customWidth="1"/>
    <col min="6398" max="6626" width="9.140625" style="136"/>
    <col min="6627" max="6627" width="3" style="136" customWidth="1"/>
    <col min="6628" max="6628" width="18.7109375" style="136" customWidth="1"/>
    <col min="6629" max="6648" width="2.85546875" style="136" customWidth="1"/>
    <col min="6649" max="6649" width="3" style="136" bestFit="1" customWidth="1"/>
    <col min="6650" max="6650" width="10.5703125" style="136" customWidth="1"/>
    <col min="6651" max="6653" width="0" style="136" hidden="1" customWidth="1"/>
    <col min="6654" max="6882" width="9.140625" style="136"/>
    <col min="6883" max="6883" width="3" style="136" customWidth="1"/>
    <col min="6884" max="6884" width="18.7109375" style="136" customWidth="1"/>
    <col min="6885" max="6904" width="2.85546875" style="136" customWidth="1"/>
    <col min="6905" max="6905" width="3" style="136" bestFit="1" customWidth="1"/>
    <col min="6906" max="6906" width="10.5703125" style="136" customWidth="1"/>
    <col min="6907" max="6909" width="0" style="136" hidden="1" customWidth="1"/>
    <col min="6910" max="7138" width="9.140625" style="136"/>
    <col min="7139" max="7139" width="3" style="136" customWidth="1"/>
    <col min="7140" max="7140" width="18.7109375" style="136" customWidth="1"/>
    <col min="7141" max="7160" width="2.85546875" style="136" customWidth="1"/>
    <col min="7161" max="7161" width="3" style="136" bestFit="1" customWidth="1"/>
    <col min="7162" max="7162" width="10.5703125" style="136" customWidth="1"/>
    <col min="7163" max="7165" width="0" style="136" hidden="1" customWidth="1"/>
    <col min="7166" max="7394" width="9.140625" style="136"/>
    <col min="7395" max="7395" width="3" style="136" customWidth="1"/>
    <col min="7396" max="7396" width="18.7109375" style="136" customWidth="1"/>
    <col min="7397" max="7416" width="2.85546875" style="136" customWidth="1"/>
    <col min="7417" max="7417" width="3" style="136" bestFit="1" customWidth="1"/>
    <col min="7418" max="7418" width="10.5703125" style="136" customWidth="1"/>
    <col min="7419" max="7421" width="0" style="136" hidden="1" customWidth="1"/>
    <col min="7422" max="7650" width="9.140625" style="136"/>
    <col min="7651" max="7651" width="3" style="136" customWidth="1"/>
    <col min="7652" max="7652" width="18.7109375" style="136" customWidth="1"/>
    <col min="7653" max="7672" width="2.85546875" style="136" customWidth="1"/>
    <col min="7673" max="7673" width="3" style="136" bestFit="1" customWidth="1"/>
    <col min="7674" max="7674" width="10.5703125" style="136" customWidth="1"/>
    <col min="7675" max="7677" width="0" style="136" hidden="1" customWidth="1"/>
    <col min="7678" max="7906" width="9.140625" style="136"/>
    <col min="7907" max="7907" width="3" style="136" customWidth="1"/>
    <col min="7908" max="7908" width="18.7109375" style="136" customWidth="1"/>
    <col min="7909" max="7928" width="2.85546875" style="136" customWidth="1"/>
    <col min="7929" max="7929" width="3" style="136" bestFit="1" customWidth="1"/>
    <col min="7930" max="7930" width="10.5703125" style="136" customWidth="1"/>
    <col min="7931" max="7933" width="0" style="136" hidden="1" customWidth="1"/>
    <col min="7934" max="8162" width="9.140625" style="136"/>
    <col min="8163" max="8163" width="3" style="136" customWidth="1"/>
    <col min="8164" max="8164" width="18.7109375" style="136" customWidth="1"/>
    <col min="8165" max="8184" width="2.85546875" style="136" customWidth="1"/>
    <col min="8185" max="8185" width="3" style="136" bestFit="1" customWidth="1"/>
    <col min="8186" max="8186" width="10.5703125" style="136" customWidth="1"/>
    <col min="8187" max="8189" width="0" style="136" hidden="1" customWidth="1"/>
    <col min="8190" max="8418" width="9.140625" style="136"/>
    <col min="8419" max="8419" width="3" style="136" customWidth="1"/>
    <col min="8420" max="8420" width="18.7109375" style="136" customWidth="1"/>
    <col min="8421" max="8440" width="2.85546875" style="136" customWidth="1"/>
    <col min="8441" max="8441" width="3" style="136" bestFit="1" customWidth="1"/>
    <col min="8442" max="8442" width="10.5703125" style="136" customWidth="1"/>
    <col min="8443" max="8445" width="0" style="136" hidden="1" customWidth="1"/>
    <col min="8446" max="8674" width="9.140625" style="136"/>
    <col min="8675" max="8675" width="3" style="136" customWidth="1"/>
    <col min="8676" max="8676" width="18.7109375" style="136" customWidth="1"/>
    <col min="8677" max="8696" width="2.85546875" style="136" customWidth="1"/>
    <col min="8697" max="8697" width="3" style="136" bestFit="1" customWidth="1"/>
    <col min="8698" max="8698" width="10.5703125" style="136" customWidth="1"/>
    <col min="8699" max="8701" width="0" style="136" hidden="1" customWidth="1"/>
    <col min="8702" max="8930" width="9.140625" style="136"/>
    <col min="8931" max="8931" width="3" style="136" customWidth="1"/>
    <col min="8932" max="8932" width="18.7109375" style="136" customWidth="1"/>
    <col min="8933" max="8952" width="2.85546875" style="136" customWidth="1"/>
    <col min="8953" max="8953" width="3" style="136" bestFit="1" customWidth="1"/>
    <col min="8954" max="8954" width="10.5703125" style="136" customWidth="1"/>
    <col min="8955" max="8957" width="0" style="136" hidden="1" customWidth="1"/>
    <col min="8958" max="9186" width="9.140625" style="136"/>
    <col min="9187" max="9187" width="3" style="136" customWidth="1"/>
    <col min="9188" max="9188" width="18.7109375" style="136" customWidth="1"/>
    <col min="9189" max="9208" width="2.85546875" style="136" customWidth="1"/>
    <col min="9209" max="9209" width="3" style="136" bestFit="1" customWidth="1"/>
    <col min="9210" max="9210" width="10.5703125" style="136" customWidth="1"/>
    <col min="9211" max="9213" width="0" style="136" hidden="1" customWidth="1"/>
    <col min="9214" max="9442" width="9.140625" style="136"/>
    <col min="9443" max="9443" width="3" style="136" customWidth="1"/>
    <col min="9444" max="9444" width="18.7109375" style="136" customWidth="1"/>
    <col min="9445" max="9464" width="2.85546875" style="136" customWidth="1"/>
    <col min="9465" max="9465" width="3" style="136" bestFit="1" customWidth="1"/>
    <col min="9466" max="9466" width="10.5703125" style="136" customWidth="1"/>
    <col min="9467" max="9469" width="0" style="136" hidden="1" customWidth="1"/>
    <col min="9470" max="9698" width="9.140625" style="136"/>
    <col min="9699" max="9699" width="3" style="136" customWidth="1"/>
    <col min="9700" max="9700" width="18.7109375" style="136" customWidth="1"/>
    <col min="9701" max="9720" width="2.85546875" style="136" customWidth="1"/>
    <col min="9721" max="9721" width="3" style="136" bestFit="1" customWidth="1"/>
    <col min="9722" max="9722" width="10.5703125" style="136" customWidth="1"/>
    <col min="9723" max="9725" width="0" style="136" hidden="1" customWidth="1"/>
    <col min="9726" max="9954" width="9.140625" style="136"/>
    <col min="9955" max="9955" width="3" style="136" customWidth="1"/>
    <col min="9956" max="9956" width="18.7109375" style="136" customWidth="1"/>
    <col min="9957" max="9976" width="2.85546875" style="136" customWidth="1"/>
    <col min="9977" max="9977" width="3" style="136" bestFit="1" customWidth="1"/>
    <col min="9978" max="9978" width="10.5703125" style="136" customWidth="1"/>
    <col min="9979" max="9981" width="0" style="136" hidden="1" customWidth="1"/>
    <col min="9982" max="10210" width="9.140625" style="136"/>
    <col min="10211" max="10211" width="3" style="136" customWidth="1"/>
    <col min="10212" max="10212" width="18.7109375" style="136" customWidth="1"/>
    <col min="10213" max="10232" width="2.85546875" style="136" customWidth="1"/>
    <col min="10233" max="10233" width="3" style="136" bestFit="1" customWidth="1"/>
    <col min="10234" max="10234" width="10.5703125" style="136" customWidth="1"/>
    <col min="10235" max="10237" width="0" style="136" hidden="1" customWidth="1"/>
    <col min="10238" max="10466" width="9.140625" style="136"/>
    <col min="10467" max="10467" width="3" style="136" customWidth="1"/>
    <col min="10468" max="10468" width="18.7109375" style="136" customWidth="1"/>
    <col min="10469" max="10488" width="2.85546875" style="136" customWidth="1"/>
    <col min="10489" max="10489" width="3" style="136" bestFit="1" customWidth="1"/>
    <col min="10490" max="10490" width="10.5703125" style="136" customWidth="1"/>
    <col min="10491" max="10493" width="0" style="136" hidden="1" customWidth="1"/>
    <col min="10494" max="10722" width="9.140625" style="136"/>
    <col min="10723" max="10723" width="3" style="136" customWidth="1"/>
    <col min="10724" max="10724" width="18.7109375" style="136" customWidth="1"/>
    <col min="10725" max="10744" width="2.85546875" style="136" customWidth="1"/>
    <col min="10745" max="10745" width="3" style="136" bestFit="1" customWidth="1"/>
    <col min="10746" max="10746" width="10.5703125" style="136" customWidth="1"/>
    <col min="10747" max="10749" width="0" style="136" hidden="1" customWidth="1"/>
    <col min="10750" max="10978" width="9.140625" style="136"/>
    <col min="10979" max="10979" width="3" style="136" customWidth="1"/>
    <col min="10980" max="10980" width="18.7109375" style="136" customWidth="1"/>
    <col min="10981" max="11000" width="2.85546875" style="136" customWidth="1"/>
    <col min="11001" max="11001" width="3" style="136" bestFit="1" customWidth="1"/>
    <col min="11002" max="11002" width="10.5703125" style="136" customWidth="1"/>
    <col min="11003" max="11005" width="0" style="136" hidden="1" customWidth="1"/>
    <col min="11006" max="11234" width="9.140625" style="136"/>
    <col min="11235" max="11235" width="3" style="136" customWidth="1"/>
    <col min="11236" max="11236" width="18.7109375" style="136" customWidth="1"/>
    <col min="11237" max="11256" width="2.85546875" style="136" customWidth="1"/>
    <col min="11257" max="11257" width="3" style="136" bestFit="1" customWidth="1"/>
    <col min="11258" max="11258" width="10.5703125" style="136" customWidth="1"/>
    <col min="11259" max="11261" width="0" style="136" hidden="1" customWidth="1"/>
    <col min="11262" max="11490" width="9.140625" style="136"/>
    <col min="11491" max="11491" width="3" style="136" customWidth="1"/>
    <col min="11492" max="11492" width="18.7109375" style="136" customWidth="1"/>
    <col min="11493" max="11512" width="2.85546875" style="136" customWidth="1"/>
    <col min="11513" max="11513" width="3" style="136" bestFit="1" customWidth="1"/>
    <col min="11514" max="11514" width="10.5703125" style="136" customWidth="1"/>
    <col min="11515" max="11517" width="0" style="136" hidden="1" customWidth="1"/>
    <col min="11518" max="11746" width="9.140625" style="136"/>
    <col min="11747" max="11747" width="3" style="136" customWidth="1"/>
    <col min="11748" max="11748" width="18.7109375" style="136" customWidth="1"/>
    <col min="11749" max="11768" width="2.85546875" style="136" customWidth="1"/>
    <col min="11769" max="11769" width="3" style="136" bestFit="1" customWidth="1"/>
    <col min="11770" max="11770" width="10.5703125" style="136" customWidth="1"/>
    <col min="11771" max="11773" width="0" style="136" hidden="1" customWidth="1"/>
    <col min="11774" max="12002" width="9.140625" style="136"/>
    <col min="12003" max="12003" width="3" style="136" customWidth="1"/>
    <col min="12004" max="12004" width="18.7109375" style="136" customWidth="1"/>
    <col min="12005" max="12024" width="2.85546875" style="136" customWidth="1"/>
    <col min="12025" max="12025" width="3" style="136" bestFit="1" customWidth="1"/>
    <col min="12026" max="12026" width="10.5703125" style="136" customWidth="1"/>
    <col min="12027" max="12029" width="0" style="136" hidden="1" customWidth="1"/>
    <col min="12030" max="12258" width="9.140625" style="136"/>
    <col min="12259" max="12259" width="3" style="136" customWidth="1"/>
    <col min="12260" max="12260" width="18.7109375" style="136" customWidth="1"/>
    <col min="12261" max="12280" width="2.85546875" style="136" customWidth="1"/>
    <col min="12281" max="12281" width="3" style="136" bestFit="1" customWidth="1"/>
    <col min="12282" max="12282" width="10.5703125" style="136" customWidth="1"/>
    <col min="12283" max="12285" width="0" style="136" hidden="1" customWidth="1"/>
    <col min="12286" max="12514" width="9.140625" style="136"/>
    <col min="12515" max="12515" width="3" style="136" customWidth="1"/>
    <col min="12516" max="12516" width="18.7109375" style="136" customWidth="1"/>
    <col min="12517" max="12536" width="2.85546875" style="136" customWidth="1"/>
    <col min="12537" max="12537" width="3" style="136" bestFit="1" customWidth="1"/>
    <col min="12538" max="12538" width="10.5703125" style="136" customWidth="1"/>
    <col min="12539" max="12541" width="0" style="136" hidden="1" customWidth="1"/>
    <col min="12542" max="12770" width="9.140625" style="136"/>
    <col min="12771" max="12771" width="3" style="136" customWidth="1"/>
    <col min="12772" max="12772" width="18.7109375" style="136" customWidth="1"/>
    <col min="12773" max="12792" width="2.85546875" style="136" customWidth="1"/>
    <col min="12793" max="12793" width="3" style="136" bestFit="1" customWidth="1"/>
    <col min="12794" max="12794" width="10.5703125" style="136" customWidth="1"/>
    <col min="12795" max="12797" width="0" style="136" hidden="1" customWidth="1"/>
    <col min="12798" max="13026" width="9.140625" style="136"/>
    <col min="13027" max="13027" width="3" style="136" customWidth="1"/>
    <col min="13028" max="13028" width="18.7109375" style="136" customWidth="1"/>
    <col min="13029" max="13048" width="2.85546875" style="136" customWidth="1"/>
    <col min="13049" max="13049" width="3" style="136" bestFit="1" customWidth="1"/>
    <col min="13050" max="13050" width="10.5703125" style="136" customWidth="1"/>
    <col min="13051" max="13053" width="0" style="136" hidden="1" customWidth="1"/>
    <col min="13054" max="13282" width="9.140625" style="136"/>
    <col min="13283" max="13283" width="3" style="136" customWidth="1"/>
    <col min="13284" max="13284" width="18.7109375" style="136" customWidth="1"/>
    <col min="13285" max="13304" width="2.85546875" style="136" customWidth="1"/>
    <col min="13305" max="13305" width="3" style="136" bestFit="1" customWidth="1"/>
    <col min="13306" max="13306" width="10.5703125" style="136" customWidth="1"/>
    <col min="13307" max="13309" width="0" style="136" hidden="1" customWidth="1"/>
    <col min="13310" max="13538" width="9.140625" style="136"/>
    <col min="13539" max="13539" width="3" style="136" customWidth="1"/>
    <col min="13540" max="13540" width="18.7109375" style="136" customWidth="1"/>
    <col min="13541" max="13560" width="2.85546875" style="136" customWidth="1"/>
    <col min="13561" max="13561" width="3" style="136" bestFit="1" customWidth="1"/>
    <col min="13562" max="13562" width="10.5703125" style="136" customWidth="1"/>
    <col min="13563" max="13565" width="0" style="136" hidden="1" customWidth="1"/>
    <col min="13566" max="13794" width="9.140625" style="136"/>
    <col min="13795" max="13795" width="3" style="136" customWidth="1"/>
    <col min="13796" max="13796" width="18.7109375" style="136" customWidth="1"/>
    <col min="13797" max="13816" width="2.85546875" style="136" customWidth="1"/>
    <col min="13817" max="13817" width="3" style="136" bestFit="1" customWidth="1"/>
    <col min="13818" max="13818" width="10.5703125" style="136" customWidth="1"/>
    <col min="13819" max="13821" width="0" style="136" hidden="1" customWidth="1"/>
    <col min="13822" max="14050" width="9.140625" style="136"/>
    <col min="14051" max="14051" width="3" style="136" customWidth="1"/>
    <col min="14052" max="14052" width="18.7109375" style="136" customWidth="1"/>
    <col min="14053" max="14072" width="2.85546875" style="136" customWidth="1"/>
    <col min="14073" max="14073" width="3" style="136" bestFit="1" customWidth="1"/>
    <col min="14074" max="14074" width="10.5703125" style="136" customWidth="1"/>
    <col min="14075" max="14077" width="0" style="136" hidden="1" customWidth="1"/>
    <col min="14078" max="14306" width="9.140625" style="136"/>
    <col min="14307" max="14307" width="3" style="136" customWidth="1"/>
    <col min="14308" max="14308" width="18.7109375" style="136" customWidth="1"/>
    <col min="14309" max="14328" width="2.85546875" style="136" customWidth="1"/>
    <col min="14329" max="14329" width="3" style="136" bestFit="1" customWidth="1"/>
    <col min="14330" max="14330" width="10.5703125" style="136" customWidth="1"/>
    <col min="14331" max="14333" width="0" style="136" hidden="1" customWidth="1"/>
    <col min="14334" max="14562" width="9.140625" style="136"/>
    <col min="14563" max="14563" width="3" style="136" customWidth="1"/>
    <col min="14564" max="14564" width="18.7109375" style="136" customWidth="1"/>
    <col min="14565" max="14584" width="2.85546875" style="136" customWidth="1"/>
    <col min="14585" max="14585" width="3" style="136" bestFit="1" customWidth="1"/>
    <col min="14586" max="14586" width="10.5703125" style="136" customWidth="1"/>
    <col min="14587" max="14589" width="0" style="136" hidden="1" customWidth="1"/>
    <col min="14590" max="14818" width="9.140625" style="136"/>
    <col min="14819" max="14819" width="3" style="136" customWidth="1"/>
    <col min="14820" max="14820" width="18.7109375" style="136" customWidth="1"/>
    <col min="14821" max="14840" width="2.85546875" style="136" customWidth="1"/>
    <col min="14841" max="14841" width="3" style="136" bestFit="1" customWidth="1"/>
    <col min="14842" max="14842" width="10.5703125" style="136" customWidth="1"/>
    <col min="14843" max="14845" width="0" style="136" hidden="1" customWidth="1"/>
    <col min="14846" max="15074" width="9.140625" style="136"/>
    <col min="15075" max="15075" width="3" style="136" customWidth="1"/>
    <col min="15076" max="15076" width="18.7109375" style="136" customWidth="1"/>
    <col min="15077" max="15096" width="2.85546875" style="136" customWidth="1"/>
    <col min="15097" max="15097" width="3" style="136" bestFit="1" customWidth="1"/>
    <col min="15098" max="15098" width="10.5703125" style="136" customWidth="1"/>
    <col min="15099" max="15101" width="0" style="136" hidden="1" customWidth="1"/>
    <col min="15102" max="15330" width="9.140625" style="136"/>
    <col min="15331" max="15331" width="3" style="136" customWidth="1"/>
    <col min="15332" max="15332" width="18.7109375" style="136" customWidth="1"/>
    <col min="15333" max="15352" width="2.85546875" style="136" customWidth="1"/>
    <col min="15353" max="15353" width="3" style="136" bestFit="1" customWidth="1"/>
    <col min="15354" max="15354" width="10.5703125" style="136" customWidth="1"/>
    <col min="15355" max="15357" width="0" style="136" hidden="1" customWidth="1"/>
    <col min="15358" max="15586" width="9.140625" style="136"/>
    <col min="15587" max="15587" width="3" style="136" customWidth="1"/>
    <col min="15588" max="15588" width="18.7109375" style="136" customWidth="1"/>
    <col min="15589" max="15608" width="2.85546875" style="136" customWidth="1"/>
    <col min="15609" max="15609" width="3" style="136" bestFit="1" customWidth="1"/>
    <col min="15610" max="15610" width="10.5703125" style="136" customWidth="1"/>
    <col min="15611" max="15613" width="0" style="136" hidden="1" customWidth="1"/>
    <col min="15614" max="15842" width="9.140625" style="136"/>
    <col min="15843" max="15843" width="3" style="136" customWidth="1"/>
    <col min="15844" max="15844" width="18.7109375" style="136" customWidth="1"/>
    <col min="15845" max="15864" width="2.85546875" style="136" customWidth="1"/>
    <col min="15865" max="15865" width="3" style="136" bestFit="1" customWidth="1"/>
    <col min="15866" max="15866" width="10.5703125" style="136" customWidth="1"/>
    <col min="15867" max="15869" width="0" style="136" hidden="1" customWidth="1"/>
    <col min="15870" max="16098" width="9.140625" style="136"/>
    <col min="16099" max="16099" width="3" style="136" customWidth="1"/>
    <col min="16100" max="16100" width="18.7109375" style="136" customWidth="1"/>
    <col min="16101" max="16120" width="2.85546875" style="136" customWidth="1"/>
    <col min="16121" max="16121" width="3" style="136" bestFit="1" customWidth="1"/>
    <col min="16122" max="16122" width="10.5703125" style="136" customWidth="1"/>
    <col min="16123" max="16125" width="0" style="136" hidden="1" customWidth="1"/>
    <col min="16126" max="16384" width="9.140625" style="136"/>
  </cols>
  <sheetData>
    <row r="1" spans="1:25" s="42" customFormat="1" x14ac:dyDescent="0.2">
      <c r="A1" s="72" t="str">
        <f>UPPER((Kalend!E29)&amp;" - "&amp;(Kalend!C29)&amp;" - "&amp;(Kalend!D29))</f>
        <v>9 - EESTI SISE-MV - TULISTAMINE</v>
      </c>
      <c r="B1" s="27"/>
      <c r="C1" s="27"/>
      <c r="D1" s="27"/>
      <c r="E1" s="27"/>
      <c r="N1" s="41" t="str">
        <f>HYPERLINK("#'Kalend'!I1","Kalender")</f>
        <v>Kalender</v>
      </c>
      <c r="O1" s="79"/>
      <c r="Q1" s="79"/>
      <c r="S1" s="41" t="str">
        <f>HYPERLINK("#Üldreiting!W1","Reiting")</f>
        <v>Reiting</v>
      </c>
      <c r="T1" s="27"/>
      <c r="U1" s="27"/>
      <c r="V1" s="27"/>
    </row>
    <row r="2" spans="1:25" s="42" customFormat="1" x14ac:dyDescent="0.2">
      <c r="A2" s="79" t="str">
        <f>"Toimumisaeg: "&amp;(Kalend!A29)&amp;" kell "&amp;(Kalend!B29)</f>
        <v>Toimumisaeg: P, 18.02.2018 kell 10:00</v>
      </c>
      <c r="B2" s="27"/>
      <c r="C2" s="27"/>
      <c r="D2" s="27"/>
      <c r="E2" s="27"/>
      <c r="O2" s="27"/>
      <c r="P2" s="27"/>
      <c r="R2" s="27"/>
      <c r="S2" s="27"/>
      <c r="T2" s="27"/>
    </row>
    <row r="3" spans="1:25" s="42" customFormat="1" x14ac:dyDescent="0.2">
      <c r="A3" s="79" t="str">
        <f>"Toimumiskoht: "&amp;(Kalend!F29)</f>
        <v>Toimumiskoht: Tallinn, Algi 38</v>
      </c>
      <c r="B3" s="27"/>
      <c r="C3" s="27"/>
      <c r="D3" s="27"/>
      <c r="E3" s="27"/>
      <c r="O3" s="27"/>
      <c r="P3" s="27"/>
      <c r="Q3" s="27"/>
      <c r="R3" s="27"/>
      <c r="S3" s="27"/>
      <c r="T3" s="27"/>
    </row>
    <row r="4" spans="1:25" s="42" customFormat="1" x14ac:dyDescent="0.2">
      <c r="A4" s="79" t="str">
        <f>"Korraldaja: "&amp;(Kalend!G29)</f>
        <v>Korraldaja: EPKL</v>
      </c>
      <c r="B4" s="27"/>
      <c r="C4" s="27"/>
      <c r="D4" s="27"/>
      <c r="E4" s="27"/>
      <c r="O4" s="27"/>
      <c r="P4" s="27"/>
      <c r="Q4" s="27"/>
      <c r="R4" s="27"/>
      <c r="S4" s="27"/>
      <c r="T4" s="27"/>
    </row>
    <row r="5" spans="1:25" s="42" customFormat="1" ht="13.5" thickBot="1" x14ac:dyDescent="0.25">
      <c r="A5" s="27"/>
      <c r="B5" s="27"/>
      <c r="C5" s="27"/>
      <c r="D5" s="27"/>
      <c r="E5" s="27"/>
      <c r="F5" s="27"/>
      <c r="G5" s="27"/>
      <c r="H5" s="27"/>
      <c r="I5" s="27"/>
      <c r="J5" s="27"/>
      <c r="K5" s="27"/>
    </row>
    <row r="6" spans="1:25" ht="58.5" customHeight="1" thickBot="1" x14ac:dyDescent="0.25">
      <c r="A6" s="130"/>
      <c r="B6" s="131"/>
      <c r="C6" s="132"/>
      <c r="D6" s="132"/>
      <c r="E6" s="132"/>
      <c r="F6" s="132"/>
      <c r="G6" s="133"/>
      <c r="H6" s="132"/>
      <c r="I6" s="132"/>
      <c r="J6" s="134"/>
      <c r="K6" s="132"/>
      <c r="L6" s="132"/>
      <c r="M6" s="132"/>
      <c r="N6" s="132"/>
      <c r="O6" s="133"/>
      <c r="P6" s="132"/>
      <c r="Q6" s="132"/>
      <c r="R6" s="134"/>
      <c r="S6" s="132"/>
      <c r="T6" s="132"/>
      <c r="U6" s="132"/>
      <c r="V6" s="132"/>
      <c r="W6" s="135"/>
      <c r="X6" s="135"/>
      <c r="Y6" s="276" t="s">
        <v>198</v>
      </c>
    </row>
    <row r="7" spans="1:25" s="142" customFormat="1" ht="13.5" thickBot="1" x14ac:dyDescent="0.25">
      <c r="A7" s="242"/>
      <c r="B7" s="137"/>
      <c r="C7" s="138">
        <v>6</v>
      </c>
      <c r="D7" s="139">
        <v>7</v>
      </c>
      <c r="E7" s="139">
        <v>8</v>
      </c>
      <c r="F7" s="140">
        <v>9</v>
      </c>
      <c r="G7" s="138">
        <v>6</v>
      </c>
      <c r="H7" s="139">
        <v>7</v>
      </c>
      <c r="I7" s="139">
        <v>8</v>
      </c>
      <c r="J7" s="140">
        <v>9</v>
      </c>
      <c r="K7" s="138">
        <v>6</v>
      </c>
      <c r="L7" s="139">
        <v>7</v>
      </c>
      <c r="M7" s="139">
        <v>8</v>
      </c>
      <c r="N7" s="140">
        <v>9</v>
      </c>
      <c r="O7" s="138">
        <v>6</v>
      </c>
      <c r="P7" s="139">
        <v>7</v>
      </c>
      <c r="Q7" s="139">
        <v>8</v>
      </c>
      <c r="R7" s="140">
        <v>9</v>
      </c>
      <c r="S7" s="138">
        <v>6</v>
      </c>
      <c r="T7" s="139">
        <v>7</v>
      </c>
      <c r="U7" s="139">
        <v>8</v>
      </c>
      <c r="V7" s="140">
        <v>9</v>
      </c>
      <c r="W7" s="277" t="s">
        <v>87</v>
      </c>
      <c r="X7" s="141" t="s">
        <v>842</v>
      </c>
      <c r="Y7" s="141" t="s">
        <v>196</v>
      </c>
    </row>
    <row r="8" spans="1:25" ht="13.5" thickBot="1" x14ac:dyDescent="0.25">
      <c r="A8" s="641" t="s">
        <v>908</v>
      </c>
      <c r="B8" s="642" t="s">
        <v>840</v>
      </c>
      <c r="C8" s="606"/>
      <c r="D8" s="606"/>
      <c r="E8" s="606"/>
      <c r="F8" s="606"/>
      <c r="G8" s="606"/>
      <c r="H8" s="606"/>
      <c r="I8" s="606"/>
      <c r="J8" s="606"/>
      <c r="K8" s="606"/>
      <c r="L8" s="606"/>
      <c r="M8" s="606"/>
      <c r="N8" s="606"/>
      <c r="O8" s="606"/>
      <c r="P8" s="606"/>
      <c r="Q8" s="606"/>
      <c r="R8" s="606"/>
      <c r="S8" s="606"/>
      <c r="T8" s="606"/>
      <c r="U8" s="606"/>
      <c r="V8" s="606"/>
      <c r="W8" s="684"/>
      <c r="X8" s="643"/>
      <c r="Y8" s="157"/>
    </row>
    <row r="9" spans="1:25" x14ac:dyDescent="0.2">
      <c r="A9" s="607">
        <v>1</v>
      </c>
      <c r="B9" s="608" t="s">
        <v>227</v>
      </c>
      <c r="C9" s="609">
        <v>3</v>
      </c>
      <c r="D9" s="610">
        <v>3</v>
      </c>
      <c r="E9" s="610">
        <v>3</v>
      </c>
      <c r="F9" s="611">
        <v>0</v>
      </c>
      <c r="G9" s="609">
        <v>0</v>
      </c>
      <c r="H9" s="610">
        <v>1</v>
      </c>
      <c r="I9" s="610">
        <v>0</v>
      </c>
      <c r="J9" s="611">
        <v>0</v>
      </c>
      <c r="K9" s="609">
        <v>3</v>
      </c>
      <c r="L9" s="610">
        <v>0</v>
      </c>
      <c r="M9" s="610">
        <v>0</v>
      </c>
      <c r="N9" s="611">
        <v>0</v>
      </c>
      <c r="O9" s="609">
        <v>0</v>
      </c>
      <c r="P9" s="610">
        <v>0</v>
      </c>
      <c r="Q9" s="610">
        <v>0</v>
      </c>
      <c r="R9" s="611">
        <v>3</v>
      </c>
      <c r="S9" s="609">
        <v>0</v>
      </c>
      <c r="T9" s="610">
        <v>5</v>
      </c>
      <c r="U9" s="610">
        <v>0</v>
      </c>
      <c r="V9" s="611">
        <v>0</v>
      </c>
      <c r="W9" s="281">
        <f>SUM(C9:V9)+COUNTIF(C9:V9,5)/100+COUNTIF(C9:V9,3)/10000</f>
        <v>21.0105</v>
      </c>
      <c r="X9" s="612" t="str">
        <f t="shared" ref="X9:X15" si="0">IF(COUNTA(C9:V9)=0,"",IF(RANK(W9,W$9:W$34)&lt;5,"edasi "&amp;RANK(W9,W$9:W$34),IF(RANK(W9,W$9:W$34)&lt;13,"vahevooru "&amp;RANK(W9,W$9:W$34)-4,RANK(W9,W$9:W$34))))</f>
        <v>vahevooru 4</v>
      </c>
    </row>
    <row r="10" spans="1:25" x14ac:dyDescent="0.2">
      <c r="A10" s="206">
        <v>2</v>
      </c>
      <c r="B10" s="228" t="s">
        <v>192</v>
      </c>
      <c r="C10" s="207">
        <v>0</v>
      </c>
      <c r="D10" s="208">
        <v>0</v>
      </c>
      <c r="E10" s="208">
        <v>3</v>
      </c>
      <c r="F10" s="209">
        <v>0</v>
      </c>
      <c r="G10" s="207">
        <v>0</v>
      </c>
      <c r="H10" s="208">
        <v>0</v>
      </c>
      <c r="I10" s="208">
        <v>3</v>
      </c>
      <c r="J10" s="209">
        <v>0</v>
      </c>
      <c r="K10" s="207">
        <v>0</v>
      </c>
      <c r="L10" s="208">
        <v>0</v>
      </c>
      <c r="M10" s="208">
        <v>0</v>
      </c>
      <c r="N10" s="209">
        <v>0</v>
      </c>
      <c r="O10" s="207">
        <v>0</v>
      </c>
      <c r="P10" s="208">
        <v>0</v>
      </c>
      <c r="Q10" s="208">
        <v>0</v>
      </c>
      <c r="R10" s="209">
        <v>0</v>
      </c>
      <c r="S10" s="207">
        <v>0</v>
      </c>
      <c r="T10" s="208">
        <v>5</v>
      </c>
      <c r="U10" s="208">
        <v>0</v>
      </c>
      <c r="V10" s="209">
        <v>0</v>
      </c>
      <c r="W10" s="278">
        <f t="shared" ref="W10:W34" si="1">SUM(C10:V10)+COUNTIF(C10:V10,5)/100+COUNTIF(C10:V10,3)/10000</f>
        <v>11.010199999999999</v>
      </c>
      <c r="X10" s="210">
        <f t="shared" si="0"/>
        <v>14</v>
      </c>
    </row>
    <row r="11" spans="1:25" x14ac:dyDescent="0.2">
      <c r="A11" s="149">
        <v>3</v>
      </c>
      <c r="B11" s="229" t="s">
        <v>191</v>
      </c>
      <c r="C11" s="151">
        <v>3</v>
      </c>
      <c r="D11" s="152">
        <v>3</v>
      </c>
      <c r="E11" s="152">
        <v>5</v>
      </c>
      <c r="F11" s="153">
        <v>0</v>
      </c>
      <c r="G11" s="151">
        <v>0</v>
      </c>
      <c r="H11" s="152">
        <v>0</v>
      </c>
      <c r="I11" s="152">
        <v>0</v>
      </c>
      <c r="J11" s="153">
        <v>0</v>
      </c>
      <c r="K11" s="151">
        <v>1</v>
      </c>
      <c r="L11" s="152">
        <v>1</v>
      </c>
      <c r="M11" s="152">
        <v>1</v>
      </c>
      <c r="N11" s="153">
        <v>1</v>
      </c>
      <c r="O11" s="151">
        <v>0</v>
      </c>
      <c r="P11" s="152">
        <v>0</v>
      </c>
      <c r="Q11" s="152">
        <v>0</v>
      </c>
      <c r="R11" s="153">
        <v>0</v>
      </c>
      <c r="S11" s="151">
        <v>0</v>
      </c>
      <c r="T11" s="152">
        <v>0</v>
      </c>
      <c r="U11" s="152">
        <v>0</v>
      </c>
      <c r="V11" s="153">
        <v>0</v>
      </c>
      <c r="W11" s="278">
        <f t="shared" si="1"/>
        <v>15.010199999999999</v>
      </c>
      <c r="X11" s="154" t="str">
        <f t="shared" si="0"/>
        <v>vahevooru 6</v>
      </c>
      <c r="Y11" s="232"/>
    </row>
    <row r="12" spans="1:25" x14ac:dyDescent="0.2">
      <c r="A12" s="149">
        <v>4</v>
      </c>
      <c r="B12" s="229" t="s">
        <v>104</v>
      </c>
      <c r="C12" s="151">
        <v>1</v>
      </c>
      <c r="D12" s="152">
        <v>0</v>
      </c>
      <c r="E12" s="152">
        <v>1</v>
      </c>
      <c r="F12" s="153">
        <v>0</v>
      </c>
      <c r="G12" s="151">
        <v>0</v>
      </c>
      <c r="H12" s="152">
        <v>0</v>
      </c>
      <c r="I12" s="152">
        <v>1</v>
      </c>
      <c r="J12" s="153">
        <v>0</v>
      </c>
      <c r="K12" s="151">
        <v>0</v>
      </c>
      <c r="L12" s="152">
        <v>1</v>
      </c>
      <c r="M12" s="152">
        <v>0</v>
      </c>
      <c r="N12" s="153">
        <v>0</v>
      </c>
      <c r="O12" s="151">
        <v>0</v>
      </c>
      <c r="P12" s="152">
        <v>3</v>
      </c>
      <c r="Q12" s="152">
        <v>0</v>
      </c>
      <c r="R12" s="153">
        <v>0</v>
      </c>
      <c r="S12" s="151">
        <v>5</v>
      </c>
      <c r="T12" s="152">
        <v>0</v>
      </c>
      <c r="U12" s="152">
        <v>0</v>
      </c>
      <c r="V12" s="153">
        <v>0</v>
      </c>
      <c r="W12" s="278">
        <f t="shared" si="1"/>
        <v>12.0101</v>
      </c>
      <c r="X12" s="154" t="str">
        <f t="shared" si="0"/>
        <v>vahevooru 8</v>
      </c>
    </row>
    <row r="13" spans="1:25" x14ac:dyDescent="0.2">
      <c r="A13" s="206">
        <v>5</v>
      </c>
      <c r="B13" s="613" t="s">
        <v>189</v>
      </c>
      <c r="C13" s="207">
        <v>3</v>
      </c>
      <c r="D13" s="208">
        <v>3</v>
      </c>
      <c r="E13" s="208">
        <v>3</v>
      </c>
      <c r="F13" s="209">
        <v>0</v>
      </c>
      <c r="G13" s="207">
        <v>0</v>
      </c>
      <c r="H13" s="208">
        <v>0</v>
      </c>
      <c r="I13" s="208">
        <v>0</v>
      </c>
      <c r="J13" s="209">
        <v>0</v>
      </c>
      <c r="K13" s="207">
        <v>3</v>
      </c>
      <c r="L13" s="208">
        <v>0</v>
      </c>
      <c r="M13" s="208">
        <v>3</v>
      </c>
      <c r="N13" s="209">
        <v>0</v>
      </c>
      <c r="O13" s="207">
        <v>0</v>
      </c>
      <c r="P13" s="208">
        <v>0</v>
      </c>
      <c r="Q13" s="208">
        <v>0</v>
      </c>
      <c r="R13" s="209">
        <v>0</v>
      </c>
      <c r="S13" s="207">
        <v>0</v>
      </c>
      <c r="T13" s="208">
        <v>0</v>
      </c>
      <c r="U13" s="208">
        <v>0</v>
      </c>
      <c r="V13" s="209">
        <v>0</v>
      </c>
      <c r="W13" s="278">
        <f t="shared" si="1"/>
        <v>15.000500000000001</v>
      </c>
      <c r="X13" s="210" t="str">
        <f t="shared" si="0"/>
        <v>vahevooru 7</v>
      </c>
    </row>
    <row r="14" spans="1:25" x14ac:dyDescent="0.2">
      <c r="A14" s="206">
        <v>6</v>
      </c>
      <c r="B14" s="584" t="s">
        <v>21</v>
      </c>
      <c r="C14" s="207">
        <v>0</v>
      </c>
      <c r="D14" s="208">
        <v>3</v>
      </c>
      <c r="E14" s="208">
        <v>0</v>
      </c>
      <c r="F14" s="209">
        <v>0</v>
      </c>
      <c r="G14" s="207">
        <v>3</v>
      </c>
      <c r="H14" s="208">
        <v>0</v>
      </c>
      <c r="I14" s="208">
        <v>0</v>
      </c>
      <c r="J14" s="209">
        <v>0</v>
      </c>
      <c r="K14" s="207">
        <v>0</v>
      </c>
      <c r="L14" s="208">
        <v>1</v>
      </c>
      <c r="M14" s="208">
        <v>0</v>
      </c>
      <c r="N14" s="209">
        <v>1</v>
      </c>
      <c r="O14" s="207">
        <v>3</v>
      </c>
      <c r="P14" s="208">
        <v>0</v>
      </c>
      <c r="Q14" s="208">
        <v>0</v>
      </c>
      <c r="R14" s="209">
        <v>0</v>
      </c>
      <c r="S14" s="207">
        <v>0</v>
      </c>
      <c r="T14" s="208">
        <v>0</v>
      </c>
      <c r="U14" s="208">
        <v>0</v>
      </c>
      <c r="V14" s="209">
        <v>0</v>
      </c>
      <c r="W14" s="278">
        <f t="shared" si="1"/>
        <v>11.000299999999999</v>
      </c>
      <c r="X14" s="210">
        <f t="shared" si="0"/>
        <v>15</v>
      </c>
    </row>
    <row r="15" spans="1:25" x14ac:dyDescent="0.2">
      <c r="A15" s="149">
        <v>7</v>
      </c>
      <c r="B15" s="196" t="s">
        <v>143</v>
      </c>
      <c r="C15" s="151">
        <v>5</v>
      </c>
      <c r="D15" s="152">
        <v>0</v>
      </c>
      <c r="E15" s="152">
        <v>0</v>
      </c>
      <c r="F15" s="153">
        <v>0</v>
      </c>
      <c r="G15" s="151">
        <v>0</v>
      </c>
      <c r="H15" s="152">
        <v>0</v>
      </c>
      <c r="I15" s="152">
        <v>0</v>
      </c>
      <c r="J15" s="153">
        <v>0</v>
      </c>
      <c r="K15" s="151">
        <v>0</v>
      </c>
      <c r="L15" s="152">
        <v>1</v>
      </c>
      <c r="M15" s="152">
        <v>0</v>
      </c>
      <c r="N15" s="153">
        <v>0</v>
      </c>
      <c r="O15" s="151">
        <v>0</v>
      </c>
      <c r="P15" s="152">
        <v>0</v>
      </c>
      <c r="Q15" s="152">
        <v>0</v>
      </c>
      <c r="R15" s="153">
        <v>0</v>
      </c>
      <c r="S15" s="151">
        <v>0</v>
      </c>
      <c r="T15" s="152">
        <v>0</v>
      </c>
      <c r="U15" s="152">
        <v>5</v>
      </c>
      <c r="V15" s="153">
        <v>0</v>
      </c>
      <c r="W15" s="278">
        <f t="shared" si="1"/>
        <v>11.02</v>
      </c>
      <c r="X15" s="154">
        <f t="shared" si="0"/>
        <v>13</v>
      </c>
    </row>
    <row r="16" spans="1:25" x14ac:dyDescent="0.2">
      <c r="A16" s="593"/>
      <c r="B16" s="594" t="s">
        <v>837</v>
      </c>
      <c r="C16" s="595" t="s">
        <v>81</v>
      </c>
      <c r="D16" s="596" t="s">
        <v>81</v>
      </c>
      <c r="E16" s="596" t="s">
        <v>81</v>
      </c>
      <c r="F16" s="597" t="s">
        <v>81</v>
      </c>
      <c r="G16" s="595" t="s">
        <v>81</v>
      </c>
      <c r="H16" s="596" t="s">
        <v>81</v>
      </c>
      <c r="I16" s="596" t="s">
        <v>81</v>
      </c>
      <c r="J16" s="597" t="s">
        <v>81</v>
      </c>
      <c r="K16" s="595" t="s">
        <v>81</v>
      </c>
      <c r="L16" s="596" t="s">
        <v>81</v>
      </c>
      <c r="M16" s="596" t="s">
        <v>81</v>
      </c>
      <c r="N16" s="597" t="s">
        <v>81</v>
      </c>
      <c r="O16" s="595" t="s">
        <v>81</v>
      </c>
      <c r="P16" s="596" t="s">
        <v>81</v>
      </c>
      <c r="Q16" s="596" t="s">
        <v>81</v>
      </c>
      <c r="R16" s="597" t="s">
        <v>81</v>
      </c>
      <c r="S16" s="595" t="s">
        <v>81</v>
      </c>
      <c r="T16" s="596" t="s">
        <v>81</v>
      </c>
      <c r="U16" s="596" t="s">
        <v>81</v>
      </c>
      <c r="V16" s="597" t="s">
        <v>81</v>
      </c>
      <c r="W16" s="602" t="s">
        <v>81</v>
      </c>
      <c r="X16" s="598" t="s">
        <v>81</v>
      </c>
    </row>
    <row r="17" spans="1:29" x14ac:dyDescent="0.2">
      <c r="A17" s="206">
        <v>8</v>
      </c>
      <c r="B17" s="238" t="s">
        <v>194</v>
      </c>
      <c r="C17" s="239">
        <v>0</v>
      </c>
      <c r="D17" s="240">
        <v>3</v>
      </c>
      <c r="E17" s="240">
        <v>5</v>
      </c>
      <c r="F17" s="241">
        <v>3</v>
      </c>
      <c r="G17" s="239">
        <v>0</v>
      </c>
      <c r="H17" s="240">
        <v>3</v>
      </c>
      <c r="I17" s="240">
        <v>0</v>
      </c>
      <c r="J17" s="241">
        <v>0</v>
      </c>
      <c r="K17" s="239">
        <v>1</v>
      </c>
      <c r="L17" s="240">
        <v>5</v>
      </c>
      <c r="M17" s="240">
        <v>0</v>
      </c>
      <c r="N17" s="241">
        <v>0</v>
      </c>
      <c r="O17" s="239">
        <v>0</v>
      </c>
      <c r="P17" s="240">
        <v>0</v>
      </c>
      <c r="Q17" s="240">
        <v>1</v>
      </c>
      <c r="R17" s="241">
        <v>0</v>
      </c>
      <c r="S17" s="239">
        <v>0</v>
      </c>
      <c r="T17" s="240">
        <v>0</v>
      </c>
      <c r="U17" s="240">
        <v>5</v>
      </c>
      <c r="V17" s="241">
        <v>0</v>
      </c>
      <c r="W17" s="278">
        <f t="shared" si="1"/>
        <v>26.0303</v>
      </c>
      <c r="X17" s="210" t="str">
        <f t="shared" ref="X17:X34" si="2">IF(COUNTA(C17:V17)=0,"",IF(RANK(W17,W$9:W$34)&lt;5,"edasi "&amp;RANK(W17,W$9:W$34),IF(RANK(W17,W$9:W$34)&lt;13,"vahevooru "&amp;RANK(W17,W$9:W$34)-4,RANK(W17,W$9:W$34))))</f>
        <v>vahevooru 1</v>
      </c>
    </row>
    <row r="18" spans="1:29" x14ac:dyDescent="0.2">
      <c r="A18" s="206">
        <v>9</v>
      </c>
      <c r="B18" s="234" t="s">
        <v>49</v>
      </c>
      <c r="C18" s="207">
        <v>0</v>
      </c>
      <c r="D18" s="208">
        <v>0</v>
      </c>
      <c r="E18" s="208">
        <v>3</v>
      </c>
      <c r="F18" s="209">
        <v>0</v>
      </c>
      <c r="G18" s="207">
        <v>3</v>
      </c>
      <c r="H18" s="208">
        <v>0</v>
      </c>
      <c r="I18" s="208">
        <v>0</v>
      </c>
      <c r="J18" s="209">
        <v>3</v>
      </c>
      <c r="K18" s="207">
        <v>0</v>
      </c>
      <c r="L18" s="208">
        <v>1</v>
      </c>
      <c r="M18" s="208">
        <v>0</v>
      </c>
      <c r="N18" s="209">
        <v>0</v>
      </c>
      <c r="O18" s="207">
        <v>5</v>
      </c>
      <c r="P18" s="208">
        <v>0</v>
      </c>
      <c r="Q18" s="208">
        <v>0</v>
      </c>
      <c r="R18" s="209">
        <v>3</v>
      </c>
      <c r="S18" s="207">
        <v>0</v>
      </c>
      <c r="T18" s="208">
        <v>5</v>
      </c>
      <c r="U18" s="208">
        <v>0</v>
      </c>
      <c r="V18" s="209">
        <v>0</v>
      </c>
      <c r="W18" s="278">
        <f t="shared" si="1"/>
        <v>23.020399999999999</v>
      </c>
      <c r="X18" s="210" t="str">
        <f t="shared" si="2"/>
        <v>vahevooru 3</v>
      </c>
    </row>
    <row r="19" spans="1:29" x14ac:dyDescent="0.2">
      <c r="A19" s="149">
        <v>10</v>
      </c>
      <c r="B19" s="227" t="s">
        <v>224</v>
      </c>
      <c r="C19" s="151">
        <v>3</v>
      </c>
      <c r="D19" s="152">
        <v>0</v>
      </c>
      <c r="E19" s="152">
        <v>0</v>
      </c>
      <c r="F19" s="153">
        <v>0</v>
      </c>
      <c r="G19" s="151">
        <v>0</v>
      </c>
      <c r="H19" s="152">
        <v>0</v>
      </c>
      <c r="I19" s="152">
        <v>0</v>
      </c>
      <c r="J19" s="153">
        <v>0</v>
      </c>
      <c r="K19" s="151">
        <v>1</v>
      </c>
      <c r="L19" s="152">
        <v>0</v>
      </c>
      <c r="M19" s="152">
        <v>0</v>
      </c>
      <c r="N19" s="153">
        <v>0</v>
      </c>
      <c r="O19" s="151">
        <v>0</v>
      </c>
      <c r="P19" s="152">
        <v>0</v>
      </c>
      <c r="Q19" s="152">
        <v>0</v>
      </c>
      <c r="R19" s="153">
        <v>0</v>
      </c>
      <c r="S19" s="151">
        <v>0</v>
      </c>
      <c r="T19" s="152">
        <v>0</v>
      </c>
      <c r="U19" s="152">
        <v>5</v>
      </c>
      <c r="V19" s="153">
        <v>0</v>
      </c>
      <c r="W19" s="278">
        <f t="shared" si="1"/>
        <v>9.0100999999999996</v>
      </c>
      <c r="X19" s="154">
        <f t="shared" si="2"/>
        <v>16</v>
      </c>
    </row>
    <row r="20" spans="1:29" x14ac:dyDescent="0.2">
      <c r="A20" s="149">
        <v>11</v>
      </c>
      <c r="B20" s="227" t="s">
        <v>245</v>
      </c>
      <c r="C20" s="151">
        <v>0</v>
      </c>
      <c r="D20" s="152">
        <v>3</v>
      </c>
      <c r="E20" s="152">
        <v>0</v>
      </c>
      <c r="F20" s="153">
        <v>5</v>
      </c>
      <c r="G20" s="151">
        <v>1</v>
      </c>
      <c r="H20" s="152">
        <v>3</v>
      </c>
      <c r="I20" s="152">
        <v>3</v>
      </c>
      <c r="J20" s="153">
        <v>3</v>
      </c>
      <c r="K20" s="151">
        <v>1</v>
      </c>
      <c r="L20" s="152">
        <v>1</v>
      </c>
      <c r="M20" s="152">
        <v>0</v>
      </c>
      <c r="N20" s="153">
        <v>1</v>
      </c>
      <c r="O20" s="151">
        <v>3</v>
      </c>
      <c r="P20" s="152">
        <v>0</v>
      </c>
      <c r="Q20" s="152">
        <v>0</v>
      </c>
      <c r="R20" s="153">
        <v>0</v>
      </c>
      <c r="S20" s="151">
        <v>5</v>
      </c>
      <c r="T20" s="152">
        <v>0</v>
      </c>
      <c r="U20" s="152">
        <v>3</v>
      </c>
      <c r="V20" s="153">
        <v>0</v>
      </c>
      <c r="W20" s="278">
        <f t="shared" si="1"/>
        <v>32.020600000000002</v>
      </c>
      <c r="X20" s="154" t="str">
        <f t="shared" si="2"/>
        <v>edasi 1</v>
      </c>
      <c r="Z20" s="156"/>
      <c r="AA20" s="157"/>
      <c r="AB20" s="157"/>
      <c r="AC20" s="184"/>
    </row>
    <row r="21" spans="1:29" x14ac:dyDescent="0.2">
      <c r="A21" s="206">
        <v>12</v>
      </c>
      <c r="B21" s="238" t="s">
        <v>22</v>
      </c>
      <c r="C21" s="207">
        <v>3</v>
      </c>
      <c r="D21" s="208">
        <v>3</v>
      </c>
      <c r="E21" s="208">
        <v>3</v>
      </c>
      <c r="F21" s="209">
        <v>0</v>
      </c>
      <c r="G21" s="207">
        <v>5</v>
      </c>
      <c r="H21" s="208">
        <v>0</v>
      </c>
      <c r="I21" s="208">
        <v>0</v>
      </c>
      <c r="J21" s="209">
        <v>0</v>
      </c>
      <c r="K21" s="207">
        <v>3</v>
      </c>
      <c r="L21" s="208">
        <v>0</v>
      </c>
      <c r="M21" s="208">
        <v>3</v>
      </c>
      <c r="N21" s="209">
        <v>1</v>
      </c>
      <c r="O21" s="207">
        <v>3</v>
      </c>
      <c r="P21" s="208">
        <v>0</v>
      </c>
      <c r="Q21" s="208">
        <v>0</v>
      </c>
      <c r="R21" s="209">
        <v>0</v>
      </c>
      <c r="S21" s="207">
        <v>0</v>
      </c>
      <c r="T21" s="208">
        <v>5</v>
      </c>
      <c r="U21" s="208">
        <v>0</v>
      </c>
      <c r="V21" s="209">
        <v>0</v>
      </c>
      <c r="W21" s="278">
        <f t="shared" si="1"/>
        <v>29.020599999999998</v>
      </c>
      <c r="X21" s="210" t="str">
        <f t="shared" si="2"/>
        <v>edasi 2</v>
      </c>
      <c r="AC21" s="184"/>
    </row>
    <row r="22" spans="1:29" x14ac:dyDescent="0.2">
      <c r="A22" s="206">
        <v>13</v>
      </c>
      <c r="B22" s="235" t="s">
        <v>225</v>
      </c>
      <c r="C22" s="207">
        <v>5</v>
      </c>
      <c r="D22" s="208">
        <v>3</v>
      </c>
      <c r="E22" s="208">
        <v>3</v>
      </c>
      <c r="F22" s="209">
        <v>0</v>
      </c>
      <c r="G22" s="207">
        <v>0</v>
      </c>
      <c r="H22" s="208">
        <v>0</v>
      </c>
      <c r="I22" s="208">
        <v>3</v>
      </c>
      <c r="J22" s="209">
        <v>0</v>
      </c>
      <c r="K22" s="207">
        <v>0</v>
      </c>
      <c r="L22" s="208">
        <v>0</v>
      </c>
      <c r="M22" s="208">
        <v>0</v>
      </c>
      <c r="N22" s="209">
        <v>0</v>
      </c>
      <c r="O22" s="207">
        <v>0</v>
      </c>
      <c r="P22" s="208">
        <v>0</v>
      </c>
      <c r="Q22" s="208">
        <v>0</v>
      </c>
      <c r="R22" s="209">
        <v>0</v>
      </c>
      <c r="S22" s="207">
        <v>0</v>
      </c>
      <c r="T22" s="208">
        <v>0</v>
      </c>
      <c r="U22" s="208">
        <v>0</v>
      </c>
      <c r="V22" s="209">
        <v>5</v>
      </c>
      <c r="W22" s="278">
        <f t="shared" si="1"/>
        <v>19.020299999999999</v>
      </c>
      <c r="X22" s="210" t="str">
        <f t="shared" si="2"/>
        <v>vahevooru 5</v>
      </c>
      <c r="AC22" s="184"/>
    </row>
    <row r="23" spans="1:29" x14ac:dyDescent="0.2">
      <c r="A23" s="149">
        <v>14</v>
      </c>
      <c r="B23" s="226" t="s">
        <v>52</v>
      </c>
      <c r="C23" s="151">
        <v>0</v>
      </c>
      <c r="D23" s="152">
        <v>3</v>
      </c>
      <c r="E23" s="152">
        <v>1</v>
      </c>
      <c r="F23" s="153">
        <v>3</v>
      </c>
      <c r="G23" s="151">
        <v>3</v>
      </c>
      <c r="H23" s="152">
        <v>0</v>
      </c>
      <c r="I23" s="152">
        <v>0</v>
      </c>
      <c r="J23" s="153">
        <v>0</v>
      </c>
      <c r="K23" s="151">
        <v>1</v>
      </c>
      <c r="L23" s="152">
        <v>0</v>
      </c>
      <c r="M23" s="152">
        <v>0</v>
      </c>
      <c r="N23" s="153">
        <v>1</v>
      </c>
      <c r="O23" s="151">
        <v>3</v>
      </c>
      <c r="P23" s="152">
        <v>3</v>
      </c>
      <c r="Q23" s="152">
        <v>0</v>
      </c>
      <c r="R23" s="153">
        <v>0</v>
      </c>
      <c r="S23" s="151">
        <v>0</v>
      </c>
      <c r="T23" s="152">
        <v>5</v>
      </c>
      <c r="U23" s="152">
        <v>0</v>
      </c>
      <c r="V23" s="153">
        <v>5</v>
      </c>
      <c r="W23" s="278">
        <f t="shared" si="1"/>
        <v>28.020499999999998</v>
      </c>
      <c r="X23" s="154" t="str">
        <f t="shared" si="2"/>
        <v>edasi 4</v>
      </c>
      <c r="AC23" s="184"/>
    </row>
    <row r="24" spans="1:29" x14ac:dyDescent="0.2">
      <c r="A24" s="149">
        <v>15</v>
      </c>
      <c r="B24" s="231" t="s">
        <v>53</v>
      </c>
      <c r="C24" s="151">
        <v>3</v>
      </c>
      <c r="D24" s="152">
        <v>1</v>
      </c>
      <c r="E24" s="152">
        <v>1</v>
      </c>
      <c r="F24" s="153">
        <v>1</v>
      </c>
      <c r="G24" s="151">
        <v>3</v>
      </c>
      <c r="H24" s="152">
        <v>0</v>
      </c>
      <c r="I24" s="152">
        <v>0</v>
      </c>
      <c r="J24" s="153">
        <v>0</v>
      </c>
      <c r="K24" s="151">
        <v>1</v>
      </c>
      <c r="L24" s="152">
        <v>1</v>
      </c>
      <c r="M24" s="152">
        <v>3</v>
      </c>
      <c r="N24" s="153">
        <v>0</v>
      </c>
      <c r="O24" s="151">
        <v>0</v>
      </c>
      <c r="P24" s="152">
        <v>0</v>
      </c>
      <c r="Q24" s="152">
        <v>0</v>
      </c>
      <c r="R24" s="153">
        <v>0</v>
      </c>
      <c r="S24" s="151">
        <v>5</v>
      </c>
      <c r="T24" s="152">
        <v>0</v>
      </c>
      <c r="U24" s="152">
        <v>5</v>
      </c>
      <c r="V24" s="153">
        <v>0</v>
      </c>
      <c r="W24" s="278">
        <f t="shared" si="1"/>
        <v>24.020299999999999</v>
      </c>
      <c r="X24" s="154" t="str">
        <f t="shared" si="2"/>
        <v>vahevooru 2</v>
      </c>
      <c r="AC24" s="184"/>
    </row>
    <row r="25" spans="1:29" x14ac:dyDescent="0.2">
      <c r="A25" s="206">
        <v>16</v>
      </c>
      <c r="B25" s="235" t="s">
        <v>27</v>
      </c>
      <c r="C25" s="207">
        <v>3</v>
      </c>
      <c r="D25" s="208">
        <v>0</v>
      </c>
      <c r="E25" s="208">
        <v>0</v>
      </c>
      <c r="F25" s="209">
        <v>3</v>
      </c>
      <c r="G25" s="207">
        <v>5</v>
      </c>
      <c r="H25" s="208">
        <v>0</v>
      </c>
      <c r="I25" s="208">
        <v>0</v>
      </c>
      <c r="J25" s="209">
        <v>3</v>
      </c>
      <c r="K25" s="207">
        <v>3</v>
      </c>
      <c r="L25" s="208">
        <v>3</v>
      </c>
      <c r="M25" s="208">
        <v>1</v>
      </c>
      <c r="N25" s="209">
        <v>0</v>
      </c>
      <c r="O25" s="207">
        <v>0</v>
      </c>
      <c r="P25" s="208">
        <v>0</v>
      </c>
      <c r="Q25" s="208">
        <v>3</v>
      </c>
      <c r="R25" s="209">
        <v>0</v>
      </c>
      <c r="S25" s="207">
        <v>5</v>
      </c>
      <c r="T25" s="208">
        <v>0</v>
      </c>
      <c r="U25" s="208">
        <v>0</v>
      </c>
      <c r="V25" s="209">
        <v>0</v>
      </c>
      <c r="W25" s="278">
        <f t="shared" si="1"/>
        <v>29.020599999999998</v>
      </c>
      <c r="X25" s="210" t="str">
        <f t="shared" si="2"/>
        <v>edasi 2</v>
      </c>
      <c r="AC25" s="184"/>
    </row>
    <row r="26" spans="1:29" ht="13.5" thickBot="1" x14ac:dyDescent="0.25">
      <c r="A26" s="206"/>
      <c r="B26" s="230"/>
      <c r="C26" s="207"/>
      <c r="D26" s="208"/>
      <c r="E26" s="208"/>
      <c r="F26" s="209"/>
      <c r="G26" s="207"/>
      <c r="H26" s="208"/>
      <c r="I26" s="208"/>
      <c r="J26" s="209"/>
      <c r="K26" s="207"/>
      <c r="L26" s="208"/>
      <c r="M26" s="208"/>
      <c r="N26" s="209"/>
      <c r="O26" s="207"/>
      <c r="P26" s="208"/>
      <c r="Q26" s="208"/>
      <c r="R26" s="209"/>
      <c r="S26" s="207"/>
      <c r="T26" s="208"/>
      <c r="U26" s="208"/>
      <c r="V26" s="209"/>
      <c r="W26" s="278"/>
      <c r="X26" s="210" t="str">
        <f t="shared" si="2"/>
        <v/>
      </c>
      <c r="AC26" s="184"/>
    </row>
    <row r="27" spans="1:29" hidden="1" x14ac:dyDescent="0.2">
      <c r="A27" s="149"/>
      <c r="B27" s="150"/>
      <c r="C27" s="151"/>
      <c r="D27" s="152"/>
      <c r="E27" s="152"/>
      <c r="F27" s="153"/>
      <c r="G27" s="151"/>
      <c r="H27" s="152"/>
      <c r="I27" s="152"/>
      <c r="J27" s="153"/>
      <c r="K27" s="151"/>
      <c r="L27" s="152"/>
      <c r="M27" s="152"/>
      <c r="N27" s="153"/>
      <c r="O27" s="151"/>
      <c r="P27" s="152"/>
      <c r="Q27" s="152"/>
      <c r="R27" s="153"/>
      <c r="S27" s="151"/>
      <c r="T27" s="152"/>
      <c r="U27" s="152"/>
      <c r="V27" s="153"/>
      <c r="W27" s="278">
        <f t="shared" si="1"/>
        <v>0</v>
      </c>
      <c r="X27" s="204" t="str">
        <f t="shared" si="2"/>
        <v/>
      </c>
      <c r="AC27" s="184"/>
    </row>
    <row r="28" spans="1:29" hidden="1" x14ac:dyDescent="0.2">
      <c r="A28" s="149"/>
      <c r="B28" s="194"/>
      <c r="C28" s="151"/>
      <c r="D28" s="152"/>
      <c r="E28" s="152"/>
      <c r="F28" s="153"/>
      <c r="G28" s="151"/>
      <c r="H28" s="152"/>
      <c r="I28" s="152"/>
      <c r="J28" s="153"/>
      <c r="K28" s="151"/>
      <c r="L28" s="152"/>
      <c r="M28" s="152"/>
      <c r="N28" s="153"/>
      <c r="O28" s="151"/>
      <c r="P28" s="152"/>
      <c r="Q28" s="152"/>
      <c r="R28" s="153"/>
      <c r="S28" s="151"/>
      <c r="T28" s="152"/>
      <c r="U28" s="152"/>
      <c r="V28" s="153"/>
      <c r="W28" s="278">
        <f t="shared" si="1"/>
        <v>0</v>
      </c>
      <c r="X28" s="154" t="str">
        <f t="shared" si="2"/>
        <v/>
      </c>
      <c r="AC28" s="184"/>
    </row>
    <row r="29" spans="1:29" hidden="1" x14ac:dyDescent="0.2">
      <c r="A29" s="206"/>
      <c r="B29" s="230"/>
      <c r="C29" s="207"/>
      <c r="D29" s="208"/>
      <c r="E29" s="208"/>
      <c r="F29" s="209"/>
      <c r="G29" s="207"/>
      <c r="H29" s="208"/>
      <c r="I29" s="208"/>
      <c r="J29" s="209"/>
      <c r="K29" s="207"/>
      <c r="L29" s="208"/>
      <c r="M29" s="208"/>
      <c r="N29" s="209"/>
      <c r="O29" s="207"/>
      <c r="P29" s="208"/>
      <c r="Q29" s="208"/>
      <c r="R29" s="209"/>
      <c r="S29" s="207"/>
      <c r="T29" s="208"/>
      <c r="U29" s="208"/>
      <c r="V29" s="209"/>
      <c r="W29" s="278">
        <f t="shared" si="1"/>
        <v>0</v>
      </c>
      <c r="X29" s="210" t="str">
        <f t="shared" si="2"/>
        <v/>
      </c>
      <c r="AC29" s="184"/>
    </row>
    <row r="30" spans="1:29" hidden="1" x14ac:dyDescent="0.2">
      <c r="A30" s="206"/>
      <c r="B30" s="235"/>
      <c r="C30" s="207"/>
      <c r="D30" s="208"/>
      <c r="E30" s="208"/>
      <c r="F30" s="209"/>
      <c r="G30" s="207"/>
      <c r="H30" s="208"/>
      <c r="I30" s="208"/>
      <c r="J30" s="209"/>
      <c r="K30" s="207"/>
      <c r="L30" s="208"/>
      <c r="M30" s="208"/>
      <c r="N30" s="209"/>
      <c r="O30" s="207"/>
      <c r="P30" s="208"/>
      <c r="Q30" s="208"/>
      <c r="R30" s="209"/>
      <c r="S30" s="207"/>
      <c r="T30" s="208"/>
      <c r="U30" s="208"/>
      <c r="V30" s="209"/>
      <c r="W30" s="278">
        <f t="shared" si="1"/>
        <v>0</v>
      </c>
      <c r="X30" s="210" t="str">
        <f t="shared" si="2"/>
        <v/>
      </c>
      <c r="AC30" s="184"/>
    </row>
    <row r="31" spans="1:29" hidden="1" x14ac:dyDescent="0.2">
      <c r="A31" s="149"/>
      <c r="B31" s="226"/>
      <c r="C31" s="151"/>
      <c r="D31" s="152"/>
      <c r="E31" s="152"/>
      <c r="F31" s="153"/>
      <c r="G31" s="151"/>
      <c r="H31" s="152"/>
      <c r="I31" s="152"/>
      <c r="J31" s="153"/>
      <c r="K31" s="151"/>
      <c r="L31" s="152"/>
      <c r="M31" s="152"/>
      <c r="N31" s="153"/>
      <c r="O31" s="151"/>
      <c r="P31" s="152"/>
      <c r="Q31" s="152"/>
      <c r="R31" s="153"/>
      <c r="S31" s="151"/>
      <c r="T31" s="152"/>
      <c r="U31" s="152"/>
      <c r="V31" s="153"/>
      <c r="W31" s="278">
        <f t="shared" si="1"/>
        <v>0</v>
      </c>
      <c r="X31" s="204" t="str">
        <f t="shared" si="2"/>
        <v/>
      </c>
      <c r="AC31" s="184"/>
    </row>
    <row r="32" spans="1:29" hidden="1" x14ac:dyDescent="0.2">
      <c r="A32" s="149"/>
      <c r="B32" s="231"/>
      <c r="C32" s="151"/>
      <c r="D32" s="152"/>
      <c r="E32" s="152"/>
      <c r="F32" s="153"/>
      <c r="G32" s="151"/>
      <c r="H32" s="152"/>
      <c r="I32" s="152"/>
      <c r="J32" s="153"/>
      <c r="K32" s="151"/>
      <c r="L32" s="152"/>
      <c r="M32" s="152"/>
      <c r="N32" s="153"/>
      <c r="O32" s="151"/>
      <c r="P32" s="152"/>
      <c r="Q32" s="152"/>
      <c r="R32" s="153"/>
      <c r="S32" s="151"/>
      <c r="T32" s="152"/>
      <c r="U32" s="152"/>
      <c r="V32" s="153"/>
      <c r="W32" s="278">
        <f t="shared" si="1"/>
        <v>0</v>
      </c>
      <c r="X32" s="154" t="str">
        <f t="shared" si="2"/>
        <v/>
      </c>
      <c r="AC32" s="184"/>
    </row>
    <row r="33" spans="1:29" hidden="1" x14ac:dyDescent="0.2">
      <c r="A33" s="206"/>
      <c r="B33" s="230"/>
      <c r="C33" s="207"/>
      <c r="D33" s="208"/>
      <c r="E33" s="208"/>
      <c r="F33" s="209"/>
      <c r="G33" s="207"/>
      <c r="H33" s="208"/>
      <c r="I33" s="208"/>
      <c r="J33" s="209"/>
      <c r="K33" s="207"/>
      <c r="L33" s="208"/>
      <c r="M33" s="208"/>
      <c r="N33" s="209"/>
      <c r="O33" s="207"/>
      <c r="P33" s="208"/>
      <c r="Q33" s="208"/>
      <c r="R33" s="209"/>
      <c r="S33" s="207"/>
      <c r="T33" s="208"/>
      <c r="U33" s="208"/>
      <c r="V33" s="209"/>
      <c r="W33" s="278">
        <f t="shared" si="1"/>
        <v>0</v>
      </c>
      <c r="X33" s="210" t="str">
        <f t="shared" si="2"/>
        <v/>
      </c>
    </row>
    <row r="34" spans="1:29" ht="13.5" hidden="1" thickBot="1" x14ac:dyDescent="0.25">
      <c r="A34" s="213"/>
      <c r="B34" s="589"/>
      <c r="C34" s="214"/>
      <c r="D34" s="215"/>
      <c r="E34" s="215"/>
      <c r="F34" s="216"/>
      <c r="G34" s="214"/>
      <c r="H34" s="215"/>
      <c r="I34" s="215"/>
      <c r="J34" s="216"/>
      <c r="K34" s="214"/>
      <c r="L34" s="215"/>
      <c r="M34" s="215"/>
      <c r="N34" s="216"/>
      <c r="O34" s="214"/>
      <c r="P34" s="215"/>
      <c r="Q34" s="215"/>
      <c r="R34" s="216"/>
      <c r="S34" s="214"/>
      <c r="T34" s="215"/>
      <c r="U34" s="215"/>
      <c r="V34" s="216"/>
      <c r="W34" s="279">
        <f t="shared" si="1"/>
        <v>0</v>
      </c>
      <c r="X34" s="217" t="str">
        <f t="shared" si="2"/>
        <v/>
      </c>
    </row>
    <row r="35" spans="1:29" ht="13.5" thickBot="1" x14ac:dyDescent="0.25">
      <c r="A35" s="644"/>
      <c r="B35" s="645" t="s">
        <v>843</v>
      </c>
      <c r="C35" s="605"/>
      <c r="D35" s="605"/>
      <c r="E35" s="605"/>
      <c r="F35" s="605"/>
      <c r="G35" s="605"/>
      <c r="H35" s="605"/>
      <c r="I35" s="605"/>
      <c r="J35" s="605"/>
      <c r="K35" s="605"/>
      <c r="L35" s="605"/>
      <c r="M35" s="605"/>
      <c r="N35" s="605"/>
      <c r="O35" s="605"/>
      <c r="P35" s="605"/>
      <c r="Q35" s="605"/>
      <c r="R35" s="605"/>
      <c r="S35" s="605"/>
      <c r="T35" s="605"/>
      <c r="U35" s="605"/>
      <c r="V35" s="605"/>
      <c r="W35" s="646"/>
      <c r="X35" s="646"/>
      <c r="Y35" s="157"/>
      <c r="Z35" s="640"/>
      <c r="AA35" s="165" t="s">
        <v>181</v>
      </c>
      <c r="AB35" s="165" t="s">
        <v>182</v>
      </c>
    </row>
    <row r="36" spans="1:29" hidden="1" x14ac:dyDescent="0.2">
      <c r="A36" s="206"/>
      <c r="B36" s="212"/>
      <c r="C36" s="207"/>
      <c r="D36" s="198"/>
      <c r="E36" s="208"/>
      <c r="F36" s="209"/>
      <c r="G36" s="207"/>
      <c r="H36" s="198"/>
      <c r="I36" s="208"/>
      <c r="J36" s="209"/>
      <c r="K36" s="207"/>
      <c r="L36" s="198"/>
      <c r="M36" s="208"/>
      <c r="N36" s="209"/>
      <c r="O36" s="207"/>
      <c r="P36" s="198"/>
      <c r="Q36" s="208"/>
      <c r="R36" s="209"/>
      <c r="S36" s="207"/>
      <c r="T36" s="198"/>
      <c r="U36" s="208"/>
      <c r="V36" s="209"/>
      <c r="W36" s="278" t="str">
        <f t="shared" ref="W36:W121" si="3">IF(COUNTA(C36:V36)=0,"",SUM(C36:V36)+COUNTIF(C36:V36,5)/100+COUNTIF(C36:V36,3)/10000)</f>
        <v/>
      </c>
      <c r="X36" s="210"/>
      <c r="AC36" s="184"/>
    </row>
    <row r="37" spans="1:29" hidden="1" x14ac:dyDescent="0.2">
      <c r="A37" s="206"/>
      <c r="B37" s="212"/>
      <c r="C37" s="207"/>
      <c r="D37" s="198"/>
      <c r="E37" s="208"/>
      <c r="F37" s="209"/>
      <c r="G37" s="207"/>
      <c r="H37" s="198"/>
      <c r="I37" s="208"/>
      <c r="J37" s="209"/>
      <c r="K37" s="207"/>
      <c r="L37" s="198"/>
      <c r="M37" s="208"/>
      <c r="N37" s="209"/>
      <c r="O37" s="207"/>
      <c r="P37" s="198"/>
      <c r="Q37" s="208"/>
      <c r="R37" s="209"/>
      <c r="S37" s="207"/>
      <c r="T37" s="198"/>
      <c r="U37" s="208"/>
      <c r="V37" s="209"/>
      <c r="W37" s="278" t="str">
        <f t="shared" si="3"/>
        <v/>
      </c>
      <c r="X37" s="210"/>
      <c r="AC37" s="184"/>
    </row>
    <row r="38" spans="1:29" hidden="1" x14ac:dyDescent="0.2">
      <c r="A38" s="206"/>
      <c r="B38" s="211"/>
      <c r="C38" s="207"/>
      <c r="D38" s="198"/>
      <c r="E38" s="208"/>
      <c r="F38" s="209"/>
      <c r="G38" s="207"/>
      <c r="H38" s="198"/>
      <c r="I38" s="208"/>
      <c r="J38" s="209"/>
      <c r="K38" s="207"/>
      <c r="L38" s="198"/>
      <c r="M38" s="208"/>
      <c r="N38" s="209"/>
      <c r="O38" s="207"/>
      <c r="P38" s="198"/>
      <c r="Q38" s="208"/>
      <c r="R38" s="209"/>
      <c r="S38" s="207"/>
      <c r="T38" s="198"/>
      <c r="U38" s="208"/>
      <c r="V38" s="209"/>
      <c r="W38" s="278" t="str">
        <f t="shared" si="3"/>
        <v/>
      </c>
      <c r="X38" s="210"/>
      <c r="AC38" s="184"/>
    </row>
    <row r="39" spans="1:29" ht="13.5" hidden="1" thickBot="1" x14ac:dyDescent="0.25">
      <c r="A39" s="614"/>
      <c r="B39" s="615"/>
      <c r="C39" s="616"/>
      <c r="D39" s="617"/>
      <c r="E39" s="618"/>
      <c r="F39" s="619"/>
      <c r="G39" s="616"/>
      <c r="H39" s="617"/>
      <c r="I39" s="618"/>
      <c r="J39" s="619"/>
      <c r="K39" s="616"/>
      <c r="L39" s="617"/>
      <c r="M39" s="618"/>
      <c r="N39" s="619"/>
      <c r="O39" s="616"/>
      <c r="P39" s="617"/>
      <c r="Q39" s="618"/>
      <c r="R39" s="619"/>
      <c r="S39" s="616"/>
      <c r="T39" s="617"/>
      <c r="U39" s="618"/>
      <c r="V39" s="619"/>
      <c r="W39" s="620" t="str">
        <f t="shared" si="3"/>
        <v/>
      </c>
      <c r="X39" s="621"/>
      <c r="AC39" s="184"/>
    </row>
    <row r="40" spans="1:29" x14ac:dyDescent="0.2">
      <c r="A40" s="143"/>
      <c r="B40" s="622" t="s">
        <v>22</v>
      </c>
      <c r="C40" s="623"/>
      <c r="D40" s="624">
        <v>3</v>
      </c>
      <c r="E40" s="625"/>
      <c r="F40" s="626"/>
      <c r="G40" s="623"/>
      <c r="H40" s="624">
        <v>3</v>
      </c>
      <c r="I40" s="625"/>
      <c r="J40" s="626"/>
      <c r="K40" s="623"/>
      <c r="L40" s="624">
        <v>3</v>
      </c>
      <c r="M40" s="625"/>
      <c r="N40" s="626"/>
      <c r="O40" s="623"/>
      <c r="P40" s="624">
        <v>0</v>
      </c>
      <c r="Q40" s="625"/>
      <c r="R40" s="626"/>
      <c r="S40" s="623"/>
      <c r="T40" s="624">
        <v>0</v>
      </c>
      <c r="U40" s="625"/>
      <c r="V40" s="626"/>
      <c r="W40" s="281">
        <f t="shared" si="3"/>
        <v>9.0002999999999993</v>
      </c>
      <c r="X40" s="760" t="s">
        <v>839</v>
      </c>
      <c r="AC40" s="184"/>
    </row>
    <row r="41" spans="1:29" ht="13.5" thickBot="1" x14ac:dyDescent="0.25">
      <c r="A41" s="149"/>
      <c r="B41" s="181" t="s">
        <v>27</v>
      </c>
      <c r="C41" s="151"/>
      <c r="D41" s="148">
        <v>3</v>
      </c>
      <c r="E41" s="152"/>
      <c r="F41" s="153"/>
      <c r="G41" s="151"/>
      <c r="H41" s="148">
        <v>3</v>
      </c>
      <c r="I41" s="152"/>
      <c r="J41" s="153"/>
      <c r="K41" s="151"/>
      <c r="L41" s="148">
        <v>3</v>
      </c>
      <c r="M41" s="152"/>
      <c r="N41" s="153"/>
      <c r="O41" s="151"/>
      <c r="P41" s="148">
        <v>0</v>
      </c>
      <c r="Q41" s="152"/>
      <c r="R41" s="153"/>
      <c r="S41" s="151"/>
      <c r="T41" s="148">
        <v>5</v>
      </c>
      <c r="U41" s="152"/>
      <c r="V41" s="153"/>
      <c r="W41" s="278">
        <f t="shared" si="3"/>
        <v>14.010299999999999</v>
      </c>
      <c r="X41" s="762" t="s">
        <v>838</v>
      </c>
      <c r="AC41" s="184"/>
    </row>
    <row r="42" spans="1:29" ht="13.5" hidden="1" thickBot="1" x14ac:dyDescent="0.25">
      <c r="A42" s="197"/>
      <c r="B42" s="155"/>
      <c r="C42" s="151"/>
      <c r="D42" s="148"/>
      <c r="E42" s="152"/>
      <c r="F42" s="153"/>
      <c r="G42" s="151"/>
      <c r="H42" s="148"/>
      <c r="I42" s="152"/>
      <c r="J42" s="153"/>
      <c r="K42" s="151"/>
      <c r="L42" s="148"/>
      <c r="M42" s="152"/>
      <c r="N42" s="153"/>
      <c r="O42" s="151"/>
      <c r="P42" s="148"/>
      <c r="Q42" s="152"/>
      <c r="R42" s="153"/>
      <c r="S42" s="151"/>
      <c r="T42" s="148"/>
      <c r="U42" s="152"/>
      <c r="V42" s="153"/>
      <c r="W42" s="278" t="str">
        <f t="shared" ref="W42:W67" si="4">IF(COUNTA(C42:V42)=0,"",SUM(C42:V42)+COUNTIF(C42:V42,5)/100+COUNTIF(C42:V42,3)/10000)</f>
        <v/>
      </c>
      <c r="X42" s="154"/>
    </row>
    <row r="43" spans="1:29" ht="13.5" hidden="1" thickBot="1" x14ac:dyDescent="0.25">
      <c r="A43" s="197"/>
      <c r="B43" s="155"/>
      <c r="C43" s="151"/>
      <c r="D43" s="148"/>
      <c r="E43" s="152"/>
      <c r="F43" s="153"/>
      <c r="G43" s="151"/>
      <c r="H43" s="148"/>
      <c r="I43" s="152"/>
      <c r="J43" s="153"/>
      <c r="K43" s="151"/>
      <c r="L43" s="148"/>
      <c r="M43" s="152"/>
      <c r="N43" s="153"/>
      <c r="O43" s="151"/>
      <c r="P43" s="148"/>
      <c r="Q43" s="152"/>
      <c r="R43" s="153"/>
      <c r="S43" s="151"/>
      <c r="T43" s="148"/>
      <c r="U43" s="152"/>
      <c r="V43" s="153"/>
      <c r="W43" s="278" t="str">
        <f t="shared" si="4"/>
        <v/>
      </c>
      <c r="X43" s="154"/>
    </row>
    <row r="44" spans="1:29" ht="13.5" hidden="1" thickBot="1" x14ac:dyDescent="0.25">
      <c r="A44" s="206"/>
      <c r="B44" s="212"/>
      <c r="C44" s="207"/>
      <c r="D44" s="198"/>
      <c r="E44" s="208"/>
      <c r="F44" s="209"/>
      <c r="G44" s="207"/>
      <c r="H44" s="198"/>
      <c r="I44" s="208"/>
      <c r="J44" s="209"/>
      <c r="K44" s="207"/>
      <c r="L44" s="198"/>
      <c r="M44" s="208"/>
      <c r="N44" s="209"/>
      <c r="O44" s="207"/>
      <c r="P44" s="198"/>
      <c r="Q44" s="208"/>
      <c r="R44" s="209"/>
      <c r="S44" s="207"/>
      <c r="T44" s="198"/>
      <c r="U44" s="208"/>
      <c r="V44" s="209"/>
      <c r="W44" s="278" t="str">
        <f t="shared" si="4"/>
        <v/>
      </c>
      <c r="X44" s="210"/>
      <c r="AC44" s="184"/>
    </row>
    <row r="45" spans="1:29" ht="13.5" hidden="1" thickBot="1" x14ac:dyDescent="0.25">
      <c r="A45" s="206"/>
      <c r="B45" s="212"/>
      <c r="C45" s="207"/>
      <c r="D45" s="198"/>
      <c r="E45" s="208"/>
      <c r="F45" s="209"/>
      <c r="G45" s="207"/>
      <c r="H45" s="198"/>
      <c r="I45" s="208"/>
      <c r="J45" s="209"/>
      <c r="K45" s="207"/>
      <c r="L45" s="198"/>
      <c r="M45" s="208"/>
      <c r="N45" s="209"/>
      <c r="O45" s="207"/>
      <c r="P45" s="198"/>
      <c r="Q45" s="208"/>
      <c r="R45" s="209"/>
      <c r="S45" s="207"/>
      <c r="T45" s="198"/>
      <c r="U45" s="208"/>
      <c r="V45" s="209"/>
      <c r="W45" s="278" t="str">
        <f t="shared" si="4"/>
        <v/>
      </c>
      <c r="X45" s="210"/>
      <c r="AC45" s="184"/>
    </row>
    <row r="46" spans="1:29" ht="13.5" hidden="1" thickBot="1" x14ac:dyDescent="0.25">
      <c r="A46" s="206"/>
      <c r="B46" s="211"/>
      <c r="C46" s="207"/>
      <c r="D46" s="198"/>
      <c r="E46" s="208"/>
      <c r="F46" s="209"/>
      <c r="G46" s="207"/>
      <c r="H46" s="198"/>
      <c r="I46" s="208"/>
      <c r="J46" s="209"/>
      <c r="K46" s="207"/>
      <c r="L46" s="198"/>
      <c r="M46" s="208"/>
      <c r="N46" s="209"/>
      <c r="O46" s="207"/>
      <c r="P46" s="198"/>
      <c r="Q46" s="208"/>
      <c r="R46" s="209"/>
      <c r="S46" s="207"/>
      <c r="T46" s="198"/>
      <c r="U46" s="208"/>
      <c r="V46" s="209"/>
      <c r="W46" s="278" t="str">
        <f t="shared" si="4"/>
        <v/>
      </c>
      <c r="X46" s="210"/>
      <c r="AC46" s="184"/>
    </row>
    <row r="47" spans="1:29" ht="13.5" hidden="1" thickBot="1" x14ac:dyDescent="0.25">
      <c r="A47" s="206"/>
      <c r="B47" s="212"/>
      <c r="C47" s="207"/>
      <c r="D47" s="198"/>
      <c r="E47" s="208"/>
      <c r="F47" s="209"/>
      <c r="G47" s="207"/>
      <c r="H47" s="198"/>
      <c r="I47" s="208"/>
      <c r="J47" s="209"/>
      <c r="K47" s="207"/>
      <c r="L47" s="198"/>
      <c r="M47" s="208"/>
      <c r="N47" s="209"/>
      <c r="O47" s="207"/>
      <c r="P47" s="198"/>
      <c r="Q47" s="208"/>
      <c r="R47" s="209"/>
      <c r="S47" s="207"/>
      <c r="T47" s="198"/>
      <c r="U47" s="208"/>
      <c r="V47" s="209"/>
      <c r="W47" s="278" t="str">
        <f t="shared" si="4"/>
        <v/>
      </c>
      <c r="X47" s="210"/>
      <c r="AC47" s="184"/>
    </row>
    <row r="48" spans="1:29" ht="13.5" hidden="1" thickBot="1" x14ac:dyDescent="0.25">
      <c r="A48" s="149"/>
      <c r="B48" s="195"/>
      <c r="C48" s="151"/>
      <c r="D48" s="148"/>
      <c r="E48" s="152"/>
      <c r="F48" s="153"/>
      <c r="G48" s="151"/>
      <c r="H48" s="148"/>
      <c r="I48" s="152"/>
      <c r="J48" s="153"/>
      <c r="K48" s="151"/>
      <c r="L48" s="148"/>
      <c r="M48" s="152"/>
      <c r="N48" s="153"/>
      <c r="O48" s="151"/>
      <c r="P48" s="148"/>
      <c r="Q48" s="152"/>
      <c r="R48" s="153"/>
      <c r="S48" s="151"/>
      <c r="T48" s="148"/>
      <c r="U48" s="152"/>
      <c r="V48" s="153"/>
      <c r="W48" s="278" t="str">
        <f t="shared" si="4"/>
        <v/>
      </c>
      <c r="X48" s="154"/>
      <c r="AC48" s="184"/>
    </row>
    <row r="49" spans="1:29" ht="13.5" hidden="1" thickBot="1" x14ac:dyDescent="0.25">
      <c r="A49" s="149"/>
      <c r="B49" s="181"/>
      <c r="C49" s="151"/>
      <c r="D49" s="148"/>
      <c r="E49" s="152"/>
      <c r="F49" s="153"/>
      <c r="G49" s="151"/>
      <c r="H49" s="148"/>
      <c r="I49" s="152"/>
      <c r="J49" s="153"/>
      <c r="K49" s="151"/>
      <c r="L49" s="148"/>
      <c r="M49" s="152"/>
      <c r="N49" s="153"/>
      <c r="O49" s="151"/>
      <c r="P49" s="148"/>
      <c r="Q49" s="152"/>
      <c r="R49" s="153"/>
      <c r="S49" s="151"/>
      <c r="T49" s="148"/>
      <c r="U49" s="152"/>
      <c r="V49" s="153"/>
      <c r="W49" s="278" t="str">
        <f t="shared" si="4"/>
        <v/>
      </c>
      <c r="X49" s="154"/>
      <c r="AC49" s="184"/>
    </row>
    <row r="50" spans="1:29" ht="13.5" hidden="1" thickBot="1" x14ac:dyDescent="0.25">
      <c r="A50" s="197"/>
      <c r="B50" s="155"/>
      <c r="C50" s="151"/>
      <c r="D50" s="148"/>
      <c r="E50" s="152"/>
      <c r="F50" s="153"/>
      <c r="G50" s="151"/>
      <c r="H50" s="148"/>
      <c r="I50" s="152"/>
      <c r="J50" s="153"/>
      <c r="K50" s="151"/>
      <c r="L50" s="148"/>
      <c r="M50" s="152"/>
      <c r="N50" s="153"/>
      <c r="O50" s="151"/>
      <c r="P50" s="148"/>
      <c r="Q50" s="152"/>
      <c r="R50" s="153"/>
      <c r="S50" s="151"/>
      <c r="T50" s="148"/>
      <c r="U50" s="152"/>
      <c r="V50" s="153"/>
      <c r="W50" s="278" t="str">
        <f t="shared" si="4"/>
        <v/>
      </c>
      <c r="X50" s="154"/>
    </row>
    <row r="51" spans="1:29" ht="13.5" hidden="1" thickBot="1" x14ac:dyDescent="0.25">
      <c r="A51" s="197"/>
      <c r="B51" s="155"/>
      <c r="C51" s="151"/>
      <c r="D51" s="148"/>
      <c r="E51" s="152"/>
      <c r="F51" s="153"/>
      <c r="G51" s="151"/>
      <c r="H51" s="148"/>
      <c r="I51" s="152"/>
      <c r="J51" s="153"/>
      <c r="K51" s="151"/>
      <c r="L51" s="148"/>
      <c r="M51" s="152"/>
      <c r="N51" s="153"/>
      <c r="O51" s="151"/>
      <c r="P51" s="148"/>
      <c r="Q51" s="152"/>
      <c r="R51" s="153"/>
      <c r="S51" s="151"/>
      <c r="T51" s="148"/>
      <c r="U51" s="152"/>
      <c r="V51" s="153"/>
      <c r="W51" s="278" t="str">
        <f t="shared" si="4"/>
        <v/>
      </c>
      <c r="X51" s="154"/>
    </row>
    <row r="52" spans="1:29" ht="13.5" hidden="1" thickBot="1" x14ac:dyDescent="0.25">
      <c r="A52" s="206"/>
      <c r="B52" s="212"/>
      <c r="C52" s="207"/>
      <c r="D52" s="198"/>
      <c r="E52" s="208"/>
      <c r="F52" s="209"/>
      <c r="G52" s="207"/>
      <c r="H52" s="198"/>
      <c r="I52" s="208"/>
      <c r="J52" s="209"/>
      <c r="K52" s="207"/>
      <c r="L52" s="198"/>
      <c r="M52" s="208"/>
      <c r="N52" s="209"/>
      <c r="O52" s="207"/>
      <c r="P52" s="198"/>
      <c r="Q52" s="208"/>
      <c r="R52" s="209"/>
      <c r="S52" s="207"/>
      <c r="T52" s="198"/>
      <c r="U52" s="208"/>
      <c r="V52" s="209"/>
      <c r="W52" s="278" t="str">
        <f t="shared" si="4"/>
        <v/>
      </c>
      <c r="X52" s="210"/>
      <c r="AC52" s="184"/>
    </row>
    <row r="53" spans="1:29" ht="13.5" hidden="1" thickBot="1" x14ac:dyDescent="0.25">
      <c r="A53" s="206"/>
      <c r="B53" s="212"/>
      <c r="C53" s="207"/>
      <c r="D53" s="198"/>
      <c r="E53" s="208"/>
      <c r="F53" s="209"/>
      <c r="G53" s="207"/>
      <c r="H53" s="198"/>
      <c r="I53" s="208"/>
      <c r="J53" s="209"/>
      <c r="K53" s="207"/>
      <c r="L53" s="198"/>
      <c r="M53" s="208"/>
      <c r="N53" s="209"/>
      <c r="O53" s="207"/>
      <c r="P53" s="198"/>
      <c r="Q53" s="208"/>
      <c r="R53" s="209"/>
      <c r="S53" s="207"/>
      <c r="T53" s="198"/>
      <c r="U53" s="208"/>
      <c r="V53" s="209"/>
      <c r="W53" s="278" t="str">
        <f t="shared" si="4"/>
        <v/>
      </c>
      <c r="X53" s="210"/>
      <c r="AC53" s="184"/>
    </row>
    <row r="54" spans="1:29" ht="13.5" hidden="1" thickBot="1" x14ac:dyDescent="0.25">
      <c r="A54" s="206"/>
      <c r="B54" s="211"/>
      <c r="C54" s="207"/>
      <c r="D54" s="198"/>
      <c r="E54" s="208"/>
      <c r="F54" s="209"/>
      <c r="G54" s="207"/>
      <c r="H54" s="198"/>
      <c r="I54" s="208"/>
      <c r="J54" s="209"/>
      <c r="K54" s="207"/>
      <c r="L54" s="198"/>
      <c r="M54" s="208"/>
      <c r="N54" s="209"/>
      <c r="O54" s="207"/>
      <c r="P54" s="198"/>
      <c r="Q54" s="208"/>
      <c r="R54" s="209"/>
      <c r="S54" s="207"/>
      <c r="T54" s="198"/>
      <c r="U54" s="208"/>
      <c r="V54" s="209"/>
      <c r="W54" s="278" t="str">
        <f t="shared" si="4"/>
        <v/>
      </c>
      <c r="X54" s="210"/>
      <c r="AC54" s="184"/>
    </row>
    <row r="55" spans="1:29" ht="13.5" hidden="1" thickBot="1" x14ac:dyDescent="0.25">
      <c r="A55" s="206"/>
      <c r="B55" s="212"/>
      <c r="C55" s="207"/>
      <c r="D55" s="198"/>
      <c r="E55" s="208"/>
      <c r="F55" s="209"/>
      <c r="G55" s="207"/>
      <c r="H55" s="198"/>
      <c r="I55" s="208"/>
      <c r="J55" s="209"/>
      <c r="K55" s="207"/>
      <c r="L55" s="198"/>
      <c r="M55" s="208"/>
      <c r="N55" s="209"/>
      <c r="O55" s="207"/>
      <c r="P55" s="198"/>
      <c r="Q55" s="208"/>
      <c r="R55" s="209"/>
      <c r="S55" s="207"/>
      <c r="T55" s="198"/>
      <c r="U55" s="208"/>
      <c r="V55" s="209"/>
      <c r="W55" s="278" t="str">
        <f t="shared" si="4"/>
        <v/>
      </c>
      <c r="X55" s="210"/>
      <c r="AC55" s="184"/>
    </row>
    <row r="56" spans="1:29" ht="13.5" hidden="1" thickBot="1" x14ac:dyDescent="0.25">
      <c r="A56" s="149"/>
      <c r="B56" s="195"/>
      <c r="C56" s="151"/>
      <c r="D56" s="148"/>
      <c r="E56" s="152"/>
      <c r="F56" s="153"/>
      <c r="G56" s="151"/>
      <c r="H56" s="148"/>
      <c r="I56" s="152"/>
      <c r="J56" s="153"/>
      <c r="K56" s="151"/>
      <c r="L56" s="148"/>
      <c r="M56" s="152"/>
      <c r="N56" s="153"/>
      <c r="O56" s="151"/>
      <c r="P56" s="148"/>
      <c r="Q56" s="152"/>
      <c r="R56" s="153"/>
      <c r="S56" s="151"/>
      <c r="T56" s="148"/>
      <c r="U56" s="152"/>
      <c r="V56" s="153"/>
      <c r="W56" s="278" t="str">
        <f t="shared" si="4"/>
        <v/>
      </c>
      <c r="X56" s="154"/>
      <c r="AC56" s="184"/>
    </row>
    <row r="57" spans="1:29" ht="13.5" hidden="1" thickBot="1" x14ac:dyDescent="0.25">
      <c r="A57" s="149"/>
      <c r="B57" s="181"/>
      <c r="C57" s="151"/>
      <c r="D57" s="148"/>
      <c r="E57" s="152"/>
      <c r="F57" s="153"/>
      <c r="G57" s="151"/>
      <c r="H57" s="148"/>
      <c r="I57" s="152"/>
      <c r="J57" s="153"/>
      <c r="K57" s="151"/>
      <c r="L57" s="148"/>
      <c r="M57" s="152"/>
      <c r="N57" s="153"/>
      <c r="O57" s="151"/>
      <c r="P57" s="148"/>
      <c r="Q57" s="152"/>
      <c r="R57" s="153"/>
      <c r="S57" s="151"/>
      <c r="T57" s="148"/>
      <c r="U57" s="152"/>
      <c r="V57" s="153"/>
      <c r="W57" s="278" t="str">
        <f t="shared" si="4"/>
        <v/>
      </c>
      <c r="X57" s="154"/>
      <c r="AC57" s="184"/>
    </row>
    <row r="58" spans="1:29" ht="13.5" hidden="1" thickBot="1" x14ac:dyDescent="0.25">
      <c r="A58" s="197"/>
      <c r="B58" s="155"/>
      <c r="C58" s="151"/>
      <c r="D58" s="148"/>
      <c r="E58" s="152"/>
      <c r="F58" s="153"/>
      <c r="G58" s="151"/>
      <c r="H58" s="148"/>
      <c r="I58" s="152"/>
      <c r="J58" s="153"/>
      <c r="K58" s="151"/>
      <c r="L58" s="148"/>
      <c r="M58" s="152"/>
      <c r="N58" s="153"/>
      <c r="O58" s="151"/>
      <c r="P58" s="148"/>
      <c r="Q58" s="152"/>
      <c r="R58" s="153"/>
      <c r="S58" s="151"/>
      <c r="T58" s="148"/>
      <c r="U58" s="152"/>
      <c r="V58" s="153"/>
      <c r="W58" s="278" t="str">
        <f t="shared" si="4"/>
        <v/>
      </c>
      <c r="X58" s="154"/>
    </row>
    <row r="59" spans="1:29" ht="13.5" hidden="1" thickBot="1" x14ac:dyDescent="0.25">
      <c r="A59" s="197"/>
      <c r="B59" s="155"/>
      <c r="C59" s="151"/>
      <c r="D59" s="148"/>
      <c r="E59" s="152"/>
      <c r="F59" s="153"/>
      <c r="G59" s="151"/>
      <c r="H59" s="148"/>
      <c r="I59" s="152"/>
      <c r="J59" s="153"/>
      <c r="K59" s="151"/>
      <c r="L59" s="148"/>
      <c r="M59" s="152"/>
      <c r="N59" s="153"/>
      <c r="O59" s="151"/>
      <c r="P59" s="148"/>
      <c r="Q59" s="152"/>
      <c r="R59" s="153"/>
      <c r="S59" s="151"/>
      <c r="T59" s="148"/>
      <c r="U59" s="152"/>
      <c r="V59" s="153"/>
      <c r="W59" s="278" t="str">
        <f t="shared" si="4"/>
        <v/>
      </c>
      <c r="X59" s="154"/>
    </row>
    <row r="60" spans="1:29" ht="13.5" hidden="1" thickBot="1" x14ac:dyDescent="0.25">
      <c r="A60" s="206"/>
      <c r="B60" s="211"/>
      <c r="C60" s="207"/>
      <c r="D60" s="198"/>
      <c r="E60" s="208"/>
      <c r="F60" s="209"/>
      <c r="G60" s="207"/>
      <c r="H60" s="198"/>
      <c r="I60" s="208"/>
      <c r="J60" s="209"/>
      <c r="K60" s="207"/>
      <c r="L60" s="198"/>
      <c r="M60" s="208"/>
      <c r="N60" s="209"/>
      <c r="O60" s="207"/>
      <c r="P60" s="198"/>
      <c r="Q60" s="208"/>
      <c r="R60" s="209"/>
      <c r="S60" s="207"/>
      <c r="T60" s="198"/>
      <c r="U60" s="208"/>
      <c r="V60" s="209"/>
      <c r="W60" s="278" t="str">
        <f t="shared" si="4"/>
        <v/>
      </c>
      <c r="X60" s="210"/>
    </row>
    <row r="61" spans="1:29" ht="13.5" hidden="1" thickBot="1" x14ac:dyDescent="0.25">
      <c r="A61" s="206"/>
      <c r="B61" s="211"/>
      <c r="C61" s="207"/>
      <c r="D61" s="198"/>
      <c r="E61" s="208"/>
      <c r="F61" s="209"/>
      <c r="G61" s="207"/>
      <c r="H61" s="198"/>
      <c r="I61" s="208"/>
      <c r="J61" s="209"/>
      <c r="K61" s="207"/>
      <c r="L61" s="198"/>
      <c r="M61" s="208"/>
      <c r="N61" s="209"/>
      <c r="O61" s="207"/>
      <c r="P61" s="198"/>
      <c r="Q61" s="208"/>
      <c r="R61" s="209"/>
      <c r="S61" s="207"/>
      <c r="T61" s="198"/>
      <c r="U61" s="208"/>
      <c r="V61" s="209"/>
      <c r="W61" s="278" t="str">
        <f t="shared" si="4"/>
        <v/>
      </c>
      <c r="X61" s="210"/>
    </row>
    <row r="62" spans="1:29" ht="13.5" hidden="1" thickBot="1" x14ac:dyDescent="0.25">
      <c r="A62" s="206"/>
      <c r="B62" s="212"/>
      <c r="C62" s="207"/>
      <c r="D62" s="198"/>
      <c r="E62" s="208"/>
      <c r="F62" s="209"/>
      <c r="G62" s="207"/>
      <c r="H62" s="198"/>
      <c r="I62" s="208"/>
      <c r="J62" s="209"/>
      <c r="K62" s="207"/>
      <c r="L62" s="198"/>
      <c r="M62" s="208"/>
      <c r="N62" s="209"/>
      <c r="O62" s="207"/>
      <c r="P62" s="198"/>
      <c r="Q62" s="208"/>
      <c r="R62" s="209"/>
      <c r="S62" s="207"/>
      <c r="T62" s="198"/>
      <c r="U62" s="208"/>
      <c r="V62" s="209"/>
      <c r="W62" s="278" t="str">
        <f t="shared" si="4"/>
        <v/>
      </c>
      <c r="X62" s="210"/>
    </row>
    <row r="63" spans="1:29" ht="13.5" hidden="1" thickBot="1" x14ac:dyDescent="0.25">
      <c r="A63" s="206"/>
      <c r="B63" s="218"/>
      <c r="C63" s="207"/>
      <c r="D63" s="198"/>
      <c r="E63" s="208"/>
      <c r="F63" s="209"/>
      <c r="G63" s="207"/>
      <c r="H63" s="198"/>
      <c r="I63" s="208"/>
      <c r="J63" s="209"/>
      <c r="K63" s="207"/>
      <c r="L63" s="198"/>
      <c r="M63" s="208"/>
      <c r="N63" s="209"/>
      <c r="O63" s="207"/>
      <c r="P63" s="198"/>
      <c r="Q63" s="208"/>
      <c r="R63" s="209"/>
      <c r="S63" s="207"/>
      <c r="T63" s="198"/>
      <c r="U63" s="208"/>
      <c r="V63" s="209"/>
      <c r="W63" s="278" t="str">
        <f t="shared" si="4"/>
        <v/>
      </c>
      <c r="X63" s="210"/>
    </row>
    <row r="64" spans="1:29" ht="13.5" hidden="1" thickBot="1" x14ac:dyDescent="0.25">
      <c r="A64" s="149"/>
      <c r="B64" s="195"/>
      <c r="C64" s="151"/>
      <c r="D64" s="148"/>
      <c r="E64" s="152"/>
      <c r="F64" s="153"/>
      <c r="G64" s="151"/>
      <c r="H64" s="148"/>
      <c r="I64" s="152"/>
      <c r="J64" s="153"/>
      <c r="K64" s="151"/>
      <c r="L64" s="148"/>
      <c r="M64" s="152"/>
      <c r="N64" s="153"/>
      <c r="O64" s="151"/>
      <c r="P64" s="148"/>
      <c r="Q64" s="152"/>
      <c r="R64" s="153"/>
      <c r="S64" s="151"/>
      <c r="T64" s="148"/>
      <c r="U64" s="152"/>
      <c r="V64" s="153"/>
      <c r="W64" s="278" t="str">
        <f t="shared" si="4"/>
        <v/>
      </c>
      <c r="X64" s="154"/>
      <c r="AC64" s="184"/>
    </row>
    <row r="65" spans="1:29" ht="13.5" hidden="1" thickBot="1" x14ac:dyDescent="0.25">
      <c r="A65" s="149"/>
      <c r="B65" s="181"/>
      <c r="C65" s="151"/>
      <c r="D65" s="148"/>
      <c r="E65" s="152"/>
      <c r="F65" s="153"/>
      <c r="G65" s="151"/>
      <c r="H65" s="148"/>
      <c r="I65" s="152"/>
      <c r="J65" s="153"/>
      <c r="K65" s="151"/>
      <c r="L65" s="148"/>
      <c r="M65" s="152"/>
      <c r="N65" s="153"/>
      <c r="O65" s="151"/>
      <c r="P65" s="148"/>
      <c r="Q65" s="152"/>
      <c r="R65" s="153"/>
      <c r="S65" s="151"/>
      <c r="T65" s="148"/>
      <c r="U65" s="152"/>
      <c r="V65" s="153"/>
      <c r="W65" s="278" t="str">
        <f t="shared" si="4"/>
        <v/>
      </c>
      <c r="X65" s="154"/>
      <c r="AC65" s="184"/>
    </row>
    <row r="66" spans="1:29" ht="13.5" hidden="1" thickBot="1" x14ac:dyDescent="0.25">
      <c r="A66" s="197"/>
      <c r="B66" s="155"/>
      <c r="C66" s="151"/>
      <c r="D66" s="148"/>
      <c r="E66" s="152"/>
      <c r="F66" s="153"/>
      <c r="G66" s="151"/>
      <c r="H66" s="148"/>
      <c r="I66" s="152"/>
      <c r="J66" s="153"/>
      <c r="K66" s="151"/>
      <c r="L66" s="148"/>
      <c r="M66" s="152"/>
      <c r="N66" s="153"/>
      <c r="O66" s="151"/>
      <c r="P66" s="148"/>
      <c r="Q66" s="152"/>
      <c r="R66" s="153"/>
      <c r="S66" s="151"/>
      <c r="T66" s="148"/>
      <c r="U66" s="152"/>
      <c r="V66" s="153"/>
      <c r="W66" s="278" t="str">
        <f t="shared" si="4"/>
        <v/>
      </c>
      <c r="X66" s="154"/>
    </row>
    <row r="67" spans="1:29" ht="13.5" hidden="1" thickBot="1" x14ac:dyDescent="0.25">
      <c r="A67" s="199"/>
      <c r="B67" s="200"/>
      <c r="C67" s="201"/>
      <c r="D67" s="158"/>
      <c r="E67" s="202"/>
      <c r="F67" s="203"/>
      <c r="G67" s="201"/>
      <c r="H67" s="158"/>
      <c r="I67" s="202"/>
      <c r="J67" s="203"/>
      <c r="K67" s="201"/>
      <c r="L67" s="158"/>
      <c r="M67" s="202"/>
      <c r="N67" s="203"/>
      <c r="O67" s="201"/>
      <c r="P67" s="158"/>
      <c r="Q67" s="202"/>
      <c r="R67" s="203"/>
      <c r="S67" s="201"/>
      <c r="T67" s="158"/>
      <c r="U67" s="202"/>
      <c r="V67" s="203"/>
      <c r="W67" s="279" t="str">
        <f t="shared" si="4"/>
        <v/>
      </c>
      <c r="X67" s="176"/>
      <c r="Y67" s="157"/>
    </row>
    <row r="68" spans="1:29" ht="13.5" thickBot="1" x14ac:dyDescent="0.25">
      <c r="A68" s="647" t="s">
        <v>908</v>
      </c>
      <c r="B68" s="642" t="s">
        <v>841</v>
      </c>
      <c r="C68" s="606"/>
      <c r="D68" s="606"/>
      <c r="E68" s="606"/>
      <c r="F68" s="606"/>
      <c r="G68" s="606"/>
      <c r="H68" s="606"/>
      <c r="I68" s="606"/>
      <c r="J68" s="606"/>
      <c r="K68" s="606"/>
      <c r="L68" s="606"/>
      <c r="M68" s="606"/>
      <c r="N68" s="606"/>
      <c r="O68" s="606"/>
      <c r="P68" s="606"/>
      <c r="Q68" s="606"/>
      <c r="R68" s="606"/>
      <c r="S68" s="606"/>
      <c r="T68" s="606"/>
      <c r="U68" s="606"/>
      <c r="V68" s="606"/>
      <c r="W68" s="643"/>
      <c r="X68" s="643"/>
      <c r="Y68" s="141" t="s">
        <v>196</v>
      </c>
      <c r="Z68" s="640"/>
      <c r="AA68" s="165" t="s">
        <v>181</v>
      </c>
      <c r="AB68" s="165" t="s">
        <v>182</v>
      </c>
    </row>
    <row r="69" spans="1:29" x14ac:dyDescent="0.2">
      <c r="A69" s="628">
        <v>1</v>
      </c>
      <c r="B69" s="629" t="s">
        <v>104</v>
      </c>
      <c r="C69" s="630">
        <v>3</v>
      </c>
      <c r="D69" s="631">
        <v>0</v>
      </c>
      <c r="E69" s="631">
        <v>0</v>
      </c>
      <c r="F69" s="632">
        <v>0</v>
      </c>
      <c r="G69" s="630">
        <v>3</v>
      </c>
      <c r="H69" s="631">
        <v>3</v>
      </c>
      <c r="I69" s="631">
        <v>0</v>
      </c>
      <c r="J69" s="632">
        <v>0</v>
      </c>
      <c r="K69" s="630">
        <v>0</v>
      </c>
      <c r="L69" s="631">
        <v>0</v>
      </c>
      <c r="M69" s="631">
        <v>0</v>
      </c>
      <c r="N69" s="632">
        <v>3</v>
      </c>
      <c r="O69" s="630">
        <v>3</v>
      </c>
      <c r="P69" s="631">
        <v>0</v>
      </c>
      <c r="Q69" s="631">
        <v>0</v>
      </c>
      <c r="R69" s="632">
        <v>0</v>
      </c>
      <c r="S69" s="630">
        <v>0</v>
      </c>
      <c r="T69" s="631">
        <v>0</v>
      </c>
      <c r="U69" s="631">
        <v>0</v>
      </c>
      <c r="V69" s="632">
        <v>0</v>
      </c>
      <c r="W69" s="281">
        <f>SUM(C69:V69)+COUNTIF(C69:V69,5)/100+COUNTIF(C69:V69,3)/10000</f>
        <v>15.000500000000001</v>
      </c>
      <c r="X69" s="612">
        <f t="shared" ref="X69:X76" si="5">IF(RANK(Y69,$Y$69:$Y$76)&lt;5,"edasi "&amp;RANK(Y69,$Y$69:$Y$76)+4,RANK(Y69,$Y$69:$Y$76)+4)</f>
        <v>11</v>
      </c>
      <c r="Y69" s="612">
        <f t="shared" ref="Y69:Y76" si="6">W69+IFERROR(INDEX(W$9:W$34,MATCH(B69,B$9:B$34,0)),0)</f>
        <v>27.0106</v>
      </c>
      <c r="Z69" s="166" t="e">
        <f>IF(COUNTA(C69:V69)=0,100,W69+IF(RANK(W69,$W$103:$W$104)=1,100,0))</f>
        <v>#N/A</v>
      </c>
      <c r="AA69" s="165">
        <f>MIN(W69:W70)</f>
        <v>6.0002000000000004</v>
      </c>
      <c r="AB69" s="165">
        <f>MAX(W69:W70)</f>
        <v>15.000500000000001</v>
      </c>
    </row>
    <row r="70" spans="1:29" x14ac:dyDescent="0.2">
      <c r="A70" s="218">
        <v>2</v>
      </c>
      <c r="B70" s="237" t="s">
        <v>189</v>
      </c>
      <c r="C70" s="219">
        <v>0</v>
      </c>
      <c r="D70" s="220">
        <v>3</v>
      </c>
      <c r="E70" s="220">
        <v>0</v>
      </c>
      <c r="F70" s="221">
        <v>0</v>
      </c>
      <c r="G70" s="219">
        <v>3</v>
      </c>
      <c r="H70" s="220">
        <v>0</v>
      </c>
      <c r="I70" s="220">
        <v>0</v>
      </c>
      <c r="J70" s="221">
        <v>0</v>
      </c>
      <c r="K70" s="219">
        <v>0</v>
      </c>
      <c r="L70" s="220">
        <v>0</v>
      </c>
      <c r="M70" s="220">
        <v>0</v>
      </c>
      <c r="N70" s="221">
        <v>0</v>
      </c>
      <c r="O70" s="219">
        <v>0</v>
      </c>
      <c r="P70" s="220">
        <v>0</v>
      </c>
      <c r="Q70" s="220">
        <v>0</v>
      </c>
      <c r="R70" s="221">
        <v>0</v>
      </c>
      <c r="S70" s="219">
        <v>0</v>
      </c>
      <c r="T70" s="220">
        <v>0</v>
      </c>
      <c r="U70" s="220">
        <v>0</v>
      </c>
      <c r="V70" s="221">
        <v>0</v>
      </c>
      <c r="W70" s="278">
        <f t="shared" ref="W70:W76" si="7">SUM(C70:V70)+COUNTIF(C70:V70,5)/100+COUNTIF(C70:V70,3)/10000</f>
        <v>6.0002000000000004</v>
      </c>
      <c r="X70" s="210">
        <f t="shared" si="5"/>
        <v>12</v>
      </c>
      <c r="Y70" s="210">
        <f t="shared" si="6"/>
        <v>21.000700000000002</v>
      </c>
      <c r="Z70" s="166"/>
      <c r="AA70" s="165"/>
      <c r="AB70" s="165"/>
    </row>
    <row r="71" spans="1:29" x14ac:dyDescent="0.2">
      <c r="A71" s="159">
        <v>3</v>
      </c>
      <c r="B71" s="233" t="s">
        <v>191</v>
      </c>
      <c r="C71" s="160">
        <v>3</v>
      </c>
      <c r="D71" s="161">
        <v>0</v>
      </c>
      <c r="E71" s="161">
        <v>3</v>
      </c>
      <c r="F71" s="162">
        <v>0</v>
      </c>
      <c r="G71" s="160">
        <v>0</v>
      </c>
      <c r="H71" s="161">
        <v>3</v>
      </c>
      <c r="I71" s="161">
        <v>3</v>
      </c>
      <c r="J71" s="162">
        <v>1</v>
      </c>
      <c r="K71" s="160">
        <v>1</v>
      </c>
      <c r="L71" s="161">
        <v>3</v>
      </c>
      <c r="M71" s="161">
        <v>1</v>
      </c>
      <c r="N71" s="162">
        <v>1</v>
      </c>
      <c r="O71" s="160">
        <v>0</v>
      </c>
      <c r="P71" s="161">
        <v>0</v>
      </c>
      <c r="Q71" s="161">
        <v>0</v>
      </c>
      <c r="R71" s="162">
        <v>0</v>
      </c>
      <c r="S71" s="160">
        <v>0</v>
      </c>
      <c r="T71" s="161">
        <v>0</v>
      </c>
      <c r="U71" s="161">
        <v>0</v>
      </c>
      <c r="V71" s="162">
        <v>0</v>
      </c>
      <c r="W71" s="278">
        <f t="shared" ref="W71:W74" si="8">SUM(C71:V71)+COUNTIF(C71:V71,5)/100+COUNTIF(C71:V71,3)/10000</f>
        <v>19.000499999999999</v>
      </c>
      <c r="X71" s="154">
        <f t="shared" si="5"/>
        <v>10</v>
      </c>
      <c r="Y71" s="210">
        <f t="shared" si="6"/>
        <v>34.0107</v>
      </c>
      <c r="Z71" s="166" t="e">
        <f>IF(COUNTA(C71:V71)=0,100,W71+IF(RANK(W71,$W$105:$W$106)=1,100,0))</f>
        <v>#N/A</v>
      </c>
      <c r="AA71" s="165">
        <f>MIN(W71:W72)</f>
        <v>16.000499999999999</v>
      </c>
      <c r="AB71" s="165">
        <f>MAX(W71:W72)</f>
        <v>19.000499999999999</v>
      </c>
    </row>
    <row r="72" spans="1:29" x14ac:dyDescent="0.2">
      <c r="A72" s="159">
        <v>4</v>
      </c>
      <c r="B72" s="169" t="s">
        <v>225</v>
      </c>
      <c r="C72" s="160">
        <v>3</v>
      </c>
      <c r="D72" s="161">
        <v>3</v>
      </c>
      <c r="E72" s="161">
        <v>0</v>
      </c>
      <c r="F72" s="162">
        <v>0</v>
      </c>
      <c r="G72" s="160">
        <v>0</v>
      </c>
      <c r="H72" s="161">
        <v>0</v>
      </c>
      <c r="I72" s="161">
        <v>0</v>
      </c>
      <c r="J72" s="162">
        <v>0</v>
      </c>
      <c r="K72" s="160">
        <v>3</v>
      </c>
      <c r="L72" s="161">
        <v>0</v>
      </c>
      <c r="M72" s="161">
        <v>1</v>
      </c>
      <c r="N72" s="162">
        <v>0</v>
      </c>
      <c r="O72" s="160">
        <v>3</v>
      </c>
      <c r="P72" s="161">
        <v>3</v>
      </c>
      <c r="Q72" s="161">
        <v>0</v>
      </c>
      <c r="R72" s="162">
        <v>0</v>
      </c>
      <c r="S72" s="160">
        <v>0</v>
      </c>
      <c r="T72" s="161">
        <v>0</v>
      </c>
      <c r="U72" s="161">
        <v>0</v>
      </c>
      <c r="V72" s="162">
        <v>0</v>
      </c>
      <c r="W72" s="278">
        <f t="shared" si="8"/>
        <v>16.000499999999999</v>
      </c>
      <c r="X72" s="154">
        <f t="shared" si="5"/>
        <v>9</v>
      </c>
      <c r="Y72" s="210">
        <f t="shared" si="6"/>
        <v>35.020799999999994</v>
      </c>
      <c r="Z72" s="167" t="e">
        <f>IF(COUNTA(C72:V72)=0,0,W72+IF(RANK(W72,$W$105:$W$106)=1,100,0))</f>
        <v>#N/A</v>
      </c>
      <c r="AA72" s="165"/>
      <c r="AB72" s="165"/>
    </row>
    <row r="73" spans="1:29" x14ac:dyDescent="0.2">
      <c r="A73" s="218">
        <v>5</v>
      </c>
      <c r="B73" s="234" t="s">
        <v>227</v>
      </c>
      <c r="C73" s="219">
        <v>0</v>
      </c>
      <c r="D73" s="220">
        <v>0</v>
      </c>
      <c r="E73" s="220">
        <v>3</v>
      </c>
      <c r="F73" s="221">
        <v>3</v>
      </c>
      <c r="G73" s="219">
        <v>0</v>
      </c>
      <c r="H73" s="220">
        <v>1</v>
      </c>
      <c r="I73" s="220">
        <v>0</v>
      </c>
      <c r="J73" s="221">
        <v>0</v>
      </c>
      <c r="K73" s="219">
        <v>1</v>
      </c>
      <c r="L73" s="220">
        <v>0</v>
      </c>
      <c r="M73" s="220">
        <v>0</v>
      </c>
      <c r="N73" s="221">
        <v>0</v>
      </c>
      <c r="O73" s="219">
        <v>0</v>
      </c>
      <c r="P73" s="220">
        <v>0</v>
      </c>
      <c r="Q73" s="220">
        <v>0</v>
      </c>
      <c r="R73" s="221">
        <v>0</v>
      </c>
      <c r="S73" s="219">
        <v>5</v>
      </c>
      <c r="T73" s="220">
        <v>3</v>
      </c>
      <c r="U73" s="220">
        <v>0</v>
      </c>
      <c r="V73" s="221">
        <v>0</v>
      </c>
      <c r="W73" s="278">
        <f t="shared" si="8"/>
        <v>16.010300000000001</v>
      </c>
      <c r="X73" s="210" t="str">
        <f t="shared" si="5"/>
        <v>edasi 7</v>
      </c>
      <c r="Y73" s="210">
        <f t="shared" si="6"/>
        <v>37.020800000000001</v>
      </c>
      <c r="Z73" s="166" t="e">
        <f>IF(COUNTA(C73:V73)=0,100,W73+IF(RANK(W73,$W$107:$W$108)=1,100,0))</f>
        <v>#N/A</v>
      </c>
      <c r="AA73" s="165">
        <f>MIN(W73:W74)</f>
        <v>13.000400000000001</v>
      </c>
      <c r="AB73" s="165">
        <f>MAX(W73:W74)</f>
        <v>16.010300000000001</v>
      </c>
    </row>
    <row r="74" spans="1:29" x14ac:dyDescent="0.2">
      <c r="A74" s="218">
        <v>6</v>
      </c>
      <c r="B74" s="234" t="s">
        <v>49</v>
      </c>
      <c r="C74" s="219">
        <v>3</v>
      </c>
      <c r="D74" s="220">
        <v>0</v>
      </c>
      <c r="E74" s="220">
        <v>3</v>
      </c>
      <c r="F74" s="221">
        <v>0</v>
      </c>
      <c r="G74" s="219">
        <v>3</v>
      </c>
      <c r="H74" s="220">
        <v>0</v>
      </c>
      <c r="I74" s="220">
        <v>0</v>
      </c>
      <c r="J74" s="221">
        <v>0</v>
      </c>
      <c r="K74" s="219">
        <v>1</v>
      </c>
      <c r="L74" s="220">
        <v>0</v>
      </c>
      <c r="M74" s="220">
        <v>3</v>
      </c>
      <c r="N74" s="221">
        <v>0</v>
      </c>
      <c r="O74" s="219">
        <v>0</v>
      </c>
      <c r="P74" s="220">
        <v>0</v>
      </c>
      <c r="Q74" s="220">
        <v>0</v>
      </c>
      <c r="R74" s="221">
        <v>0</v>
      </c>
      <c r="S74" s="219">
        <v>0</v>
      </c>
      <c r="T74" s="220">
        <v>0</v>
      </c>
      <c r="U74" s="220">
        <v>0</v>
      </c>
      <c r="V74" s="221">
        <v>0</v>
      </c>
      <c r="W74" s="278">
        <f t="shared" si="8"/>
        <v>13.000400000000001</v>
      </c>
      <c r="X74" s="210" t="str">
        <f t="shared" si="5"/>
        <v>edasi 8</v>
      </c>
      <c r="Y74" s="210">
        <f t="shared" si="6"/>
        <v>36.020800000000001</v>
      </c>
      <c r="Z74" s="167">
        <f>IF(COUNTA(C74:V74)=0,0,W74+IF(RANK(W74,$W$107:$W$108)=1,100,0))</f>
        <v>13.000400000000001</v>
      </c>
      <c r="AA74" s="165"/>
      <c r="AB74" s="165"/>
    </row>
    <row r="75" spans="1:29" x14ac:dyDescent="0.2">
      <c r="A75" s="159">
        <v>7</v>
      </c>
      <c r="B75" s="233" t="s">
        <v>53</v>
      </c>
      <c r="C75" s="160">
        <v>3</v>
      </c>
      <c r="D75" s="161">
        <v>0</v>
      </c>
      <c r="E75" s="161">
        <v>3</v>
      </c>
      <c r="F75" s="162">
        <v>0</v>
      </c>
      <c r="G75" s="160">
        <v>5</v>
      </c>
      <c r="H75" s="161">
        <v>0</v>
      </c>
      <c r="I75" s="161">
        <v>3</v>
      </c>
      <c r="J75" s="162">
        <v>0</v>
      </c>
      <c r="K75" s="160">
        <v>1</v>
      </c>
      <c r="L75" s="161">
        <v>0</v>
      </c>
      <c r="M75" s="161">
        <v>0</v>
      </c>
      <c r="N75" s="162">
        <v>0</v>
      </c>
      <c r="O75" s="160">
        <v>3</v>
      </c>
      <c r="P75" s="161">
        <v>0</v>
      </c>
      <c r="Q75" s="161">
        <v>0</v>
      </c>
      <c r="R75" s="162">
        <v>3</v>
      </c>
      <c r="S75" s="160">
        <v>0</v>
      </c>
      <c r="T75" s="161">
        <v>0</v>
      </c>
      <c r="U75" s="161">
        <v>0</v>
      </c>
      <c r="V75" s="162">
        <v>0</v>
      </c>
      <c r="W75" s="278">
        <f t="shared" si="7"/>
        <v>21.0105</v>
      </c>
      <c r="X75" s="154" t="str">
        <f t="shared" si="5"/>
        <v>edasi 6</v>
      </c>
      <c r="Y75" s="210">
        <f t="shared" si="6"/>
        <v>45.030799999999999</v>
      </c>
      <c r="Z75" s="166" t="e">
        <f>IF(COUNTA(C75:V75)=0,100,W75+IF(RANK(W75,$W$105:$W$106)=1,100,0))</f>
        <v>#N/A</v>
      </c>
      <c r="AA75" s="165">
        <f>MIN(W75:W76)</f>
        <v>21.0105</v>
      </c>
      <c r="AB75" s="165">
        <f>MAX(W75:W76)</f>
        <v>23.000599999999999</v>
      </c>
    </row>
    <row r="76" spans="1:29" ht="13.5" thickBot="1" x14ac:dyDescent="0.25">
      <c r="A76" s="159">
        <v>8</v>
      </c>
      <c r="B76" s="227" t="s">
        <v>194</v>
      </c>
      <c r="C76" s="160">
        <v>3</v>
      </c>
      <c r="D76" s="161">
        <v>3</v>
      </c>
      <c r="E76" s="161">
        <v>0</v>
      </c>
      <c r="F76" s="162">
        <v>3</v>
      </c>
      <c r="G76" s="160">
        <v>0</v>
      </c>
      <c r="H76" s="161">
        <v>0</v>
      </c>
      <c r="I76" s="161">
        <v>3</v>
      </c>
      <c r="J76" s="162">
        <v>0</v>
      </c>
      <c r="K76" s="160">
        <v>0</v>
      </c>
      <c r="L76" s="161">
        <v>1</v>
      </c>
      <c r="M76" s="161">
        <v>1</v>
      </c>
      <c r="N76" s="162">
        <v>1</v>
      </c>
      <c r="O76" s="160">
        <v>0</v>
      </c>
      <c r="P76" s="161">
        <v>1</v>
      </c>
      <c r="Q76" s="161">
        <v>3</v>
      </c>
      <c r="R76" s="162">
        <v>1</v>
      </c>
      <c r="S76" s="160">
        <v>3</v>
      </c>
      <c r="T76" s="161">
        <v>0</v>
      </c>
      <c r="U76" s="161">
        <v>0</v>
      </c>
      <c r="V76" s="162">
        <v>0</v>
      </c>
      <c r="W76" s="278">
        <f t="shared" si="7"/>
        <v>23.000599999999999</v>
      </c>
      <c r="X76" s="154" t="str">
        <f t="shared" si="5"/>
        <v>edasi 5</v>
      </c>
      <c r="Y76" s="217">
        <f t="shared" si="6"/>
        <v>49.030900000000003</v>
      </c>
      <c r="Z76" s="167" t="e">
        <f>IF(COUNTA(C76:V76)=0,0,W76+IF(RANK(W76,$W$105:$W$106)=1,100,0))</f>
        <v>#N/A</v>
      </c>
      <c r="AA76" s="165"/>
      <c r="AB76" s="165"/>
    </row>
    <row r="77" spans="1:29" ht="13.5" hidden="1" thickBot="1" x14ac:dyDescent="0.25">
      <c r="A77" s="189"/>
      <c r="B77" s="190" t="s">
        <v>197</v>
      </c>
      <c r="C77" s="160"/>
      <c r="D77" s="161"/>
      <c r="E77" s="161"/>
      <c r="F77" s="162"/>
      <c r="G77" s="160"/>
      <c r="H77" s="161"/>
      <c r="I77" s="161"/>
      <c r="J77" s="162"/>
      <c r="K77" s="160"/>
      <c r="L77" s="161"/>
      <c r="M77" s="161"/>
      <c r="N77" s="162"/>
      <c r="O77" s="160"/>
      <c r="P77" s="161"/>
      <c r="Q77" s="161"/>
      <c r="R77" s="162"/>
      <c r="S77" s="160"/>
      <c r="T77" s="161"/>
      <c r="U77" s="161"/>
      <c r="V77" s="162"/>
      <c r="W77" s="280"/>
      <c r="X77" s="147"/>
      <c r="Z77" s="164"/>
      <c r="AA77" s="165" t="s">
        <v>181</v>
      </c>
      <c r="AB77" s="165" t="s">
        <v>182</v>
      </c>
    </row>
    <row r="78" spans="1:29" ht="13.5" hidden="1" thickBot="1" x14ac:dyDescent="0.25">
      <c r="A78" s="206"/>
      <c r="B78" s="212"/>
      <c r="C78" s="207"/>
      <c r="D78" s="198"/>
      <c r="E78" s="208"/>
      <c r="F78" s="209"/>
      <c r="G78" s="207"/>
      <c r="H78" s="198"/>
      <c r="I78" s="208"/>
      <c r="J78" s="209"/>
      <c r="K78" s="207"/>
      <c r="L78" s="198"/>
      <c r="M78" s="208"/>
      <c r="N78" s="209"/>
      <c r="O78" s="207"/>
      <c r="P78" s="198"/>
      <c r="Q78" s="208"/>
      <c r="R78" s="209"/>
      <c r="S78" s="207"/>
      <c r="T78" s="198"/>
      <c r="U78" s="208"/>
      <c r="V78" s="209"/>
      <c r="W78" s="278" t="str">
        <f t="shared" ref="W78:W97" si="9">IF(COUNTA(C78:V78)=0,"",SUM(C78:V78)+COUNTIF(C78:V78,5)/100+COUNTIF(C78:V78,3)/10000)</f>
        <v/>
      </c>
      <c r="X78" s="210"/>
      <c r="AC78" s="184"/>
    </row>
    <row r="79" spans="1:29" ht="13.5" hidden="1" thickBot="1" x14ac:dyDescent="0.25">
      <c r="A79" s="206"/>
      <c r="B79" s="212"/>
      <c r="C79" s="207"/>
      <c r="D79" s="198"/>
      <c r="E79" s="208"/>
      <c r="F79" s="209"/>
      <c r="G79" s="207"/>
      <c r="H79" s="198"/>
      <c r="I79" s="208"/>
      <c r="J79" s="209"/>
      <c r="K79" s="207"/>
      <c r="L79" s="198"/>
      <c r="M79" s="208"/>
      <c r="N79" s="209"/>
      <c r="O79" s="207"/>
      <c r="P79" s="198"/>
      <c r="Q79" s="208"/>
      <c r="R79" s="209"/>
      <c r="S79" s="207"/>
      <c r="T79" s="198"/>
      <c r="U79" s="208"/>
      <c r="V79" s="209"/>
      <c r="W79" s="278" t="str">
        <f t="shared" si="9"/>
        <v/>
      </c>
      <c r="X79" s="210"/>
      <c r="AC79" s="184"/>
    </row>
    <row r="80" spans="1:29" ht="13.5" hidden="1" thickBot="1" x14ac:dyDescent="0.25">
      <c r="A80" s="206"/>
      <c r="B80" s="211"/>
      <c r="C80" s="207"/>
      <c r="D80" s="198"/>
      <c r="E80" s="208"/>
      <c r="F80" s="209"/>
      <c r="G80" s="207"/>
      <c r="H80" s="198"/>
      <c r="I80" s="208"/>
      <c r="J80" s="209"/>
      <c r="K80" s="207"/>
      <c r="L80" s="198"/>
      <c r="M80" s="208"/>
      <c r="N80" s="209"/>
      <c r="O80" s="207"/>
      <c r="P80" s="198"/>
      <c r="Q80" s="208"/>
      <c r="R80" s="209"/>
      <c r="S80" s="207"/>
      <c r="T80" s="198"/>
      <c r="U80" s="208"/>
      <c r="V80" s="209"/>
      <c r="W80" s="278" t="str">
        <f t="shared" si="9"/>
        <v/>
      </c>
      <c r="X80" s="210"/>
      <c r="AC80" s="184"/>
    </row>
    <row r="81" spans="1:29" ht="13.5" hidden="1" thickBot="1" x14ac:dyDescent="0.25">
      <c r="A81" s="206"/>
      <c r="B81" s="212"/>
      <c r="C81" s="207"/>
      <c r="D81" s="198"/>
      <c r="E81" s="208"/>
      <c r="F81" s="209"/>
      <c r="G81" s="207"/>
      <c r="H81" s="198"/>
      <c r="I81" s="208"/>
      <c r="J81" s="209"/>
      <c r="K81" s="207"/>
      <c r="L81" s="198"/>
      <c r="M81" s="208"/>
      <c r="N81" s="209"/>
      <c r="O81" s="207"/>
      <c r="P81" s="198"/>
      <c r="Q81" s="208"/>
      <c r="R81" s="209"/>
      <c r="S81" s="207"/>
      <c r="T81" s="198"/>
      <c r="U81" s="208"/>
      <c r="V81" s="209"/>
      <c r="W81" s="278" t="str">
        <f t="shared" si="9"/>
        <v/>
      </c>
      <c r="X81" s="210"/>
      <c r="AC81" s="184"/>
    </row>
    <row r="82" spans="1:29" ht="13.5" hidden="1" thickBot="1" x14ac:dyDescent="0.25">
      <c r="A82" s="149"/>
      <c r="B82" s="195"/>
      <c r="C82" s="151"/>
      <c r="D82" s="148"/>
      <c r="E82" s="152"/>
      <c r="F82" s="153"/>
      <c r="G82" s="151"/>
      <c r="H82" s="148"/>
      <c r="I82" s="152"/>
      <c r="J82" s="153"/>
      <c r="K82" s="151"/>
      <c r="L82" s="148"/>
      <c r="M82" s="152"/>
      <c r="N82" s="153"/>
      <c r="O82" s="151"/>
      <c r="P82" s="148"/>
      <c r="Q82" s="152"/>
      <c r="R82" s="153"/>
      <c r="S82" s="151"/>
      <c r="T82" s="148"/>
      <c r="U82" s="152"/>
      <c r="V82" s="153"/>
      <c r="W82" s="278" t="str">
        <f t="shared" si="9"/>
        <v/>
      </c>
      <c r="X82" s="154"/>
      <c r="AC82" s="184"/>
    </row>
    <row r="83" spans="1:29" ht="13.5" hidden="1" thickBot="1" x14ac:dyDescent="0.25">
      <c r="A83" s="149"/>
      <c r="B83" s="181"/>
      <c r="C83" s="151"/>
      <c r="D83" s="148"/>
      <c r="E83" s="152"/>
      <c r="F83" s="153"/>
      <c r="G83" s="151"/>
      <c r="H83" s="148"/>
      <c r="I83" s="152"/>
      <c r="J83" s="153"/>
      <c r="K83" s="151"/>
      <c r="L83" s="148"/>
      <c r="M83" s="152"/>
      <c r="N83" s="153"/>
      <c r="O83" s="151"/>
      <c r="P83" s="148"/>
      <c r="Q83" s="152"/>
      <c r="R83" s="153"/>
      <c r="S83" s="151"/>
      <c r="T83" s="148"/>
      <c r="U83" s="152"/>
      <c r="V83" s="153"/>
      <c r="W83" s="278" t="str">
        <f t="shared" si="9"/>
        <v/>
      </c>
      <c r="X83" s="154"/>
      <c r="AC83" s="184"/>
    </row>
    <row r="84" spans="1:29" ht="13.5" hidden="1" thickBot="1" x14ac:dyDescent="0.25">
      <c r="A84" s="197"/>
      <c r="B84" s="155"/>
      <c r="C84" s="151"/>
      <c r="D84" s="148"/>
      <c r="E84" s="152"/>
      <c r="F84" s="153"/>
      <c r="G84" s="151"/>
      <c r="H84" s="148"/>
      <c r="I84" s="152"/>
      <c r="J84" s="153"/>
      <c r="K84" s="151"/>
      <c r="L84" s="148"/>
      <c r="M84" s="152"/>
      <c r="N84" s="153"/>
      <c r="O84" s="151"/>
      <c r="P84" s="148"/>
      <c r="Q84" s="152"/>
      <c r="R84" s="153"/>
      <c r="S84" s="151"/>
      <c r="T84" s="148"/>
      <c r="U84" s="152"/>
      <c r="V84" s="153"/>
      <c r="W84" s="278" t="str">
        <f t="shared" si="9"/>
        <v/>
      </c>
      <c r="X84" s="154"/>
    </row>
    <row r="85" spans="1:29" ht="13.5" hidden="1" thickBot="1" x14ac:dyDescent="0.25">
      <c r="A85" s="197"/>
      <c r="B85" s="155"/>
      <c r="C85" s="151"/>
      <c r="D85" s="148"/>
      <c r="E85" s="152"/>
      <c r="F85" s="153"/>
      <c r="G85" s="151"/>
      <c r="H85" s="148"/>
      <c r="I85" s="152"/>
      <c r="J85" s="153"/>
      <c r="K85" s="151"/>
      <c r="L85" s="148"/>
      <c r="M85" s="152"/>
      <c r="N85" s="153"/>
      <c r="O85" s="151"/>
      <c r="P85" s="148"/>
      <c r="Q85" s="152"/>
      <c r="R85" s="153"/>
      <c r="S85" s="151"/>
      <c r="T85" s="148"/>
      <c r="U85" s="152"/>
      <c r="V85" s="153"/>
      <c r="W85" s="278" t="str">
        <f t="shared" si="9"/>
        <v/>
      </c>
      <c r="X85" s="154"/>
    </row>
    <row r="86" spans="1:29" ht="13.5" hidden="1" thickBot="1" x14ac:dyDescent="0.25">
      <c r="A86" s="206"/>
      <c r="B86" s="212"/>
      <c r="C86" s="207"/>
      <c r="D86" s="198"/>
      <c r="E86" s="208"/>
      <c r="F86" s="209"/>
      <c r="G86" s="207"/>
      <c r="H86" s="198"/>
      <c r="I86" s="208"/>
      <c r="J86" s="209"/>
      <c r="K86" s="207"/>
      <c r="L86" s="198"/>
      <c r="M86" s="208"/>
      <c r="N86" s="209"/>
      <c r="O86" s="207"/>
      <c r="P86" s="198"/>
      <c r="Q86" s="208"/>
      <c r="R86" s="209"/>
      <c r="S86" s="207"/>
      <c r="T86" s="198"/>
      <c r="U86" s="208"/>
      <c r="V86" s="209"/>
      <c r="W86" s="278" t="str">
        <f t="shared" si="9"/>
        <v/>
      </c>
      <c r="X86" s="210"/>
      <c r="AC86" s="184"/>
    </row>
    <row r="87" spans="1:29" ht="13.5" hidden="1" thickBot="1" x14ac:dyDescent="0.25">
      <c r="A87" s="206"/>
      <c r="B87" s="212"/>
      <c r="C87" s="207"/>
      <c r="D87" s="198"/>
      <c r="E87" s="208"/>
      <c r="F87" s="209"/>
      <c r="G87" s="207"/>
      <c r="H87" s="198"/>
      <c r="I87" s="208"/>
      <c r="J87" s="209"/>
      <c r="K87" s="207"/>
      <c r="L87" s="198"/>
      <c r="M87" s="208"/>
      <c r="N87" s="209"/>
      <c r="O87" s="207"/>
      <c r="P87" s="198"/>
      <c r="Q87" s="208"/>
      <c r="R87" s="209"/>
      <c r="S87" s="207"/>
      <c r="T87" s="198"/>
      <c r="U87" s="208"/>
      <c r="V87" s="209"/>
      <c r="W87" s="278" t="str">
        <f t="shared" si="9"/>
        <v/>
      </c>
      <c r="X87" s="210"/>
      <c r="AC87" s="184"/>
    </row>
    <row r="88" spans="1:29" ht="13.5" hidden="1" thickBot="1" x14ac:dyDescent="0.25">
      <c r="A88" s="206"/>
      <c r="B88" s="211"/>
      <c r="C88" s="207"/>
      <c r="D88" s="198"/>
      <c r="E88" s="208"/>
      <c r="F88" s="209"/>
      <c r="G88" s="207"/>
      <c r="H88" s="198"/>
      <c r="I88" s="208"/>
      <c r="J88" s="209"/>
      <c r="K88" s="207"/>
      <c r="L88" s="198"/>
      <c r="M88" s="208"/>
      <c r="N88" s="209"/>
      <c r="O88" s="207"/>
      <c r="P88" s="198"/>
      <c r="Q88" s="208"/>
      <c r="R88" s="209"/>
      <c r="S88" s="207"/>
      <c r="T88" s="198"/>
      <c r="U88" s="208"/>
      <c r="V88" s="209"/>
      <c r="W88" s="278" t="str">
        <f t="shared" si="9"/>
        <v/>
      </c>
      <c r="X88" s="210"/>
      <c r="AC88" s="184"/>
    </row>
    <row r="89" spans="1:29" ht="13.5" hidden="1" thickBot="1" x14ac:dyDescent="0.25">
      <c r="A89" s="206"/>
      <c r="B89" s="212"/>
      <c r="C89" s="207"/>
      <c r="D89" s="198"/>
      <c r="E89" s="208"/>
      <c r="F89" s="209"/>
      <c r="G89" s="207"/>
      <c r="H89" s="198"/>
      <c r="I89" s="208"/>
      <c r="J89" s="209"/>
      <c r="K89" s="207"/>
      <c r="L89" s="198"/>
      <c r="M89" s="208"/>
      <c r="N89" s="209"/>
      <c r="O89" s="207"/>
      <c r="P89" s="198"/>
      <c r="Q89" s="208"/>
      <c r="R89" s="209"/>
      <c r="S89" s="207"/>
      <c r="T89" s="198"/>
      <c r="U89" s="208"/>
      <c r="V89" s="209"/>
      <c r="W89" s="278" t="str">
        <f t="shared" si="9"/>
        <v/>
      </c>
      <c r="X89" s="210"/>
      <c r="AC89" s="184"/>
    </row>
    <row r="90" spans="1:29" ht="13.5" hidden="1" thickBot="1" x14ac:dyDescent="0.25">
      <c r="A90" s="149"/>
      <c r="B90" s="195"/>
      <c r="C90" s="151"/>
      <c r="D90" s="148"/>
      <c r="E90" s="152"/>
      <c r="F90" s="153"/>
      <c r="G90" s="151"/>
      <c r="H90" s="148"/>
      <c r="I90" s="152"/>
      <c r="J90" s="153"/>
      <c r="K90" s="151"/>
      <c r="L90" s="148"/>
      <c r="M90" s="152"/>
      <c r="N90" s="153"/>
      <c r="O90" s="151"/>
      <c r="P90" s="148"/>
      <c r="Q90" s="152"/>
      <c r="R90" s="153"/>
      <c r="S90" s="151"/>
      <c r="T90" s="148"/>
      <c r="U90" s="152"/>
      <c r="V90" s="153"/>
      <c r="W90" s="278" t="str">
        <f t="shared" si="9"/>
        <v/>
      </c>
      <c r="X90" s="154"/>
      <c r="AC90" s="184"/>
    </row>
    <row r="91" spans="1:29" ht="13.5" hidden="1" thickBot="1" x14ac:dyDescent="0.25">
      <c r="A91" s="149"/>
      <c r="B91" s="181"/>
      <c r="C91" s="151"/>
      <c r="D91" s="148"/>
      <c r="E91" s="152"/>
      <c r="F91" s="153"/>
      <c r="G91" s="151"/>
      <c r="H91" s="148"/>
      <c r="I91" s="152"/>
      <c r="J91" s="153"/>
      <c r="K91" s="151"/>
      <c r="L91" s="148"/>
      <c r="M91" s="152"/>
      <c r="N91" s="153"/>
      <c r="O91" s="151"/>
      <c r="P91" s="148"/>
      <c r="Q91" s="152"/>
      <c r="R91" s="153"/>
      <c r="S91" s="151"/>
      <c r="T91" s="148"/>
      <c r="U91" s="152"/>
      <c r="V91" s="153"/>
      <c r="W91" s="278" t="str">
        <f t="shared" si="9"/>
        <v/>
      </c>
      <c r="X91" s="154"/>
      <c r="AC91" s="184"/>
    </row>
    <row r="92" spans="1:29" ht="13.5" hidden="1" thickBot="1" x14ac:dyDescent="0.25">
      <c r="A92" s="197"/>
      <c r="B92" s="155"/>
      <c r="C92" s="151"/>
      <c r="D92" s="148"/>
      <c r="E92" s="152"/>
      <c r="F92" s="153"/>
      <c r="G92" s="151"/>
      <c r="H92" s="148"/>
      <c r="I92" s="152"/>
      <c r="J92" s="153"/>
      <c r="K92" s="151"/>
      <c r="L92" s="148"/>
      <c r="M92" s="152"/>
      <c r="N92" s="153"/>
      <c r="O92" s="151"/>
      <c r="P92" s="148"/>
      <c r="Q92" s="152"/>
      <c r="R92" s="153"/>
      <c r="S92" s="151"/>
      <c r="T92" s="148"/>
      <c r="U92" s="152"/>
      <c r="V92" s="153"/>
      <c r="W92" s="278" t="str">
        <f t="shared" si="9"/>
        <v/>
      </c>
      <c r="X92" s="154"/>
    </row>
    <row r="93" spans="1:29" ht="13.5" hidden="1" thickBot="1" x14ac:dyDescent="0.25">
      <c r="A93" s="197"/>
      <c r="B93" s="155"/>
      <c r="C93" s="151"/>
      <c r="D93" s="148"/>
      <c r="E93" s="152"/>
      <c r="F93" s="153"/>
      <c r="G93" s="151"/>
      <c r="H93" s="148"/>
      <c r="I93" s="152"/>
      <c r="J93" s="153"/>
      <c r="K93" s="151"/>
      <c r="L93" s="148"/>
      <c r="M93" s="152"/>
      <c r="N93" s="153"/>
      <c r="O93" s="151"/>
      <c r="P93" s="148"/>
      <c r="Q93" s="152"/>
      <c r="R93" s="153"/>
      <c r="S93" s="151"/>
      <c r="T93" s="148"/>
      <c r="U93" s="152"/>
      <c r="V93" s="153"/>
      <c r="W93" s="278" t="str">
        <f t="shared" si="9"/>
        <v/>
      </c>
      <c r="X93" s="154"/>
    </row>
    <row r="94" spans="1:29" ht="13.5" hidden="1" thickBot="1" x14ac:dyDescent="0.25">
      <c r="A94" s="206"/>
      <c r="B94" s="211"/>
      <c r="C94" s="207"/>
      <c r="D94" s="198"/>
      <c r="E94" s="208"/>
      <c r="F94" s="209"/>
      <c r="G94" s="207"/>
      <c r="H94" s="198"/>
      <c r="I94" s="208"/>
      <c r="J94" s="209"/>
      <c r="K94" s="207"/>
      <c r="L94" s="198"/>
      <c r="M94" s="208"/>
      <c r="N94" s="209"/>
      <c r="O94" s="207"/>
      <c r="P94" s="198"/>
      <c r="Q94" s="208"/>
      <c r="R94" s="209"/>
      <c r="S94" s="207"/>
      <c r="T94" s="198"/>
      <c r="U94" s="208"/>
      <c r="V94" s="209"/>
      <c r="W94" s="278" t="str">
        <f t="shared" si="9"/>
        <v/>
      </c>
      <c r="X94" s="210"/>
    </row>
    <row r="95" spans="1:29" ht="13.5" hidden="1" thickBot="1" x14ac:dyDescent="0.25">
      <c r="A95" s="206"/>
      <c r="B95" s="211"/>
      <c r="C95" s="207"/>
      <c r="D95" s="198"/>
      <c r="E95" s="208"/>
      <c r="F95" s="209"/>
      <c r="G95" s="207"/>
      <c r="H95" s="198"/>
      <c r="I95" s="208"/>
      <c r="J95" s="209"/>
      <c r="K95" s="207"/>
      <c r="L95" s="198"/>
      <c r="M95" s="208"/>
      <c r="N95" s="209"/>
      <c r="O95" s="207"/>
      <c r="P95" s="198"/>
      <c r="Q95" s="208"/>
      <c r="R95" s="209"/>
      <c r="S95" s="207"/>
      <c r="T95" s="198"/>
      <c r="U95" s="208"/>
      <c r="V95" s="209"/>
      <c r="W95" s="278" t="str">
        <f t="shared" si="9"/>
        <v/>
      </c>
      <c r="X95" s="210"/>
    </row>
    <row r="96" spans="1:29" ht="13.5" hidden="1" thickBot="1" x14ac:dyDescent="0.25">
      <c r="A96" s="206"/>
      <c r="B96" s="212"/>
      <c r="C96" s="207"/>
      <c r="D96" s="198"/>
      <c r="E96" s="208"/>
      <c r="F96" s="209"/>
      <c r="G96" s="207"/>
      <c r="H96" s="198"/>
      <c r="I96" s="208"/>
      <c r="J96" s="209"/>
      <c r="K96" s="207"/>
      <c r="L96" s="198"/>
      <c r="M96" s="208"/>
      <c r="N96" s="209"/>
      <c r="O96" s="207"/>
      <c r="P96" s="198"/>
      <c r="Q96" s="208"/>
      <c r="R96" s="209"/>
      <c r="S96" s="207"/>
      <c r="T96" s="198"/>
      <c r="U96" s="208"/>
      <c r="V96" s="209"/>
      <c r="W96" s="278" t="str">
        <f t="shared" si="9"/>
        <v/>
      </c>
      <c r="X96" s="210"/>
    </row>
    <row r="97" spans="1:29" ht="13.5" hidden="1" thickBot="1" x14ac:dyDescent="0.25">
      <c r="A97" s="206"/>
      <c r="B97" s="218"/>
      <c r="C97" s="207"/>
      <c r="D97" s="198"/>
      <c r="E97" s="208"/>
      <c r="F97" s="209"/>
      <c r="G97" s="207"/>
      <c r="H97" s="198"/>
      <c r="I97" s="208"/>
      <c r="J97" s="209"/>
      <c r="K97" s="207"/>
      <c r="L97" s="198"/>
      <c r="M97" s="208"/>
      <c r="N97" s="209"/>
      <c r="O97" s="207"/>
      <c r="P97" s="198"/>
      <c r="Q97" s="208"/>
      <c r="R97" s="209"/>
      <c r="S97" s="207"/>
      <c r="T97" s="198"/>
      <c r="U97" s="208"/>
      <c r="V97" s="209"/>
      <c r="W97" s="278" t="str">
        <f t="shared" si="9"/>
        <v/>
      </c>
      <c r="X97" s="210"/>
    </row>
    <row r="98" spans="1:29" ht="13.5" hidden="1" thickBot="1" x14ac:dyDescent="0.25">
      <c r="A98" s="149"/>
      <c r="B98" s="195"/>
      <c r="C98" s="151"/>
      <c r="D98" s="148"/>
      <c r="E98" s="152"/>
      <c r="F98" s="153"/>
      <c r="G98" s="151"/>
      <c r="H98" s="148"/>
      <c r="I98" s="152"/>
      <c r="J98" s="153"/>
      <c r="K98" s="151"/>
      <c r="L98" s="148"/>
      <c r="M98" s="152"/>
      <c r="N98" s="153"/>
      <c r="O98" s="151"/>
      <c r="P98" s="148"/>
      <c r="Q98" s="152"/>
      <c r="R98" s="153"/>
      <c r="S98" s="151"/>
      <c r="T98" s="148"/>
      <c r="U98" s="152"/>
      <c r="V98" s="153"/>
      <c r="W98" s="278" t="str">
        <f t="shared" ref="W98:W101" si="10">IF(COUNTA(C98:V98)=0,"",SUM(C98:V98)+COUNTIF(C98:V98,5)/100+COUNTIF(C98:V98,3)/10000)</f>
        <v/>
      </c>
      <c r="X98" s="154"/>
      <c r="AC98" s="184"/>
    </row>
    <row r="99" spans="1:29" ht="13.5" hidden="1" thickBot="1" x14ac:dyDescent="0.25">
      <c r="A99" s="149"/>
      <c r="B99" s="181"/>
      <c r="C99" s="151"/>
      <c r="D99" s="148"/>
      <c r="E99" s="152"/>
      <c r="F99" s="153"/>
      <c r="G99" s="151"/>
      <c r="H99" s="148"/>
      <c r="I99" s="152"/>
      <c r="J99" s="153"/>
      <c r="K99" s="151"/>
      <c r="L99" s="148"/>
      <c r="M99" s="152"/>
      <c r="N99" s="153"/>
      <c r="O99" s="151"/>
      <c r="P99" s="148"/>
      <c r="Q99" s="152"/>
      <c r="R99" s="153"/>
      <c r="S99" s="151"/>
      <c r="T99" s="148"/>
      <c r="U99" s="152"/>
      <c r="V99" s="153"/>
      <c r="W99" s="278" t="str">
        <f t="shared" si="10"/>
        <v/>
      </c>
      <c r="X99" s="154"/>
      <c r="AC99" s="184"/>
    </row>
    <row r="100" spans="1:29" ht="13.5" hidden="1" thickBot="1" x14ac:dyDescent="0.25">
      <c r="A100" s="197"/>
      <c r="B100" s="155"/>
      <c r="C100" s="151"/>
      <c r="D100" s="148"/>
      <c r="E100" s="152"/>
      <c r="F100" s="153"/>
      <c r="G100" s="151"/>
      <c r="H100" s="148"/>
      <c r="I100" s="152"/>
      <c r="J100" s="153"/>
      <c r="K100" s="151"/>
      <c r="L100" s="148"/>
      <c r="M100" s="152"/>
      <c r="N100" s="153"/>
      <c r="O100" s="151"/>
      <c r="P100" s="148"/>
      <c r="Q100" s="152"/>
      <c r="R100" s="153"/>
      <c r="S100" s="151"/>
      <c r="T100" s="148"/>
      <c r="U100" s="152"/>
      <c r="V100" s="153"/>
      <c r="W100" s="278" t="str">
        <f t="shared" si="10"/>
        <v/>
      </c>
      <c r="X100" s="154"/>
    </row>
    <row r="101" spans="1:29" ht="13.5" hidden="1" thickBot="1" x14ac:dyDescent="0.25">
      <c r="A101" s="199"/>
      <c r="B101" s="200"/>
      <c r="C101" s="201"/>
      <c r="D101" s="158"/>
      <c r="E101" s="202"/>
      <c r="F101" s="203"/>
      <c r="G101" s="201"/>
      <c r="H101" s="158"/>
      <c r="I101" s="202"/>
      <c r="J101" s="203"/>
      <c r="K101" s="201"/>
      <c r="L101" s="158"/>
      <c r="M101" s="202"/>
      <c r="N101" s="203"/>
      <c r="O101" s="201"/>
      <c r="P101" s="158"/>
      <c r="Q101" s="202"/>
      <c r="R101" s="203"/>
      <c r="S101" s="201"/>
      <c r="T101" s="158"/>
      <c r="U101" s="202"/>
      <c r="V101" s="203"/>
      <c r="W101" s="279" t="str">
        <f t="shared" si="10"/>
        <v/>
      </c>
      <c r="X101" s="176"/>
    </row>
    <row r="102" spans="1:29" ht="13.5" thickBot="1" x14ac:dyDescent="0.25">
      <c r="A102" s="648"/>
      <c r="B102" s="642" t="s">
        <v>844</v>
      </c>
      <c r="C102" s="606"/>
      <c r="D102" s="606"/>
      <c r="E102" s="606"/>
      <c r="F102" s="606"/>
      <c r="G102" s="606"/>
      <c r="H102" s="606"/>
      <c r="I102" s="606"/>
      <c r="J102" s="606"/>
      <c r="K102" s="606"/>
      <c r="L102" s="606"/>
      <c r="M102" s="606"/>
      <c r="N102" s="606"/>
      <c r="O102" s="606"/>
      <c r="P102" s="606"/>
      <c r="Q102" s="606"/>
      <c r="R102" s="606"/>
      <c r="S102" s="606"/>
      <c r="T102" s="606"/>
      <c r="U102" s="606"/>
      <c r="V102" s="606"/>
      <c r="W102" s="683" t="str">
        <f t="shared" si="3"/>
        <v/>
      </c>
      <c r="X102" s="643"/>
      <c r="Y102" s="157"/>
      <c r="Z102" s="640"/>
      <c r="AA102" s="165" t="s">
        <v>181</v>
      </c>
      <c r="AB102" s="165" t="s">
        <v>182</v>
      </c>
    </row>
    <row r="103" spans="1:29" x14ac:dyDescent="0.2">
      <c r="A103" s="628">
        <v>1</v>
      </c>
      <c r="B103" s="633" t="s">
        <v>245</v>
      </c>
      <c r="C103" s="630">
        <v>5</v>
      </c>
      <c r="D103" s="631">
        <v>0</v>
      </c>
      <c r="E103" s="631">
        <v>0</v>
      </c>
      <c r="F103" s="632">
        <v>0</v>
      </c>
      <c r="G103" s="630">
        <v>0</v>
      </c>
      <c r="H103" s="631">
        <v>3</v>
      </c>
      <c r="I103" s="631">
        <v>3</v>
      </c>
      <c r="J103" s="632">
        <v>3</v>
      </c>
      <c r="K103" s="630">
        <v>0</v>
      </c>
      <c r="L103" s="631">
        <v>1</v>
      </c>
      <c r="M103" s="631">
        <v>0</v>
      </c>
      <c r="N103" s="632">
        <v>0</v>
      </c>
      <c r="O103" s="630">
        <v>0</v>
      </c>
      <c r="P103" s="631">
        <v>0</v>
      </c>
      <c r="Q103" s="631">
        <v>0</v>
      </c>
      <c r="R103" s="632">
        <v>0</v>
      </c>
      <c r="S103" s="630">
        <v>0</v>
      </c>
      <c r="T103" s="631">
        <v>5</v>
      </c>
      <c r="U103" s="631">
        <v>5</v>
      </c>
      <c r="V103" s="632">
        <v>5</v>
      </c>
      <c r="W103" s="281">
        <f t="shared" si="3"/>
        <v>30.040299999999998</v>
      </c>
      <c r="X103" s="634" t="str">
        <f>IF(ISBLANK(C103),"",IF(W103=W104,"edasi "&amp;RANK(W103,$AB$103:$AB$110),(IF(RANK(Z103,$Z$103:$Z$104)&lt;2,"edasi "&amp;RANK(W103,$AB$103:$AB$110),RANK(W103,$AA$103:$AA$110)+4))))</f>
        <v>edasi 3</v>
      </c>
      <c r="Z103" s="166">
        <f>IF(COUNTA(C103:V103)=0,100,W103+IF(RANK(W103,$W$103:$W$104)=1,100,0))</f>
        <v>130.0403</v>
      </c>
      <c r="AA103" s="165">
        <f>MIN(W103:W104)</f>
        <v>20.020299999999999</v>
      </c>
      <c r="AB103" s="165">
        <f>MAX(W103:W104)</f>
        <v>30.040299999999998</v>
      </c>
    </row>
    <row r="104" spans="1:29" x14ac:dyDescent="0.2">
      <c r="A104" s="218">
        <v>8</v>
      </c>
      <c r="B104" s="235" t="s">
        <v>49</v>
      </c>
      <c r="C104" s="219">
        <v>0</v>
      </c>
      <c r="D104" s="220">
        <v>3</v>
      </c>
      <c r="E104" s="220">
        <v>3</v>
      </c>
      <c r="F104" s="221">
        <v>0</v>
      </c>
      <c r="G104" s="219">
        <v>0</v>
      </c>
      <c r="H104" s="220">
        <v>0</v>
      </c>
      <c r="I104" s="220">
        <v>0</v>
      </c>
      <c r="J104" s="221">
        <v>0</v>
      </c>
      <c r="K104" s="219">
        <v>3</v>
      </c>
      <c r="L104" s="220">
        <v>1</v>
      </c>
      <c r="M104" s="220">
        <v>0</v>
      </c>
      <c r="N104" s="221">
        <v>0</v>
      </c>
      <c r="O104" s="219">
        <v>0</v>
      </c>
      <c r="P104" s="220">
        <v>0</v>
      </c>
      <c r="Q104" s="220">
        <v>0</v>
      </c>
      <c r="R104" s="221">
        <v>0</v>
      </c>
      <c r="S104" s="219">
        <v>5</v>
      </c>
      <c r="T104" s="220">
        <v>5</v>
      </c>
      <c r="U104" s="220">
        <v>0</v>
      </c>
      <c r="V104" s="221">
        <v>0</v>
      </c>
      <c r="W104" s="278">
        <f t="shared" si="3"/>
        <v>20.020299999999999</v>
      </c>
      <c r="X104" s="222">
        <f>IF(ISBLANK(C104),"",IF(RANK(Z104,$Z$103:$Z$104)&lt;2,"edasi "&amp;RANK(W104,$AB$103:$AB$110),RANK(W104,$AA$103:$AA$110)+4))</f>
        <v>5</v>
      </c>
      <c r="Z104" s="167">
        <f>IF(COUNTA(C104:V104)=0,0,W104+IF(RANK(W104,$W$103:$W$104)=1,100,0))</f>
        <v>20.020299999999999</v>
      </c>
      <c r="AA104" s="165"/>
      <c r="AB104" s="165"/>
    </row>
    <row r="105" spans="1:29" x14ac:dyDescent="0.2">
      <c r="A105" s="159">
        <v>4</v>
      </c>
      <c r="B105" s="168" t="s">
        <v>52</v>
      </c>
      <c r="C105" s="160">
        <v>0</v>
      </c>
      <c r="D105" s="161">
        <v>0</v>
      </c>
      <c r="E105" s="161">
        <v>0</v>
      </c>
      <c r="F105" s="162">
        <v>3</v>
      </c>
      <c r="G105" s="160">
        <v>0</v>
      </c>
      <c r="H105" s="161">
        <v>0</v>
      </c>
      <c r="I105" s="161">
        <v>0</v>
      </c>
      <c r="J105" s="162">
        <v>0</v>
      </c>
      <c r="K105" s="160">
        <v>0</v>
      </c>
      <c r="L105" s="161">
        <v>1</v>
      </c>
      <c r="M105" s="161">
        <v>0</v>
      </c>
      <c r="N105" s="162">
        <v>1</v>
      </c>
      <c r="O105" s="160">
        <v>0</v>
      </c>
      <c r="P105" s="161">
        <v>3</v>
      </c>
      <c r="Q105" s="161">
        <v>0</v>
      </c>
      <c r="R105" s="162">
        <v>3</v>
      </c>
      <c r="S105" s="160">
        <v>0</v>
      </c>
      <c r="T105" s="161">
        <v>3</v>
      </c>
      <c r="U105" s="161">
        <v>5</v>
      </c>
      <c r="V105" s="162">
        <v>0</v>
      </c>
      <c r="W105" s="278">
        <f t="shared" si="3"/>
        <v>19.010400000000001</v>
      </c>
      <c r="X105" s="163">
        <f>IF(ISBLANK(C105),"",IF(RANK(Z105,$Z$105:$Z$106)&lt;2,"edasi "&amp;RANK(W105,$AB$103:$AB$110),RANK(W105,$AA$103:$AA$110)+4))</f>
        <v>6</v>
      </c>
      <c r="Z105" s="166">
        <f>IF(COUNTA(C105:V105)=0,100,W105+IF(RANK(W105,$W$105:$W$106)=1,100,0))</f>
        <v>19.010400000000001</v>
      </c>
      <c r="AA105" s="165">
        <f>MIN(W105:W106)</f>
        <v>19.010400000000001</v>
      </c>
      <c r="AB105" s="165">
        <f>MAX(W105:W106)</f>
        <v>38.040500000000002</v>
      </c>
    </row>
    <row r="106" spans="1:29" x14ac:dyDescent="0.2">
      <c r="A106" s="159">
        <v>5</v>
      </c>
      <c r="B106" s="227" t="s">
        <v>194</v>
      </c>
      <c r="C106" s="160">
        <v>5</v>
      </c>
      <c r="D106" s="161">
        <v>5</v>
      </c>
      <c r="E106" s="161">
        <v>5</v>
      </c>
      <c r="F106" s="162">
        <v>3</v>
      </c>
      <c r="G106" s="160">
        <v>3</v>
      </c>
      <c r="H106" s="161">
        <v>0</v>
      </c>
      <c r="I106" s="161">
        <v>0</v>
      </c>
      <c r="J106" s="162">
        <v>3</v>
      </c>
      <c r="K106" s="160">
        <v>1</v>
      </c>
      <c r="L106" s="161">
        <v>1</v>
      </c>
      <c r="M106" s="161">
        <v>0</v>
      </c>
      <c r="N106" s="162">
        <v>1</v>
      </c>
      <c r="O106" s="160">
        <v>0</v>
      </c>
      <c r="P106" s="161">
        <v>0</v>
      </c>
      <c r="Q106" s="161">
        <v>0</v>
      </c>
      <c r="R106" s="162">
        <v>0</v>
      </c>
      <c r="S106" s="160">
        <v>3</v>
      </c>
      <c r="T106" s="161">
        <v>3</v>
      </c>
      <c r="U106" s="161">
        <v>5</v>
      </c>
      <c r="V106" s="162">
        <v>0</v>
      </c>
      <c r="W106" s="278">
        <f t="shared" si="3"/>
        <v>38.040500000000002</v>
      </c>
      <c r="X106" s="163" t="str">
        <f>IF(ISBLANK(C106),"",IF(RANK(Z106,$Z$105:$Z$106)&lt;2,"edasi "&amp;RANK(W106,$AB$103:$AB$110),RANK(W106,$AA$103:$AA$110)+4))</f>
        <v>edasi 1</v>
      </c>
      <c r="Z106" s="167">
        <f>IF(COUNTA(C106:V106)=0,0,W106+IF(RANK(W106,$W$105:$W$106)=1,100,0))</f>
        <v>138.04050000000001</v>
      </c>
      <c r="AA106" s="165"/>
      <c r="AB106" s="165"/>
    </row>
    <row r="107" spans="1:29" x14ac:dyDescent="0.2">
      <c r="A107" s="218">
        <v>3</v>
      </c>
      <c r="B107" s="234" t="s">
        <v>22</v>
      </c>
      <c r="C107" s="219">
        <v>0</v>
      </c>
      <c r="D107" s="220">
        <v>0</v>
      </c>
      <c r="E107" s="220">
        <v>0</v>
      </c>
      <c r="F107" s="221">
        <v>0</v>
      </c>
      <c r="G107" s="219">
        <v>3</v>
      </c>
      <c r="H107" s="220">
        <v>3</v>
      </c>
      <c r="I107" s="220">
        <v>0</v>
      </c>
      <c r="J107" s="221">
        <v>3</v>
      </c>
      <c r="K107" s="219">
        <v>0</v>
      </c>
      <c r="L107" s="220">
        <v>0</v>
      </c>
      <c r="M107" s="220">
        <v>1</v>
      </c>
      <c r="N107" s="221">
        <v>0</v>
      </c>
      <c r="O107" s="219">
        <v>3</v>
      </c>
      <c r="P107" s="220">
        <v>0</v>
      </c>
      <c r="Q107" s="220">
        <v>0</v>
      </c>
      <c r="R107" s="221">
        <v>0</v>
      </c>
      <c r="S107" s="219">
        <v>0</v>
      </c>
      <c r="T107" s="220">
        <v>0</v>
      </c>
      <c r="U107" s="220">
        <v>0</v>
      </c>
      <c r="V107" s="221">
        <v>0</v>
      </c>
      <c r="W107" s="278">
        <f t="shared" si="3"/>
        <v>13.000400000000001</v>
      </c>
      <c r="X107" s="222">
        <f>IF(ISBLANK(C107),"",IF(RANK(Z107,$Z$107:$Z$108)&lt;2,"edasi "&amp;RANK(W107,$AB$103:$AB$110),RANK(W107,$AA$103:$AA$110)+4))</f>
        <v>7</v>
      </c>
      <c r="Z107" s="166">
        <f>IF(COUNTA(C107:V107)=0,100,W107+IF(RANK(W107,$W$107:$W$108)=1,100,0))</f>
        <v>13.000400000000001</v>
      </c>
      <c r="AA107" s="165">
        <f>MIN(W107:W108)</f>
        <v>13.000400000000001</v>
      </c>
      <c r="AB107" s="165">
        <f>MAX(W107:W108)</f>
        <v>23.020299999999999</v>
      </c>
    </row>
    <row r="108" spans="1:29" x14ac:dyDescent="0.2">
      <c r="A108" s="218">
        <v>6</v>
      </c>
      <c r="B108" s="234" t="s">
        <v>53</v>
      </c>
      <c r="C108" s="219">
        <v>0</v>
      </c>
      <c r="D108" s="220">
        <v>3</v>
      </c>
      <c r="E108" s="220">
        <v>3</v>
      </c>
      <c r="F108" s="221">
        <v>0</v>
      </c>
      <c r="G108" s="219">
        <v>0</v>
      </c>
      <c r="H108" s="220">
        <v>0</v>
      </c>
      <c r="I108" s="220">
        <v>0</v>
      </c>
      <c r="J108" s="221">
        <v>0</v>
      </c>
      <c r="K108" s="219">
        <v>1</v>
      </c>
      <c r="L108" s="220">
        <v>1</v>
      </c>
      <c r="M108" s="220">
        <v>0</v>
      </c>
      <c r="N108" s="221">
        <v>3</v>
      </c>
      <c r="O108" s="219">
        <v>1</v>
      </c>
      <c r="P108" s="220">
        <v>0</v>
      </c>
      <c r="Q108" s="220">
        <v>0</v>
      </c>
      <c r="R108" s="221">
        <v>1</v>
      </c>
      <c r="S108" s="219">
        <v>5</v>
      </c>
      <c r="T108" s="220">
        <v>0</v>
      </c>
      <c r="U108" s="220">
        <v>0</v>
      </c>
      <c r="V108" s="221">
        <v>5</v>
      </c>
      <c r="W108" s="278">
        <f t="shared" si="3"/>
        <v>23.020299999999999</v>
      </c>
      <c r="X108" s="222" t="str">
        <f>IF(ISBLANK(C108),"",IF(RANK(Z108,$Z$107:$Z$108)&lt;2,"edasi "&amp;RANK(W108,$AB$103:$AB$110),RANK(W108,$AA$103:$AA$110)+4))</f>
        <v>edasi 4</v>
      </c>
      <c r="Z108" s="167">
        <f>IF(COUNTA(C108:V108)=0,0,W108+IF(RANK(W108,$W$107:$W$108)=1,100,0))</f>
        <v>123.02029999999999</v>
      </c>
      <c r="AA108" s="165"/>
      <c r="AB108" s="165"/>
    </row>
    <row r="109" spans="1:29" x14ac:dyDescent="0.2">
      <c r="A109" s="159">
        <v>2</v>
      </c>
      <c r="B109" s="233" t="s">
        <v>27</v>
      </c>
      <c r="C109" s="160">
        <v>3</v>
      </c>
      <c r="D109" s="161">
        <v>3</v>
      </c>
      <c r="E109" s="161">
        <v>3</v>
      </c>
      <c r="F109" s="162">
        <v>3</v>
      </c>
      <c r="G109" s="160">
        <v>0</v>
      </c>
      <c r="H109" s="161">
        <v>3</v>
      </c>
      <c r="I109" s="161">
        <v>0</v>
      </c>
      <c r="J109" s="162">
        <v>5</v>
      </c>
      <c r="K109" s="160">
        <v>1</v>
      </c>
      <c r="L109" s="161">
        <v>3</v>
      </c>
      <c r="M109" s="161">
        <v>0</v>
      </c>
      <c r="N109" s="162">
        <v>0</v>
      </c>
      <c r="O109" s="160">
        <v>0</v>
      </c>
      <c r="P109" s="161">
        <v>0</v>
      </c>
      <c r="Q109" s="161">
        <v>0</v>
      </c>
      <c r="R109" s="162">
        <v>0</v>
      </c>
      <c r="S109" s="160">
        <v>3</v>
      </c>
      <c r="T109" s="161">
        <v>5</v>
      </c>
      <c r="U109" s="161">
        <v>0</v>
      </c>
      <c r="V109" s="162">
        <v>0</v>
      </c>
      <c r="W109" s="278">
        <f t="shared" si="3"/>
        <v>32.020700000000005</v>
      </c>
      <c r="X109" s="163" t="str">
        <f>IF(ISBLANK(C109),"",IF(RANK(Z109,$Z$109:$Z$110)&lt;2,"edasi "&amp;RANK(W109,$AB$103:$AB$110),RANK(W109,$AA$103:$AA$110)+4))</f>
        <v>edasi 2</v>
      </c>
      <c r="Z109" s="166">
        <f>IF(COUNTA(C109:V109)=0,100,W109+IF(RANK(W109,$W$109:$W$110)=1,100,0))</f>
        <v>132.02070000000001</v>
      </c>
      <c r="AA109" s="165">
        <f>MIN(W109:W110)</f>
        <v>12.010199999999999</v>
      </c>
      <c r="AB109" s="165">
        <f>MAX(W109:W110)</f>
        <v>32.020700000000005</v>
      </c>
    </row>
    <row r="110" spans="1:29" ht="13.5" thickBot="1" x14ac:dyDescent="0.25">
      <c r="A110" s="171">
        <v>7</v>
      </c>
      <c r="B110" s="225" t="s">
        <v>227</v>
      </c>
      <c r="C110" s="173">
        <v>0</v>
      </c>
      <c r="D110" s="174">
        <v>0</v>
      </c>
      <c r="E110" s="174">
        <v>3</v>
      </c>
      <c r="F110" s="175">
        <v>0</v>
      </c>
      <c r="G110" s="173">
        <v>0</v>
      </c>
      <c r="H110" s="174">
        <v>0</v>
      </c>
      <c r="I110" s="174">
        <v>0</v>
      </c>
      <c r="J110" s="175">
        <v>1</v>
      </c>
      <c r="K110" s="173">
        <v>0</v>
      </c>
      <c r="L110" s="174">
        <v>5</v>
      </c>
      <c r="M110" s="174">
        <v>0</v>
      </c>
      <c r="N110" s="175">
        <v>0</v>
      </c>
      <c r="O110" s="173">
        <v>0</v>
      </c>
      <c r="P110" s="174">
        <v>3</v>
      </c>
      <c r="Q110" s="174">
        <v>0</v>
      </c>
      <c r="R110" s="175">
        <v>0</v>
      </c>
      <c r="S110" s="173">
        <v>0</v>
      </c>
      <c r="T110" s="174">
        <v>0</v>
      </c>
      <c r="U110" s="174">
        <v>0</v>
      </c>
      <c r="V110" s="175">
        <v>0</v>
      </c>
      <c r="W110" s="279">
        <f t="shared" si="3"/>
        <v>12.010199999999999</v>
      </c>
      <c r="X110" s="192">
        <f>IF(ISBLANK(C110),"",IF(RANK(Z110,$Z$109:$Z$110)&lt;2,"edasi "&amp;RANK(W110,$AB$103:$AB$110),RANK(W110,$AA$103:$AA$110)+4))</f>
        <v>8</v>
      </c>
      <c r="Z110" s="167">
        <f>IF(COUNTA(C110:V110)=0,0,W110+IF(RANK(W110,$W$109:$W$110)=1,100,0))</f>
        <v>12.010199999999999</v>
      </c>
      <c r="AA110" s="165"/>
      <c r="AB110" s="165"/>
    </row>
    <row r="111" spans="1:29" ht="13.5" thickBot="1" x14ac:dyDescent="0.25">
      <c r="A111" s="648"/>
      <c r="B111" s="642" t="s">
        <v>845</v>
      </c>
      <c r="C111" s="606"/>
      <c r="D111" s="606"/>
      <c r="E111" s="606"/>
      <c r="F111" s="606"/>
      <c r="G111" s="606"/>
      <c r="H111" s="606"/>
      <c r="I111" s="606"/>
      <c r="J111" s="606"/>
      <c r="K111" s="606"/>
      <c r="L111" s="606"/>
      <c r="M111" s="606"/>
      <c r="N111" s="606"/>
      <c r="O111" s="606"/>
      <c r="P111" s="606"/>
      <c r="Q111" s="606"/>
      <c r="R111" s="606"/>
      <c r="S111" s="606"/>
      <c r="T111" s="606"/>
      <c r="U111" s="606"/>
      <c r="V111" s="606"/>
      <c r="W111" s="683" t="str">
        <f t="shared" si="3"/>
        <v/>
      </c>
      <c r="X111" s="643"/>
      <c r="Y111" s="157"/>
    </row>
    <row r="112" spans="1:29" x14ac:dyDescent="0.2">
      <c r="A112" s="628">
        <v>1</v>
      </c>
      <c r="B112" s="635" t="s">
        <v>194</v>
      </c>
      <c r="C112" s="630">
        <v>5</v>
      </c>
      <c r="D112" s="631">
        <v>0</v>
      </c>
      <c r="E112" s="631">
        <v>3</v>
      </c>
      <c r="F112" s="632">
        <v>0</v>
      </c>
      <c r="G112" s="630">
        <v>5</v>
      </c>
      <c r="H112" s="631">
        <v>0</v>
      </c>
      <c r="I112" s="631">
        <v>0</v>
      </c>
      <c r="J112" s="632">
        <v>3</v>
      </c>
      <c r="K112" s="630">
        <v>1</v>
      </c>
      <c r="L112" s="631">
        <v>1</v>
      </c>
      <c r="M112" s="631">
        <v>0</v>
      </c>
      <c r="N112" s="632">
        <v>0</v>
      </c>
      <c r="O112" s="630">
        <v>0</v>
      </c>
      <c r="P112" s="631">
        <v>0</v>
      </c>
      <c r="Q112" s="631">
        <v>3</v>
      </c>
      <c r="R112" s="632">
        <v>1</v>
      </c>
      <c r="S112" s="630">
        <v>0</v>
      </c>
      <c r="T112" s="631">
        <v>0</v>
      </c>
      <c r="U112" s="636" t="s">
        <v>81</v>
      </c>
      <c r="V112" s="637" t="s">
        <v>81</v>
      </c>
      <c r="W112" s="281">
        <f t="shared" si="3"/>
        <v>22.020299999999999</v>
      </c>
      <c r="X112" s="634" t="str">
        <f>IF(COUNTA(C112:V112)=0,"",IF(W112=W113,"ümbervisk",IF(W112&gt;W113,"finaali "&amp;(IF(W112&lt;MAX(W114:W115),2,IF(W112=MAX(W114:W115),"",1))),"pronksi "&amp;(IF(W112&lt;MIN(W114:W115),2,IF(W112=MIN(W114:W115),"",1))))))</f>
        <v>finaali 2</v>
      </c>
    </row>
    <row r="113" spans="1:25" x14ac:dyDescent="0.2">
      <c r="A113" s="218">
        <v>4</v>
      </c>
      <c r="B113" s="235" t="s">
        <v>53</v>
      </c>
      <c r="C113" s="219">
        <v>3</v>
      </c>
      <c r="D113" s="220">
        <v>3</v>
      </c>
      <c r="E113" s="220">
        <v>0</v>
      </c>
      <c r="F113" s="221">
        <v>3</v>
      </c>
      <c r="G113" s="219">
        <v>0</v>
      </c>
      <c r="H113" s="220">
        <v>0</v>
      </c>
      <c r="I113" s="220">
        <v>0</v>
      </c>
      <c r="J113" s="221">
        <v>0</v>
      </c>
      <c r="K113" s="219">
        <v>0</v>
      </c>
      <c r="L113" s="220">
        <v>1</v>
      </c>
      <c r="M113" s="220">
        <v>1</v>
      </c>
      <c r="N113" s="221">
        <v>0</v>
      </c>
      <c r="O113" s="219">
        <v>0</v>
      </c>
      <c r="P113" s="220">
        <v>0</v>
      </c>
      <c r="Q113" s="220">
        <v>0</v>
      </c>
      <c r="R113" s="221">
        <v>1</v>
      </c>
      <c r="S113" s="219">
        <v>0</v>
      </c>
      <c r="T113" s="220">
        <v>0</v>
      </c>
      <c r="U113" s="220">
        <v>3</v>
      </c>
      <c r="V113" s="588" t="s">
        <v>81</v>
      </c>
      <c r="W113" s="278">
        <f t="shared" si="3"/>
        <v>15.000400000000001</v>
      </c>
      <c r="X113" s="222" t="str">
        <f>IF(COUNTA(C113:V113)=0,"",IF(W112=W113,"ümbervisk",IF(W113&gt;W112,"finaali "&amp;(IF(W113&lt;MAX(W114:W115),2,IF(W113=MAX(W114:W115),"",1))),"pronksi "&amp;(IF(W113&lt;MIN(W114:W115),2,IF(W113=MIN(W114:W115),"",1))))))</f>
        <v>pronksi 2</v>
      </c>
    </row>
    <row r="114" spans="1:25" x14ac:dyDescent="0.2">
      <c r="A114" s="159">
        <v>2</v>
      </c>
      <c r="B114" s="233" t="s">
        <v>27</v>
      </c>
      <c r="C114" s="160">
        <v>0</v>
      </c>
      <c r="D114" s="161">
        <v>3</v>
      </c>
      <c r="E114" s="161">
        <v>0</v>
      </c>
      <c r="F114" s="162">
        <v>0</v>
      </c>
      <c r="G114" s="160">
        <v>1</v>
      </c>
      <c r="H114" s="161">
        <v>0</v>
      </c>
      <c r="I114" s="161">
        <v>0</v>
      </c>
      <c r="J114" s="162">
        <v>3</v>
      </c>
      <c r="K114" s="160">
        <v>3</v>
      </c>
      <c r="L114" s="161">
        <v>3</v>
      </c>
      <c r="M114" s="161">
        <v>0</v>
      </c>
      <c r="N114" s="162">
        <v>1</v>
      </c>
      <c r="O114" s="160">
        <v>0</v>
      </c>
      <c r="P114" s="161">
        <v>3</v>
      </c>
      <c r="Q114" s="161">
        <v>0</v>
      </c>
      <c r="R114" s="162">
        <v>0</v>
      </c>
      <c r="S114" s="160">
        <v>5</v>
      </c>
      <c r="T114" s="587">
        <v>5</v>
      </c>
      <c r="U114" s="161">
        <v>0</v>
      </c>
      <c r="V114" s="162">
        <v>0</v>
      </c>
      <c r="W114" s="278">
        <f t="shared" si="3"/>
        <v>27.020499999999998</v>
      </c>
      <c r="X114" s="163" t="str">
        <f>IF(COUNTA(C114:V114)=0,"",IF(W114=W115,"ümbervisk",IF(W114&gt;W115,"finaali "&amp;(IF(W114&lt;MAX(W112:W113),2,IF(W114=MAX(W112:W113),"",1))),"pronksi "&amp;(IF(W114&lt;MIN(W112:W113),2,IF(W114=MIN(W112:W113),"",1))))))</f>
        <v>finaali 1</v>
      </c>
    </row>
    <row r="115" spans="1:25" ht="13.5" thickBot="1" x14ac:dyDescent="0.25">
      <c r="A115" s="171">
        <v>3</v>
      </c>
      <c r="B115" s="225" t="s">
        <v>245</v>
      </c>
      <c r="C115" s="173">
        <v>0</v>
      </c>
      <c r="D115" s="174">
        <v>3</v>
      </c>
      <c r="E115" s="174">
        <v>0</v>
      </c>
      <c r="F115" s="175">
        <v>0</v>
      </c>
      <c r="G115" s="173">
        <v>0</v>
      </c>
      <c r="H115" s="174">
        <v>3</v>
      </c>
      <c r="I115" s="174">
        <v>3</v>
      </c>
      <c r="J115" s="175">
        <v>0</v>
      </c>
      <c r="K115" s="173">
        <v>1</v>
      </c>
      <c r="L115" s="174">
        <v>0</v>
      </c>
      <c r="M115" s="174">
        <v>0</v>
      </c>
      <c r="N115" s="175">
        <v>0</v>
      </c>
      <c r="O115" s="173">
        <v>1</v>
      </c>
      <c r="P115" s="174">
        <v>0</v>
      </c>
      <c r="Q115" s="174">
        <v>0</v>
      </c>
      <c r="R115" s="175">
        <v>0</v>
      </c>
      <c r="S115" s="173">
        <v>5</v>
      </c>
      <c r="T115" s="174">
        <v>0</v>
      </c>
      <c r="U115" s="174">
        <v>0</v>
      </c>
      <c r="V115" s="175">
        <v>0</v>
      </c>
      <c r="W115" s="279">
        <f t="shared" si="3"/>
        <v>16.010300000000001</v>
      </c>
      <c r="X115" s="192" t="str">
        <f>IF(COUNTA(C115:V115)=0,"",IF(W114=W115,"ümbervisk",IF(W115&gt;W114,"finaali "&amp;(IF(W115&lt;MAX(W112:W113),2,IF(W115=MAX(W112:W113),"",1))),"pronksi "&amp;(IF(W115&lt;MIN(W112:W113),2,IF(W115=MIN(W112:W113),"",1))))))</f>
        <v>pronksi 1</v>
      </c>
    </row>
    <row r="116" spans="1:25" ht="13.5" thickBot="1" x14ac:dyDescent="0.25">
      <c r="A116" s="648"/>
      <c r="B116" s="642" t="s">
        <v>847</v>
      </c>
      <c r="C116" s="606"/>
      <c r="D116" s="606"/>
      <c r="E116" s="606"/>
      <c r="F116" s="606"/>
      <c r="G116" s="606"/>
      <c r="H116" s="606"/>
      <c r="I116" s="606"/>
      <c r="J116" s="606"/>
      <c r="K116" s="606"/>
      <c r="L116" s="606"/>
      <c r="M116" s="606"/>
      <c r="N116" s="606"/>
      <c r="O116" s="606"/>
      <c r="P116" s="606"/>
      <c r="Q116" s="606"/>
      <c r="R116" s="606"/>
      <c r="S116" s="606"/>
      <c r="T116" s="606"/>
      <c r="U116" s="606"/>
      <c r="V116" s="606"/>
      <c r="W116" s="683" t="str">
        <f t="shared" si="3"/>
        <v/>
      </c>
      <c r="X116" s="643"/>
      <c r="Y116" s="157"/>
    </row>
    <row r="117" spans="1:25" x14ac:dyDescent="0.2">
      <c r="A117" s="189">
        <v>1</v>
      </c>
      <c r="B117" s="638" t="s">
        <v>245</v>
      </c>
      <c r="C117" s="144">
        <v>0</v>
      </c>
      <c r="D117" s="145">
        <v>0</v>
      </c>
      <c r="E117" s="145">
        <v>0</v>
      </c>
      <c r="F117" s="146">
        <v>3</v>
      </c>
      <c r="G117" s="144">
        <v>0</v>
      </c>
      <c r="H117" s="145">
        <v>3</v>
      </c>
      <c r="I117" s="145">
        <v>0</v>
      </c>
      <c r="J117" s="146">
        <v>3</v>
      </c>
      <c r="K117" s="144">
        <v>1</v>
      </c>
      <c r="L117" s="145">
        <v>0</v>
      </c>
      <c r="M117" s="145">
        <v>0</v>
      </c>
      <c r="N117" s="146">
        <v>0</v>
      </c>
      <c r="O117" s="144">
        <v>0</v>
      </c>
      <c r="P117" s="145">
        <v>0</v>
      </c>
      <c r="Q117" s="145">
        <v>0</v>
      </c>
      <c r="R117" s="146">
        <v>0</v>
      </c>
      <c r="S117" s="144">
        <v>3</v>
      </c>
      <c r="T117" s="145">
        <v>0</v>
      </c>
      <c r="U117" s="145">
        <v>5</v>
      </c>
      <c r="V117" s="146">
        <v>3</v>
      </c>
      <c r="W117" s="281">
        <f t="shared" si="3"/>
        <v>21.0105</v>
      </c>
      <c r="X117" s="236">
        <f ca="1">IF( INDIRECT("RC[-1]",0)=MAX(( INDIRECT("R[-1]C[-1]",0)):( INDIRECT("R[1]C[-1]",0))),3,4)</f>
        <v>4</v>
      </c>
    </row>
    <row r="118" spans="1:25" ht="13.5" thickBot="1" x14ac:dyDescent="0.25">
      <c r="A118" s="171">
        <v>2</v>
      </c>
      <c r="B118" s="191" t="s">
        <v>53</v>
      </c>
      <c r="C118" s="173">
        <v>3</v>
      </c>
      <c r="D118" s="174">
        <v>3</v>
      </c>
      <c r="E118" s="174">
        <v>3</v>
      </c>
      <c r="F118" s="175">
        <v>0</v>
      </c>
      <c r="G118" s="173">
        <v>0</v>
      </c>
      <c r="H118" s="174">
        <v>0</v>
      </c>
      <c r="I118" s="174">
        <v>0</v>
      </c>
      <c r="J118" s="193">
        <v>0</v>
      </c>
      <c r="K118" s="173">
        <v>1</v>
      </c>
      <c r="L118" s="174">
        <v>5</v>
      </c>
      <c r="M118" s="174">
        <v>5</v>
      </c>
      <c r="N118" s="175">
        <v>1</v>
      </c>
      <c r="O118" s="173">
        <v>0</v>
      </c>
      <c r="P118" s="174">
        <v>0</v>
      </c>
      <c r="Q118" s="174">
        <v>0</v>
      </c>
      <c r="R118" s="175">
        <v>0</v>
      </c>
      <c r="S118" s="173">
        <v>0</v>
      </c>
      <c r="T118" s="174">
        <v>5</v>
      </c>
      <c r="U118" s="174">
        <v>3</v>
      </c>
      <c r="V118" s="175">
        <v>0</v>
      </c>
      <c r="W118" s="279">
        <f t="shared" si="3"/>
        <v>29.0304</v>
      </c>
      <c r="X118" s="177">
        <f ca="1">IF( INDIRECT("RC[-1]",0)=MAX(( INDIRECT("R[-1]C[-1]",0)):( INDIRECT("R[1]C[-1]",0))),3,4)</f>
        <v>3</v>
      </c>
    </row>
    <row r="119" spans="1:25" ht="13.5" thickBot="1" x14ac:dyDescent="0.25">
      <c r="A119" s="648"/>
      <c r="B119" s="642" t="s">
        <v>846</v>
      </c>
      <c r="C119" s="606"/>
      <c r="D119" s="606"/>
      <c r="E119" s="606"/>
      <c r="F119" s="606"/>
      <c r="G119" s="606"/>
      <c r="H119" s="606"/>
      <c r="I119" s="606"/>
      <c r="J119" s="606"/>
      <c r="K119" s="606"/>
      <c r="L119" s="606"/>
      <c r="M119" s="606"/>
      <c r="N119" s="606"/>
      <c r="O119" s="606"/>
      <c r="P119" s="606"/>
      <c r="Q119" s="606"/>
      <c r="R119" s="606"/>
      <c r="S119" s="606"/>
      <c r="T119" s="606"/>
      <c r="U119" s="606"/>
      <c r="V119" s="606"/>
      <c r="W119" s="683" t="str">
        <f t="shared" si="3"/>
        <v/>
      </c>
      <c r="X119" s="643"/>
      <c r="Y119" s="157"/>
    </row>
    <row r="120" spans="1:25" x14ac:dyDescent="0.2">
      <c r="A120" s="189">
        <v>1</v>
      </c>
      <c r="B120" s="639" t="s">
        <v>27</v>
      </c>
      <c r="C120" s="144">
        <v>0</v>
      </c>
      <c r="D120" s="145">
        <v>0</v>
      </c>
      <c r="E120" s="145">
        <v>0</v>
      </c>
      <c r="F120" s="146">
        <v>0</v>
      </c>
      <c r="G120" s="144">
        <v>0</v>
      </c>
      <c r="H120" s="145">
        <v>3</v>
      </c>
      <c r="I120" s="145">
        <v>0</v>
      </c>
      <c r="J120" s="146">
        <v>0</v>
      </c>
      <c r="K120" s="144">
        <v>0</v>
      </c>
      <c r="L120" s="145">
        <v>1</v>
      </c>
      <c r="M120" s="145">
        <v>1</v>
      </c>
      <c r="N120" s="146">
        <v>3</v>
      </c>
      <c r="O120" s="144">
        <v>0</v>
      </c>
      <c r="P120" s="145">
        <v>3</v>
      </c>
      <c r="Q120" s="145">
        <v>0</v>
      </c>
      <c r="R120" s="146">
        <v>0</v>
      </c>
      <c r="S120" s="144">
        <v>5</v>
      </c>
      <c r="T120" s="145">
        <v>5</v>
      </c>
      <c r="U120" s="145">
        <v>0</v>
      </c>
      <c r="V120" s="146">
        <v>5</v>
      </c>
      <c r="W120" s="281">
        <f t="shared" si="3"/>
        <v>26.0303</v>
      </c>
      <c r="X120" s="236">
        <f ca="1">IF( INDIRECT("RC[-1]",0)=MAX(( INDIRECT("R[-1]C[-1]",0)):( INDIRECT("R[1]C[-1]",0))),1,2)</f>
        <v>2</v>
      </c>
    </row>
    <row r="121" spans="1:25" ht="13.5" thickBot="1" x14ac:dyDescent="0.25">
      <c r="A121" s="171">
        <v>2</v>
      </c>
      <c r="B121" s="172" t="s">
        <v>194</v>
      </c>
      <c r="C121" s="173">
        <v>5</v>
      </c>
      <c r="D121" s="174">
        <v>0</v>
      </c>
      <c r="E121" s="174">
        <v>1</v>
      </c>
      <c r="F121" s="175">
        <v>3</v>
      </c>
      <c r="G121" s="173">
        <v>0</v>
      </c>
      <c r="H121" s="174">
        <v>3</v>
      </c>
      <c r="I121" s="174">
        <v>3</v>
      </c>
      <c r="J121" s="175">
        <v>3</v>
      </c>
      <c r="K121" s="173">
        <v>3</v>
      </c>
      <c r="L121" s="174">
        <v>1</v>
      </c>
      <c r="M121" s="174">
        <v>1</v>
      </c>
      <c r="N121" s="175">
        <v>1</v>
      </c>
      <c r="O121" s="173">
        <v>0</v>
      </c>
      <c r="P121" s="174">
        <v>3</v>
      </c>
      <c r="Q121" s="174">
        <v>0</v>
      </c>
      <c r="R121" s="175">
        <v>0</v>
      </c>
      <c r="S121" s="173">
        <v>5</v>
      </c>
      <c r="T121" s="174">
        <v>0</v>
      </c>
      <c r="U121" s="174">
        <v>0</v>
      </c>
      <c r="V121" s="175">
        <v>5</v>
      </c>
      <c r="W121" s="279">
        <f t="shared" si="3"/>
        <v>37.0306</v>
      </c>
      <c r="X121" s="177">
        <f ca="1">IF( INDIRECT("RC[-1]",0)=MAX(( INDIRECT("R[-1]C[-1]",0)):( INDIRECT("R[1]C[-1]",0))),1,2)</f>
        <v>1</v>
      </c>
    </row>
    <row r="123" spans="1:25" hidden="1" x14ac:dyDescent="0.2"/>
    <row r="124" spans="1:25" hidden="1" x14ac:dyDescent="0.2"/>
    <row r="125" spans="1:25" hidden="1" x14ac:dyDescent="0.2"/>
    <row r="126" spans="1:25" hidden="1" x14ac:dyDescent="0.2"/>
    <row r="127" spans="1:25" hidden="1" x14ac:dyDescent="0.2"/>
    <row r="128" spans="1:25" hidden="1" x14ac:dyDescent="0.2"/>
    <row r="129" spans="4:25" hidden="1" x14ac:dyDescent="0.2"/>
    <row r="130" spans="4:25" hidden="1" x14ac:dyDescent="0.2"/>
    <row r="131" spans="4:25" hidden="1" x14ac:dyDescent="0.2"/>
    <row r="132" spans="4:25" hidden="1" x14ac:dyDescent="0.2"/>
    <row r="133" spans="4:25" hidden="1" x14ac:dyDescent="0.2"/>
    <row r="134" spans="4:25" hidden="1" x14ac:dyDescent="0.2"/>
    <row r="135" spans="4:25" hidden="1" x14ac:dyDescent="0.2"/>
    <row r="136" spans="4:25" hidden="1" x14ac:dyDescent="0.2"/>
    <row r="137" spans="4:25" hidden="1" x14ac:dyDescent="0.2">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4:25" hidden="1" x14ac:dyDescent="0.2">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4:25" hidden="1" x14ac:dyDescent="0.2">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4:25" hidden="1" x14ac:dyDescent="0.2">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4:25" hidden="1" x14ac:dyDescent="0.2"/>
    <row r="142" spans="4:25" hidden="1" x14ac:dyDescent="0.2"/>
    <row r="143" spans="4:25" hidden="1" x14ac:dyDescent="0.2"/>
    <row r="144" spans="4:2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78"/>
      <c r="B299" s="178"/>
      <c r="C299" s="347" t="s">
        <v>577</v>
      </c>
    </row>
    <row r="300" spans="1:3" x14ac:dyDescent="0.2">
      <c r="A300" s="179">
        <v>1</v>
      </c>
      <c r="B300" s="180" t="str">
        <f t="shared" ref="B300:B315" ca="1" si="11">IF(IFERROR(INDEX($B$9:$B$121,MATCH($A300,$X$9:$X$121,0)),"")=0,"",IFERROR(INDEX($B$9:$B$121,MATCH($A300,$X$9:$X$121,0)),""))</f>
        <v>Veiko Proos</v>
      </c>
      <c r="C300" s="347">
        <v>25</v>
      </c>
    </row>
    <row r="301" spans="1:3" x14ac:dyDescent="0.2">
      <c r="A301" s="179">
        <v>2</v>
      </c>
      <c r="B301" s="182" t="str">
        <f t="shared" ca="1" si="11"/>
        <v>Ülo Piik</v>
      </c>
      <c r="C301" s="347">
        <v>20</v>
      </c>
    </row>
    <row r="302" spans="1:3" x14ac:dyDescent="0.2">
      <c r="A302" s="179">
        <v>3</v>
      </c>
      <c r="B302" s="183" t="str">
        <f t="shared" ca="1" si="11"/>
        <v>Kaido Kopel</v>
      </c>
      <c r="C302" s="347">
        <v>16</v>
      </c>
    </row>
    <row r="303" spans="1:3" x14ac:dyDescent="0.2">
      <c r="A303" s="179">
        <v>4</v>
      </c>
      <c r="B303" s="33" t="str">
        <f t="shared" ca="1" si="11"/>
        <v>Andero Kelu</v>
      </c>
      <c r="C303" s="347">
        <v>12</v>
      </c>
    </row>
    <row r="304" spans="1:3" x14ac:dyDescent="0.2">
      <c r="A304" s="179">
        <v>5</v>
      </c>
      <c r="B304" s="33" t="str">
        <f t="shared" si="11"/>
        <v>Margo Peebo</v>
      </c>
      <c r="C304" s="347">
        <v>9</v>
      </c>
    </row>
    <row r="305" spans="1:3" x14ac:dyDescent="0.2">
      <c r="A305" s="179">
        <v>6</v>
      </c>
      <c r="B305" s="33" t="str">
        <f t="shared" si="11"/>
        <v>Hardo Sokk</v>
      </c>
      <c r="C305" s="347">
        <v>7</v>
      </c>
    </row>
    <row r="306" spans="1:3" x14ac:dyDescent="0.2">
      <c r="A306" s="179">
        <v>7</v>
      </c>
      <c r="B306" s="33" t="str">
        <f t="shared" si="11"/>
        <v>Ivar Viljaste</v>
      </c>
      <c r="C306" s="347">
        <v>5</v>
      </c>
    </row>
    <row r="307" spans="1:3" x14ac:dyDescent="0.2">
      <c r="A307" s="179">
        <v>8</v>
      </c>
      <c r="B307" s="33" t="str">
        <f t="shared" si="11"/>
        <v>Jaan Joonas</v>
      </c>
      <c r="C307" s="347">
        <v>4</v>
      </c>
    </row>
    <row r="308" spans="1:3" x14ac:dyDescent="0.2">
      <c r="A308" s="179">
        <v>9</v>
      </c>
      <c r="B308" s="33" t="str">
        <f t="shared" si="11"/>
        <v>Alari Keedus</v>
      </c>
      <c r="C308" s="347">
        <v>2</v>
      </c>
    </row>
    <row r="309" spans="1:3" x14ac:dyDescent="0.2">
      <c r="A309" s="179">
        <v>10</v>
      </c>
      <c r="B309" s="33" t="str">
        <f t="shared" si="11"/>
        <v>Arti Lindvest</v>
      </c>
      <c r="C309" s="347">
        <v>2</v>
      </c>
    </row>
    <row r="310" spans="1:3" x14ac:dyDescent="0.2">
      <c r="A310" s="179">
        <v>11</v>
      </c>
      <c r="B310" s="586" t="str">
        <f t="shared" si="11"/>
        <v>Marko Ode</v>
      </c>
      <c r="C310" s="347">
        <v>2</v>
      </c>
    </row>
    <row r="311" spans="1:3" x14ac:dyDescent="0.2">
      <c r="A311" s="179">
        <v>12</v>
      </c>
      <c r="B311" s="586" t="str">
        <f t="shared" si="11"/>
        <v>Toomas Hoole</v>
      </c>
      <c r="C311" s="347">
        <v>2</v>
      </c>
    </row>
    <row r="312" spans="1:3" x14ac:dyDescent="0.2">
      <c r="A312" s="179">
        <v>13</v>
      </c>
      <c r="B312" s="586" t="str">
        <f t="shared" si="11"/>
        <v>Vahur Raudsepp</v>
      </c>
      <c r="C312" s="347">
        <v>2</v>
      </c>
    </row>
    <row r="313" spans="1:3" x14ac:dyDescent="0.2">
      <c r="A313" s="179">
        <v>14</v>
      </c>
      <c r="B313" s="586" t="str">
        <f t="shared" si="11"/>
        <v>Ott Karl Kopel</v>
      </c>
      <c r="C313" s="347">
        <v>2</v>
      </c>
    </row>
    <row r="314" spans="1:3" x14ac:dyDescent="0.2">
      <c r="A314" s="179">
        <v>15</v>
      </c>
      <c r="B314" s="586" t="str">
        <f t="shared" si="11"/>
        <v>Aigar Lusbo</v>
      </c>
      <c r="C314" s="347">
        <v>2</v>
      </c>
    </row>
    <row r="315" spans="1:3" x14ac:dyDescent="0.2">
      <c r="A315" s="179">
        <v>16</v>
      </c>
      <c r="B315" s="586" t="str">
        <f t="shared" si="11"/>
        <v>Triin Gretel Tauk</v>
      </c>
      <c r="C315" s="347">
        <v>2</v>
      </c>
    </row>
  </sheetData>
  <conditionalFormatting sqref="B25:B32">
    <cfRule type="duplicateValues" dxfId="779" priority="46" stopIfTrue="1"/>
  </conditionalFormatting>
  <conditionalFormatting sqref="B22:B24">
    <cfRule type="duplicateValues" dxfId="778" priority="45" stopIfTrue="1"/>
  </conditionalFormatting>
  <conditionalFormatting sqref="B36:B41">
    <cfRule type="duplicateValues" dxfId="777" priority="44" stopIfTrue="1"/>
  </conditionalFormatting>
  <conditionalFormatting sqref="X36:X43 X60:X63">
    <cfRule type="duplicateValues" dxfId="776" priority="47"/>
    <cfRule type="top10" dxfId="775" priority="48" stopIfTrue="1" rank="100"/>
  </conditionalFormatting>
  <conditionalFormatting sqref="B42:B43 B60:B63">
    <cfRule type="duplicateValues" dxfId="774" priority="49" stopIfTrue="1"/>
  </conditionalFormatting>
  <conditionalFormatting sqref="B52:B57">
    <cfRule type="duplicateValues" dxfId="773" priority="40" stopIfTrue="1"/>
  </conditionalFormatting>
  <conditionalFormatting sqref="X52:X59">
    <cfRule type="duplicateValues" dxfId="772" priority="41"/>
    <cfRule type="top10" dxfId="771" priority="42" stopIfTrue="1" rank="100"/>
  </conditionalFormatting>
  <conditionalFormatting sqref="B58:B59">
    <cfRule type="duplicateValues" dxfId="770" priority="43" stopIfTrue="1"/>
  </conditionalFormatting>
  <conditionalFormatting sqref="B78:B83">
    <cfRule type="duplicateValues" dxfId="769" priority="36" stopIfTrue="1"/>
  </conditionalFormatting>
  <conditionalFormatting sqref="X78:X85 X94:X97">
    <cfRule type="duplicateValues" dxfId="768" priority="37"/>
    <cfRule type="top10" dxfId="767" priority="38" stopIfTrue="1" rank="100"/>
  </conditionalFormatting>
  <conditionalFormatting sqref="B84:B85 B94:B97">
    <cfRule type="duplicateValues" dxfId="766" priority="39" stopIfTrue="1"/>
  </conditionalFormatting>
  <conditionalFormatting sqref="B86:B91">
    <cfRule type="duplicateValues" dxfId="765" priority="32" stopIfTrue="1"/>
  </conditionalFormatting>
  <conditionalFormatting sqref="X86:X93">
    <cfRule type="duplicateValues" dxfId="764" priority="33"/>
    <cfRule type="top10" dxfId="763" priority="34" stopIfTrue="1" rank="100"/>
  </conditionalFormatting>
  <conditionalFormatting sqref="B92:B93">
    <cfRule type="duplicateValues" dxfId="762" priority="35" stopIfTrue="1"/>
  </conditionalFormatting>
  <conditionalFormatting sqref="B98:B99">
    <cfRule type="duplicateValues" dxfId="761" priority="28" stopIfTrue="1"/>
  </conditionalFormatting>
  <conditionalFormatting sqref="X98:X101">
    <cfRule type="duplicateValues" dxfId="760" priority="29"/>
    <cfRule type="top10" dxfId="759" priority="30" stopIfTrue="1" rank="100"/>
  </conditionalFormatting>
  <conditionalFormatting sqref="B100:B101">
    <cfRule type="duplicateValues" dxfId="758" priority="31" stopIfTrue="1"/>
  </conditionalFormatting>
  <conditionalFormatting sqref="B64:B65">
    <cfRule type="duplicateValues" dxfId="757" priority="27" stopIfTrue="1"/>
  </conditionalFormatting>
  <conditionalFormatting sqref="B44:B49">
    <cfRule type="duplicateValues" dxfId="756" priority="23" stopIfTrue="1"/>
  </conditionalFormatting>
  <conditionalFormatting sqref="X44:X51">
    <cfRule type="duplicateValues" dxfId="755" priority="24"/>
    <cfRule type="top10" dxfId="754" priority="25" stopIfTrue="1" rank="100"/>
  </conditionalFormatting>
  <conditionalFormatting sqref="B50:B51">
    <cfRule type="duplicateValues" dxfId="753" priority="26" stopIfTrue="1"/>
  </conditionalFormatting>
  <conditionalFormatting sqref="W36:W39">
    <cfRule type="top10" dxfId="752" priority="22" rank="1"/>
  </conditionalFormatting>
  <conditionalFormatting sqref="W40:W43">
    <cfRule type="top10" dxfId="751" priority="21" rank="1"/>
  </conditionalFormatting>
  <conditionalFormatting sqref="W44:W47">
    <cfRule type="top10" dxfId="750" priority="20" rank="1"/>
  </conditionalFormatting>
  <conditionalFormatting sqref="W48:W51">
    <cfRule type="top10" dxfId="749" priority="19" rank="1"/>
  </conditionalFormatting>
  <conditionalFormatting sqref="W52:W55">
    <cfRule type="top10" dxfId="748" priority="18" rank="1"/>
  </conditionalFormatting>
  <conditionalFormatting sqref="W56:W59">
    <cfRule type="top10" dxfId="747" priority="17" rank="1"/>
  </conditionalFormatting>
  <conditionalFormatting sqref="W60:W63">
    <cfRule type="top10" dxfId="746" priority="16" rank="1"/>
  </conditionalFormatting>
  <conditionalFormatting sqref="W64:W67">
    <cfRule type="top10" dxfId="745" priority="15" rank="1"/>
  </conditionalFormatting>
  <conditionalFormatting sqref="W78:W81">
    <cfRule type="top10" dxfId="744" priority="14" rank="1"/>
  </conditionalFormatting>
  <conditionalFormatting sqref="W82:W85">
    <cfRule type="top10" dxfId="743" priority="13" rank="1"/>
  </conditionalFormatting>
  <conditionalFormatting sqref="W86:W89">
    <cfRule type="top10" dxfId="742" priority="12" rank="1"/>
  </conditionalFormatting>
  <conditionalFormatting sqref="W90:W93">
    <cfRule type="top10" dxfId="741" priority="11" rank="1"/>
  </conditionalFormatting>
  <conditionalFormatting sqref="W94:W97">
    <cfRule type="top10" dxfId="740" priority="10" rank="1"/>
  </conditionalFormatting>
  <conditionalFormatting sqref="W98:W101">
    <cfRule type="top10" dxfId="739" priority="9" rank="1"/>
  </conditionalFormatting>
  <conditionalFormatting sqref="W103:W104">
    <cfRule type="top10" dxfId="738" priority="50" rank="1"/>
  </conditionalFormatting>
  <conditionalFormatting sqref="W105:W106">
    <cfRule type="top10" dxfId="737" priority="51" rank="1"/>
  </conditionalFormatting>
  <conditionalFormatting sqref="W107:W108">
    <cfRule type="top10" dxfId="736" priority="52" rank="1"/>
  </conditionalFormatting>
  <conditionalFormatting sqref="W112:W113">
    <cfRule type="top10" dxfId="735" priority="53" rank="1"/>
  </conditionalFormatting>
  <conditionalFormatting sqref="W114:W115">
    <cfRule type="top10" dxfId="734" priority="54" rank="1"/>
  </conditionalFormatting>
  <conditionalFormatting sqref="W117:W118">
    <cfRule type="top10" dxfId="733" priority="55" rank="1"/>
  </conditionalFormatting>
  <conditionalFormatting sqref="W120:W121">
    <cfRule type="top10" dxfId="732" priority="56" rank="1"/>
  </conditionalFormatting>
  <conditionalFormatting sqref="X103:X110">
    <cfRule type="containsText" dxfId="731" priority="4" operator="containsText" text="edasi">
      <formula>NOT(ISERROR(SEARCH("edasi",X103)))</formula>
    </cfRule>
    <cfRule type="duplicateValues" dxfId="730" priority="57"/>
    <cfRule type="top10" dxfId="729" priority="58" stopIfTrue="1" rank="4"/>
  </conditionalFormatting>
  <conditionalFormatting sqref="W109:W110">
    <cfRule type="top10" dxfId="728" priority="59" rank="1"/>
  </conditionalFormatting>
  <conditionalFormatting sqref="X64:X67">
    <cfRule type="duplicateValues" dxfId="727" priority="60"/>
    <cfRule type="top10" dxfId="726" priority="61" stopIfTrue="1" rank="100"/>
  </conditionalFormatting>
  <conditionalFormatting sqref="B66:B67">
    <cfRule type="duplicateValues" dxfId="725" priority="62" stopIfTrue="1"/>
  </conditionalFormatting>
  <conditionalFormatting sqref="X9:X34">
    <cfRule type="duplicateValues" dxfId="724" priority="63"/>
    <cfRule type="top10" dxfId="723" priority="64" stopIfTrue="1" rank="100"/>
  </conditionalFormatting>
  <conditionalFormatting sqref="B33:B34 B10:B12 B14">
    <cfRule type="duplicateValues" dxfId="722" priority="65" stopIfTrue="1"/>
  </conditionalFormatting>
  <conditionalFormatting sqref="X69:X76">
    <cfRule type="containsText" dxfId="721" priority="5" operator="containsText" text="edasi">
      <formula>NOT(ISERROR(SEARCH("edasi",X69)))</formula>
    </cfRule>
    <cfRule type="duplicateValues" dxfId="720" priority="66"/>
    <cfRule type="top10" dxfId="719" priority="67" stopIfTrue="1" rank="100"/>
  </conditionalFormatting>
  <conditionalFormatting sqref="Y69:Y76">
    <cfRule type="top10" dxfId="718" priority="8" rank="4"/>
    <cfRule type="duplicateValues" dxfId="717" priority="68"/>
  </conditionalFormatting>
  <conditionalFormatting sqref="W9:W200">
    <cfRule type="top10" dxfId="716" priority="69" rank="1"/>
  </conditionalFormatting>
  <conditionalFormatting sqref="W9:W26">
    <cfRule type="top10" dxfId="715" priority="7" rank="12"/>
  </conditionalFormatting>
  <conditionalFormatting sqref="X9:X26">
    <cfRule type="containsText" dxfId="714" priority="2" operator="containsText" text="vahevooru">
      <formula>NOT(ISERROR(SEARCH("vahevooru",X9)))</formula>
    </cfRule>
    <cfRule type="containsText" dxfId="713" priority="6" operator="containsText" text="edasi">
      <formula>NOT(ISERROR(SEARCH("edasi",X9)))</formula>
    </cfRule>
  </conditionalFormatting>
  <conditionalFormatting sqref="X112:X115">
    <cfRule type="containsText" dxfId="712" priority="3" operator="containsText" text="finaali">
      <formula>NOT(ISERROR(SEARCH("finaali",X112)))</formula>
    </cfRule>
  </conditionalFormatting>
  <conditionalFormatting sqref="C9:V121">
    <cfRule type="cellIs" dxfId="711" priority="1" operator="equal">
      <formula>5</formula>
    </cfRule>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rowBreaks count="1" manualBreakCount="1">
    <brk id="121"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0"/>
  <sheetViews>
    <sheetView showGridLines="0" showRowColHeaders="0" zoomScaleNormal="100" workbookViewId="0">
      <pane ySplit="2" topLeftCell="A3" activePane="bottomLeft" state="frozen"/>
      <selection activeCell="G1" sqref="G1"/>
      <selection pane="bottomLeft" activeCell="J1" sqref="J1"/>
    </sheetView>
  </sheetViews>
  <sheetFormatPr defaultRowHeight="12.75" x14ac:dyDescent="0.2"/>
  <cols>
    <col min="1" max="1" width="5.5703125" style="79" customWidth="1"/>
    <col min="2" max="2" width="31.28515625" style="79" bestFit="1" customWidth="1"/>
    <col min="3" max="3" width="3" style="79" customWidth="1"/>
    <col min="4" max="4" width="3.5703125" style="79" customWidth="1"/>
    <col min="5" max="5" width="1.5703125" style="79" customWidth="1"/>
    <col min="6" max="6" width="4.140625" style="79" customWidth="1"/>
    <col min="7" max="7" width="3" style="79" customWidth="1"/>
    <col min="8" max="8" width="30.140625" style="79" bestFit="1" customWidth="1"/>
    <col min="9" max="9" width="2.5703125" style="79" bestFit="1" customWidth="1"/>
    <col min="10" max="10" width="9.140625" style="79" customWidth="1"/>
    <col min="11" max="12" width="9.140625" style="79"/>
    <col min="13" max="13" width="0" style="79" hidden="1" customWidth="1"/>
    <col min="14" max="14" width="16" style="79" hidden="1" customWidth="1"/>
    <col min="15" max="15" width="3" style="79" hidden="1" customWidth="1"/>
    <col min="16" max="16" width="19.85546875" style="79" hidden="1" customWidth="1"/>
    <col min="17" max="17" width="3" style="79" hidden="1" customWidth="1"/>
    <col min="18" max="18" width="19.85546875" style="79" hidden="1" customWidth="1"/>
    <col min="19" max="19" width="3" style="79" hidden="1" customWidth="1"/>
    <col min="20" max="20" width="17.28515625" style="79" hidden="1" customWidth="1"/>
    <col min="21" max="21" width="3" style="79" hidden="1" customWidth="1"/>
    <col min="22" max="22" width="13.85546875" style="79" bestFit="1" customWidth="1"/>
    <col min="23" max="16384" width="9.140625" style="79"/>
  </cols>
  <sheetData>
    <row r="1" spans="1:23" x14ac:dyDescent="0.2">
      <c r="A1" s="72" t="str">
        <f>UPPER((Kalend!E32)&amp;" - "&amp;(Kalend!C32)&amp;" - "&amp;(Kalend!D32))</f>
        <v>10 - EESTI REITINGUVÕISTLUS - DUO</v>
      </c>
      <c r="D1" s="41" t="str">
        <f>HYPERLINK("#'Kalend'!I1","Kalender")</f>
        <v>Kalender</v>
      </c>
      <c r="G1" s="41" t="str">
        <f>HYPERLINK("#Üldreiting!W1","Reiting")</f>
        <v>Reiting</v>
      </c>
      <c r="I1" s="555" t="s">
        <v>790</v>
      </c>
      <c r="J1" s="319"/>
      <c r="M1" s="429" t="s">
        <v>669</v>
      </c>
      <c r="N1" s="421"/>
      <c r="O1" s="376"/>
      <c r="P1" s="421"/>
      <c r="Q1" s="376"/>
      <c r="R1" s="376"/>
      <c r="S1" s="376"/>
      <c r="T1" s="376"/>
      <c r="U1" s="376"/>
    </row>
    <row r="2" spans="1:23" x14ac:dyDescent="0.2">
      <c r="A2" s="79" t="str">
        <f>"Toimumisaeg: "&amp;(Kalend!A32)&amp;" kell "&amp;(Kalend!B32)</f>
        <v>Toimumisaeg: L, 03.03.2018 kell 10:00</v>
      </c>
      <c r="I2" s="555" t="s">
        <v>791</v>
      </c>
      <c r="N2" s="422"/>
      <c r="P2" s="422"/>
    </row>
    <row r="3" spans="1:23" x14ac:dyDescent="0.2">
      <c r="A3" s="79" t="str">
        <f>"Toimumiskoht: "&amp;(Kalend!F32)</f>
        <v>Toimumiskoht: Tallinn, Algi 38</v>
      </c>
      <c r="M3" s="437" t="s">
        <v>671</v>
      </c>
      <c r="P3" s="422"/>
      <c r="R3" s="377"/>
    </row>
    <row r="4" spans="1:23" x14ac:dyDescent="0.2">
      <c r="A4" s="79" t="str">
        <f>"Korraldaja: "&amp;(Kalend!G32)</f>
        <v>Korraldaja: EPKL</v>
      </c>
      <c r="M4" s="435" t="s">
        <v>164</v>
      </c>
      <c r="N4" s="423"/>
      <c r="O4" s="417"/>
      <c r="P4" s="436"/>
      <c r="Q4" s="417"/>
      <c r="R4" s="417"/>
      <c r="S4" s="417"/>
      <c r="T4" s="417"/>
      <c r="U4" s="417"/>
    </row>
    <row r="5" spans="1:23" x14ac:dyDescent="0.2">
      <c r="M5" s="435" t="s">
        <v>670</v>
      </c>
      <c r="N5" s="419" t="s">
        <v>600</v>
      </c>
      <c r="O5" s="419"/>
      <c r="P5" s="431" t="s">
        <v>601</v>
      </c>
      <c r="Q5" s="419"/>
      <c r="R5" s="419" t="s">
        <v>602</v>
      </c>
      <c r="S5" s="419"/>
      <c r="T5" s="419" t="s">
        <v>603</v>
      </c>
      <c r="U5" s="420"/>
    </row>
    <row r="6" spans="1:23" x14ac:dyDescent="0.2">
      <c r="A6" s="513" t="s">
        <v>714</v>
      </c>
      <c r="B6" s="514"/>
      <c r="C6" s="515" t="s">
        <v>610</v>
      </c>
      <c r="D6" s="516"/>
      <c r="E6" s="517" t="s">
        <v>785</v>
      </c>
      <c r="F6" s="517"/>
      <c r="G6" s="515" t="s">
        <v>610</v>
      </c>
      <c r="W6" s="30"/>
    </row>
    <row r="7" spans="1:23" x14ac:dyDescent="0.2">
      <c r="A7" s="518" t="s">
        <v>291</v>
      </c>
      <c r="B7" s="525" t="s">
        <v>855</v>
      </c>
      <c r="C7" s="543">
        <f>IF(D7=13,1,0)</f>
        <v>0</v>
      </c>
      <c r="D7" s="774">
        <v>11</v>
      </c>
      <c r="E7" s="775" t="s">
        <v>786</v>
      </c>
      <c r="F7" s="776">
        <v>13</v>
      </c>
      <c r="G7" s="543">
        <f>IF(F7=13,1,0)</f>
        <v>1</v>
      </c>
      <c r="H7" s="525" t="s">
        <v>858</v>
      </c>
      <c r="I7" s="556" t="s">
        <v>295</v>
      </c>
      <c r="W7" s="30"/>
    </row>
    <row r="8" spans="1:23" x14ac:dyDescent="0.2">
      <c r="A8" s="518" t="s">
        <v>275</v>
      </c>
      <c r="B8" s="780" t="s">
        <v>176</v>
      </c>
      <c r="C8" s="543">
        <f t="shared" ref="C8:C12" si="0">IF(D8=13,1,0)</f>
        <v>1</v>
      </c>
      <c r="D8" s="774">
        <v>13</v>
      </c>
      <c r="E8" s="775" t="s">
        <v>786</v>
      </c>
      <c r="F8" s="776">
        <v>7</v>
      </c>
      <c r="G8" s="543">
        <f t="shared" ref="G8:G12" si="1">IF(F8=13,1,0)</f>
        <v>0</v>
      </c>
      <c r="H8" s="525" t="s">
        <v>857</v>
      </c>
      <c r="I8" s="556" t="s">
        <v>296</v>
      </c>
      <c r="W8" s="30"/>
    </row>
    <row r="9" spans="1:23" x14ac:dyDescent="0.2">
      <c r="A9" s="518" t="s">
        <v>292</v>
      </c>
      <c r="B9" s="525" t="s">
        <v>88</v>
      </c>
      <c r="C9" s="543">
        <f t="shared" si="0"/>
        <v>1</v>
      </c>
      <c r="D9" s="774">
        <v>13</v>
      </c>
      <c r="E9" s="775" t="s">
        <v>786</v>
      </c>
      <c r="F9" s="776">
        <v>0</v>
      </c>
      <c r="G9" s="543">
        <f t="shared" si="1"/>
        <v>0</v>
      </c>
      <c r="H9" s="525" t="s">
        <v>862</v>
      </c>
      <c r="I9" s="556" t="s">
        <v>64</v>
      </c>
      <c r="W9" s="30"/>
    </row>
    <row r="10" spans="1:23" x14ac:dyDescent="0.2">
      <c r="A10" s="518" t="s">
        <v>293</v>
      </c>
      <c r="B10" s="525" t="s">
        <v>281</v>
      </c>
      <c r="C10" s="543">
        <f t="shared" si="0"/>
        <v>1</v>
      </c>
      <c r="D10" s="774">
        <v>13</v>
      </c>
      <c r="E10" s="775" t="s">
        <v>786</v>
      </c>
      <c r="F10" s="776">
        <v>9</v>
      </c>
      <c r="G10" s="543">
        <f t="shared" si="1"/>
        <v>0</v>
      </c>
      <c r="H10" s="378" t="s">
        <v>861</v>
      </c>
      <c r="I10" s="556" t="s">
        <v>195</v>
      </c>
      <c r="W10" s="30"/>
    </row>
    <row r="11" spans="1:23" x14ac:dyDescent="0.2">
      <c r="A11" s="518" t="s">
        <v>276</v>
      </c>
      <c r="B11" s="780" t="s">
        <v>860</v>
      </c>
      <c r="C11" s="543">
        <f t="shared" si="0"/>
        <v>1</v>
      </c>
      <c r="D11" s="774">
        <v>13</v>
      </c>
      <c r="E11" s="775" t="s">
        <v>786</v>
      </c>
      <c r="F11" s="776">
        <v>4</v>
      </c>
      <c r="G11" s="543">
        <f t="shared" si="1"/>
        <v>0</v>
      </c>
      <c r="H11" s="525" t="s">
        <v>859</v>
      </c>
      <c r="I11" s="556" t="s">
        <v>87</v>
      </c>
    </row>
    <row r="12" spans="1:23" x14ac:dyDescent="0.2">
      <c r="A12" s="518" t="s">
        <v>294</v>
      </c>
      <c r="B12" s="525" t="s">
        <v>863</v>
      </c>
      <c r="C12" s="543">
        <f t="shared" si="0"/>
        <v>1</v>
      </c>
      <c r="D12" s="774">
        <v>13</v>
      </c>
      <c r="E12" s="775" t="s">
        <v>786</v>
      </c>
      <c r="F12" s="776"/>
      <c r="G12" s="543">
        <f t="shared" si="1"/>
        <v>0</v>
      </c>
      <c r="H12" s="378"/>
      <c r="I12" s="556"/>
      <c r="W12" s="30"/>
    </row>
    <row r="13" spans="1:23" x14ac:dyDescent="0.2">
      <c r="A13" s="518"/>
      <c r="B13" s="78"/>
      <c r="C13" s="527"/>
      <c r="D13" s="527"/>
      <c r="E13" s="528"/>
      <c r="F13" s="527"/>
      <c r="G13" s="527"/>
      <c r="H13" s="529"/>
      <c r="W13" s="30"/>
    </row>
    <row r="14" spans="1:23" x14ac:dyDescent="0.2">
      <c r="A14" s="530" t="s">
        <v>718</v>
      </c>
      <c r="B14" s="514"/>
      <c r="C14" s="515" t="s">
        <v>610</v>
      </c>
      <c r="D14" s="514"/>
      <c r="E14" s="765" t="s">
        <v>785</v>
      </c>
      <c r="F14" s="765"/>
      <c r="G14" s="515" t="s">
        <v>610</v>
      </c>
      <c r="W14" s="30"/>
    </row>
    <row r="15" spans="1:23" x14ac:dyDescent="0.2">
      <c r="A15" s="518" t="s">
        <v>292</v>
      </c>
      <c r="B15" s="525" t="s">
        <v>88</v>
      </c>
      <c r="C15" s="543">
        <f>IF(D15=13,1,0)</f>
        <v>1</v>
      </c>
      <c r="D15" s="774">
        <v>13</v>
      </c>
      <c r="E15" s="775" t="s">
        <v>786</v>
      </c>
      <c r="F15" s="776">
        <v>11</v>
      </c>
      <c r="G15" s="543">
        <f>IF(F15=13,1,0)</f>
        <v>0</v>
      </c>
      <c r="H15" s="780" t="s">
        <v>860</v>
      </c>
      <c r="I15" s="556" t="s">
        <v>276</v>
      </c>
      <c r="W15" s="30"/>
    </row>
    <row r="16" spans="1:23" x14ac:dyDescent="0.2">
      <c r="A16" s="518" t="s">
        <v>275</v>
      </c>
      <c r="B16" s="780" t="s">
        <v>176</v>
      </c>
      <c r="C16" s="543">
        <f t="shared" ref="C16:C20" si="2">IF(D16=13,1,0)</f>
        <v>1</v>
      </c>
      <c r="D16" s="774">
        <v>13</v>
      </c>
      <c r="E16" s="775" t="s">
        <v>786</v>
      </c>
      <c r="F16" s="776">
        <v>4</v>
      </c>
      <c r="G16" s="543">
        <f t="shared" ref="G16:G20" si="3">IF(F16=13,1,0)</f>
        <v>0</v>
      </c>
      <c r="H16" s="525" t="s">
        <v>281</v>
      </c>
      <c r="I16" s="556" t="s">
        <v>293</v>
      </c>
    </row>
    <row r="17" spans="1:23" x14ac:dyDescent="0.2">
      <c r="A17" s="518" t="s">
        <v>295</v>
      </c>
      <c r="B17" s="525" t="s">
        <v>858</v>
      </c>
      <c r="C17" s="543">
        <f t="shared" si="2"/>
        <v>0</v>
      </c>
      <c r="D17" s="774">
        <v>4</v>
      </c>
      <c r="E17" s="775" t="s">
        <v>786</v>
      </c>
      <c r="F17" s="776">
        <v>13</v>
      </c>
      <c r="G17" s="543">
        <f t="shared" si="3"/>
        <v>1</v>
      </c>
      <c r="H17" s="525" t="s">
        <v>863</v>
      </c>
      <c r="I17" s="556" t="s">
        <v>294</v>
      </c>
      <c r="W17" s="30"/>
    </row>
    <row r="18" spans="1:23" x14ac:dyDescent="0.2">
      <c r="A18" s="518" t="s">
        <v>291</v>
      </c>
      <c r="B18" s="525" t="s">
        <v>855</v>
      </c>
      <c r="C18" s="543">
        <f t="shared" si="2"/>
        <v>1</v>
      </c>
      <c r="D18" s="774">
        <v>13</v>
      </c>
      <c r="E18" s="775" t="s">
        <v>786</v>
      </c>
      <c r="F18" s="776">
        <v>6</v>
      </c>
      <c r="G18" s="543">
        <f t="shared" si="3"/>
        <v>0</v>
      </c>
      <c r="H18" s="378" t="s">
        <v>861</v>
      </c>
      <c r="I18" s="556" t="s">
        <v>195</v>
      </c>
      <c r="W18" s="30"/>
    </row>
    <row r="19" spans="1:23" x14ac:dyDescent="0.2">
      <c r="A19" s="518" t="s">
        <v>296</v>
      </c>
      <c r="B19" s="525" t="s">
        <v>857</v>
      </c>
      <c r="C19" s="543">
        <f t="shared" si="2"/>
        <v>1</v>
      </c>
      <c r="D19" s="774">
        <v>13</v>
      </c>
      <c r="E19" s="775" t="s">
        <v>786</v>
      </c>
      <c r="F19" s="776">
        <v>3</v>
      </c>
      <c r="G19" s="543">
        <f t="shared" si="3"/>
        <v>0</v>
      </c>
      <c r="H19" s="525" t="s">
        <v>859</v>
      </c>
      <c r="I19" s="556" t="s">
        <v>87</v>
      </c>
      <c r="W19" s="30"/>
    </row>
    <row r="20" spans="1:23" x14ac:dyDescent="0.2">
      <c r="A20" s="518" t="s">
        <v>64</v>
      </c>
      <c r="B20" s="525" t="s">
        <v>862</v>
      </c>
      <c r="C20" s="520">
        <f t="shared" si="2"/>
        <v>1</v>
      </c>
      <c r="D20" s="521">
        <v>13</v>
      </c>
      <c r="E20" s="764" t="s">
        <v>786</v>
      </c>
      <c r="F20" s="523"/>
      <c r="G20" s="520">
        <f t="shared" si="3"/>
        <v>0</v>
      </c>
      <c r="H20" s="525"/>
      <c r="I20" s="556"/>
      <c r="W20" s="30"/>
    </row>
    <row r="21" spans="1:23" x14ac:dyDescent="0.2">
      <c r="A21" s="532"/>
      <c r="B21" s="243"/>
      <c r="C21" s="527"/>
      <c r="D21" s="527"/>
      <c r="E21" s="528"/>
      <c r="F21" s="527"/>
      <c r="G21" s="527"/>
      <c r="H21" s="78"/>
    </row>
    <row r="22" spans="1:23" x14ac:dyDescent="0.2">
      <c r="A22" s="513" t="s">
        <v>722</v>
      </c>
      <c r="B22" s="514"/>
      <c r="C22" s="515" t="s">
        <v>610</v>
      </c>
      <c r="D22" s="514"/>
      <c r="E22" s="765" t="s">
        <v>785</v>
      </c>
      <c r="F22" s="765"/>
      <c r="G22" s="515" t="s">
        <v>610</v>
      </c>
      <c r="W22" s="30"/>
    </row>
    <row r="23" spans="1:23" x14ac:dyDescent="0.2">
      <c r="A23" s="518" t="s">
        <v>292</v>
      </c>
      <c r="B23" s="525" t="s">
        <v>88</v>
      </c>
      <c r="C23" s="543">
        <f>IF(D23=13,1,0)</f>
        <v>0</v>
      </c>
      <c r="D23" s="774">
        <v>9</v>
      </c>
      <c r="E23" s="775" t="s">
        <v>786</v>
      </c>
      <c r="F23" s="781">
        <v>13</v>
      </c>
      <c r="G23" s="543">
        <f>IF(F23=13,1,0)</f>
        <v>1</v>
      </c>
      <c r="H23" s="780" t="s">
        <v>176</v>
      </c>
      <c r="I23" s="556" t="s">
        <v>275</v>
      </c>
      <c r="W23" s="30"/>
    </row>
    <row r="24" spans="1:23" x14ac:dyDescent="0.2">
      <c r="A24" s="518" t="s">
        <v>294</v>
      </c>
      <c r="B24" s="525" t="s">
        <v>863</v>
      </c>
      <c r="C24" s="543">
        <f t="shared" ref="C24:C28" si="4">IF(D24=13,1,0)</f>
        <v>1</v>
      </c>
      <c r="D24" s="774">
        <v>13</v>
      </c>
      <c r="E24" s="775" t="s">
        <v>786</v>
      </c>
      <c r="F24" s="776">
        <v>8</v>
      </c>
      <c r="G24" s="543">
        <f t="shared" ref="G24:G28" si="5">IF(F24=13,1,0)</f>
        <v>0</v>
      </c>
      <c r="H24" s="780" t="s">
        <v>860</v>
      </c>
      <c r="I24" s="556" t="s">
        <v>276</v>
      </c>
      <c r="W24" s="30"/>
    </row>
    <row r="25" spans="1:23" x14ac:dyDescent="0.2">
      <c r="A25" s="518" t="s">
        <v>295</v>
      </c>
      <c r="B25" s="525" t="s">
        <v>858</v>
      </c>
      <c r="C25" s="543">
        <f t="shared" si="4"/>
        <v>1</v>
      </c>
      <c r="D25" s="774">
        <v>13</v>
      </c>
      <c r="E25" s="775" t="s">
        <v>786</v>
      </c>
      <c r="F25" s="776">
        <v>11</v>
      </c>
      <c r="G25" s="543">
        <f t="shared" si="5"/>
        <v>0</v>
      </c>
      <c r="H25" s="525" t="s">
        <v>857</v>
      </c>
      <c r="I25" s="556" t="s">
        <v>296</v>
      </c>
      <c r="W25" s="30"/>
    </row>
    <row r="26" spans="1:23" x14ac:dyDescent="0.2">
      <c r="A26" s="518" t="s">
        <v>64</v>
      </c>
      <c r="B26" s="525" t="s">
        <v>862</v>
      </c>
      <c r="C26" s="543">
        <f t="shared" si="4"/>
        <v>0</v>
      </c>
      <c r="D26" s="774">
        <v>4</v>
      </c>
      <c r="E26" s="775" t="s">
        <v>786</v>
      </c>
      <c r="F26" s="776">
        <v>13</v>
      </c>
      <c r="G26" s="543">
        <f t="shared" si="5"/>
        <v>1</v>
      </c>
      <c r="H26" s="525" t="s">
        <v>281</v>
      </c>
      <c r="I26" s="556" t="s">
        <v>293</v>
      </c>
      <c r="W26" s="30"/>
    </row>
    <row r="27" spans="1:23" x14ac:dyDescent="0.2">
      <c r="A27" s="518" t="s">
        <v>195</v>
      </c>
      <c r="B27" s="378" t="s">
        <v>861</v>
      </c>
      <c r="C27" s="543">
        <f t="shared" si="4"/>
        <v>0</v>
      </c>
      <c r="D27" s="774">
        <v>11</v>
      </c>
      <c r="E27" s="775" t="s">
        <v>786</v>
      </c>
      <c r="F27" s="776">
        <v>13</v>
      </c>
      <c r="G27" s="543">
        <f t="shared" si="5"/>
        <v>1</v>
      </c>
      <c r="H27" s="525" t="s">
        <v>859</v>
      </c>
      <c r="I27" s="556" t="s">
        <v>87</v>
      </c>
    </row>
    <row r="28" spans="1:23" x14ac:dyDescent="0.2">
      <c r="A28" s="518" t="s">
        <v>291</v>
      </c>
      <c r="B28" s="525" t="s">
        <v>855</v>
      </c>
      <c r="C28" s="543">
        <f t="shared" si="4"/>
        <v>1</v>
      </c>
      <c r="D28" s="774">
        <v>13</v>
      </c>
      <c r="E28" s="775" t="s">
        <v>786</v>
      </c>
      <c r="F28" s="776"/>
      <c r="G28" s="543">
        <f t="shared" si="5"/>
        <v>0</v>
      </c>
      <c r="H28" s="525"/>
      <c r="I28" s="556"/>
      <c r="W28" s="30"/>
    </row>
    <row r="29" spans="1:23" x14ac:dyDescent="0.2">
      <c r="A29" s="532"/>
      <c r="B29" s="78"/>
      <c r="C29" s="527"/>
      <c r="D29" s="527"/>
      <c r="E29" s="528"/>
      <c r="F29" s="527"/>
      <c r="G29" s="527"/>
      <c r="H29" s="243"/>
      <c r="W29" s="30"/>
    </row>
    <row r="30" spans="1:23" x14ac:dyDescent="0.2">
      <c r="A30" s="513" t="s">
        <v>726</v>
      </c>
      <c r="B30" s="514"/>
      <c r="C30" s="515" t="s">
        <v>610</v>
      </c>
      <c r="D30" s="514"/>
      <c r="E30" s="765" t="s">
        <v>785</v>
      </c>
      <c r="F30" s="765"/>
      <c r="G30" s="515" t="s">
        <v>610</v>
      </c>
      <c r="W30" s="30"/>
    </row>
    <row r="31" spans="1:23" x14ac:dyDescent="0.2">
      <c r="A31" s="518" t="s">
        <v>275</v>
      </c>
      <c r="B31" s="780" t="s">
        <v>176</v>
      </c>
      <c r="C31" s="520">
        <f>IF(D31=13,1,0)</f>
        <v>1</v>
      </c>
      <c r="D31" s="521">
        <v>13</v>
      </c>
      <c r="E31" s="764" t="s">
        <v>786</v>
      </c>
      <c r="F31" s="531">
        <v>9</v>
      </c>
      <c r="G31" s="520">
        <f>IF(F31=13,1,0)</f>
        <v>0</v>
      </c>
      <c r="H31" s="525" t="s">
        <v>863</v>
      </c>
      <c r="I31" s="556" t="s">
        <v>294</v>
      </c>
      <c r="W31" s="30"/>
    </row>
    <row r="32" spans="1:23" x14ac:dyDescent="0.2">
      <c r="A32" s="518" t="s">
        <v>295</v>
      </c>
      <c r="B32" s="782" t="s">
        <v>858</v>
      </c>
      <c r="C32" s="520">
        <f t="shared" ref="C32:C36" si="6">IF(D32=13,1,0)</f>
        <v>0</v>
      </c>
      <c r="D32" s="521">
        <v>8</v>
      </c>
      <c r="E32" s="764" t="s">
        <v>786</v>
      </c>
      <c r="F32" s="531">
        <v>13</v>
      </c>
      <c r="G32" s="520">
        <f t="shared" ref="G32:G36" si="7">IF(F32=13,1,0)</f>
        <v>1</v>
      </c>
      <c r="H32" s="782" t="s">
        <v>88</v>
      </c>
      <c r="I32" s="556" t="s">
        <v>292</v>
      </c>
    </row>
    <row r="33" spans="1:22" x14ac:dyDescent="0.2">
      <c r="A33" s="518" t="s">
        <v>293</v>
      </c>
      <c r="B33" s="525" t="s">
        <v>281</v>
      </c>
      <c r="C33" s="520">
        <f t="shared" si="6"/>
        <v>1</v>
      </c>
      <c r="D33" s="521">
        <v>13</v>
      </c>
      <c r="E33" s="764" t="s">
        <v>786</v>
      </c>
      <c r="F33" s="523">
        <v>9</v>
      </c>
      <c r="G33" s="520">
        <f t="shared" si="7"/>
        <v>0</v>
      </c>
      <c r="H33" s="525" t="s">
        <v>855</v>
      </c>
      <c r="I33" s="556" t="s">
        <v>291</v>
      </c>
    </row>
    <row r="34" spans="1:22" x14ac:dyDescent="0.2">
      <c r="A34" s="518" t="s">
        <v>296</v>
      </c>
      <c r="B34" s="525" t="s">
        <v>857</v>
      </c>
      <c r="C34" s="520">
        <f t="shared" si="6"/>
        <v>0</v>
      </c>
      <c r="D34" s="521">
        <v>6</v>
      </c>
      <c r="E34" s="764" t="s">
        <v>786</v>
      </c>
      <c r="F34" s="523">
        <v>13</v>
      </c>
      <c r="G34" s="520">
        <f t="shared" si="7"/>
        <v>1</v>
      </c>
      <c r="H34" s="378" t="s">
        <v>861</v>
      </c>
      <c r="I34" s="556" t="s">
        <v>195</v>
      </c>
      <c r="M34" s="420">
        <f t="shared" ref="M34:M36" si="8">SUM(O34:U34)</f>
        <v>0</v>
      </c>
      <c r="N34" s="415" t="str">
        <f>IFERROR(LEFT(#REF!,(FIND(",",#REF!,1)-1)),"")</f>
        <v/>
      </c>
      <c r="O34" s="414" t="str">
        <f>IFERROR(INDEX(Üldreiting!$K:$K,MATCH(N34,Üldreiting!$I:$I,0)),"")</f>
        <v/>
      </c>
      <c r="P34" s="415" t="str">
        <f>IFERROR(MID(#REF!,FIND(", ",#REF!)+2,256),"")</f>
        <v/>
      </c>
      <c r="Q34" s="414" t="str">
        <f>IFERROR(INDEX(Üldreiting!$K:$K,MATCH(P34,Üldreiting!$I:$I,0)),"")</f>
        <v/>
      </c>
      <c r="R34" s="413" t="str">
        <f>IFERROR(MID(#REF!,FIND("^",SUBSTITUTE(#REF!,", ","^",1))+2,FIND("^",SUBSTITUTE(#REF!,", ","^",2))-FIND("^",SUBSTITUTE(#REF!,", ","^",1))-2),"")</f>
        <v/>
      </c>
      <c r="S34" s="414" t="str">
        <f>IFERROR(INDEX(Üldreiting!$K:$K,MATCH(R34,Üldreiting!$I:$I,0)),"")</f>
        <v/>
      </c>
      <c r="T34" s="413" t="str">
        <f>IFERROR(MID(#REF!,FIND(", ",#REF!,FIND(", ",#REF!,FIND(", ",#REF!))+1)+2,30000),"")</f>
        <v/>
      </c>
      <c r="U34" s="414" t="str">
        <f>IFERROR(INDEX(Üldreiting!$K:$K,MATCH(T34,Üldreiting!$I:$I,0)),"")</f>
        <v/>
      </c>
      <c r="V34" s="30"/>
    </row>
    <row r="35" spans="1:22" x14ac:dyDescent="0.2">
      <c r="A35" s="518" t="s">
        <v>64</v>
      </c>
      <c r="B35" s="525" t="s">
        <v>862</v>
      </c>
      <c r="C35" s="520">
        <f t="shared" si="6"/>
        <v>0</v>
      </c>
      <c r="D35" s="521">
        <v>0</v>
      </c>
      <c r="E35" s="764" t="s">
        <v>786</v>
      </c>
      <c r="F35" s="523">
        <v>13</v>
      </c>
      <c r="G35" s="520">
        <f t="shared" si="7"/>
        <v>1</v>
      </c>
      <c r="H35" s="525" t="s">
        <v>859</v>
      </c>
      <c r="I35" s="556" t="s">
        <v>87</v>
      </c>
      <c r="M35" s="420">
        <f t="shared" si="8"/>
        <v>0</v>
      </c>
      <c r="N35" s="415" t="str">
        <f>IFERROR(LEFT(#REF!,(FIND(",",#REF!,1)-1)),"")</f>
        <v/>
      </c>
      <c r="O35" s="414" t="str">
        <f>IFERROR(INDEX(Üldreiting!$K:$K,MATCH(N35,Üldreiting!$I:$I,0)),"")</f>
        <v/>
      </c>
      <c r="P35" s="415" t="str">
        <f>IFERROR(MID(#REF!,FIND(", ",#REF!)+2,256),"")</f>
        <v/>
      </c>
      <c r="Q35" s="414" t="str">
        <f>IFERROR(INDEX(Üldreiting!$K:$K,MATCH(P35,Üldreiting!$I:$I,0)),"")</f>
        <v/>
      </c>
      <c r="R35" s="413" t="str">
        <f>IFERROR(MID(#REF!,FIND("^",SUBSTITUTE(#REF!,", ","^",1))+2,FIND("^",SUBSTITUTE(#REF!,", ","^",2))-FIND("^",SUBSTITUTE(#REF!,", ","^",1))-2),"")</f>
        <v/>
      </c>
      <c r="S35" s="414" t="str">
        <f>IFERROR(INDEX(Üldreiting!$K:$K,MATCH(R35,Üldreiting!$I:$I,0)),"")</f>
        <v/>
      </c>
      <c r="T35" s="413" t="str">
        <f>IFERROR(MID(#REF!,FIND(", ",#REF!,FIND(", ",#REF!,FIND(", ",#REF!))+1)+2,30000),"")</f>
        <v/>
      </c>
      <c r="U35" s="414" t="str">
        <f>IFERROR(INDEX(Üldreiting!$K:$K,MATCH(T35,Üldreiting!$I:$I,0)),"")</f>
        <v/>
      </c>
      <c r="V35" s="30"/>
    </row>
    <row r="36" spans="1:22" x14ac:dyDescent="0.2">
      <c r="A36" s="518" t="s">
        <v>276</v>
      </c>
      <c r="B36" s="780" t="s">
        <v>860</v>
      </c>
      <c r="C36" s="520">
        <f t="shared" si="6"/>
        <v>1</v>
      </c>
      <c r="D36" s="521">
        <v>13</v>
      </c>
      <c r="E36" s="764" t="s">
        <v>786</v>
      </c>
      <c r="F36" s="523"/>
      <c r="G36" s="520">
        <f t="shared" si="7"/>
        <v>0</v>
      </c>
      <c r="H36" s="569"/>
      <c r="I36" s="556"/>
      <c r="M36" s="420">
        <f t="shared" ca="1" si="8"/>
        <v>82</v>
      </c>
      <c r="N36" s="415" t="str">
        <f t="shared" ref="N36" si="9">IFERROR(LEFT($B36,(FIND(",",$B36,1)-1)),"")</f>
        <v>Heigo Kullang</v>
      </c>
      <c r="O36" s="414">
        <f ca="1">IFERROR(INDEX(Üldreiting!$K:$K,MATCH(N36,Üldreiting!$I:$I,0)),"")</f>
        <v>23</v>
      </c>
      <c r="P36" s="415" t="str">
        <f t="shared" ref="P36" si="10">IFERROR(MID($B36,FIND(", ",$B36)+2,256),"")</f>
        <v>Sirje Viljaste</v>
      </c>
      <c r="Q36" s="414">
        <f ca="1">IFERROR(INDEX(Üldreiting!$K:$K,MATCH(P36,Üldreiting!$I:$I,0)),"")</f>
        <v>59</v>
      </c>
      <c r="R36" s="413" t="str">
        <f t="shared" ref="R36" si="11">IFERROR(MID($B36,FIND("^",SUBSTITUTE($B36,", ","^",1))+2,FIND("^",SUBSTITUTE($B36,", ","^",2))-FIND("^",SUBSTITUTE($B36,", ","^",1))-2),"")</f>
        <v/>
      </c>
      <c r="S36" s="414" t="str">
        <f>IFERROR(INDEX(Üldreiting!$K:$K,MATCH(R36,Üldreiting!$I:$I,0)),"")</f>
        <v/>
      </c>
      <c r="T36" s="413" t="str">
        <f t="shared" ref="T36" si="12">IFERROR(MID($B36,FIND(", ",$B36,FIND(", ",$B36,FIND(", ",$B36))+1)+2,30000),"")</f>
        <v/>
      </c>
      <c r="U36" s="414" t="str">
        <f>IFERROR(INDEX(Üldreiting!$K:$K,MATCH(T36,Üldreiting!$I:$I,0)),"")</f>
        <v/>
      </c>
      <c r="V36" s="30"/>
    </row>
    <row r="38" spans="1:22" hidden="1" x14ac:dyDescent="0.2"/>
    <row r="39" spans="1:22" hidden="1" x14ac:dyDescent="0.2"/>
    <row r="40" spans="1:22" hidden="1" x14ac:dyDescent="0.2"/>
    <row r="41" spans="1:22" hidden="1" x14ac:dyDescent="0.2"/>
    <row r="42" spans="1:22" hidden="1" x14ac:dyDescent="0.2"/>
    <row r="43" spans="1:22" hidden="1" x14ac:dyDescent="0.2"/>
    <row r="44" spans="1:22" hidden="1" x14ac:dyDescent="0.2"/>
    <row r="45" spans="1:22" hidden="1" x14ac:dyDescent="0.2"/>
    <row r="46" spans="1:22" x14ac:dyDescent="0.2">
      <c r="A46" s="535" t="s">
        <v>787</v>
      </c>
      <c r="B46" s="529"/>
      <c r="C46" s="527"/>
      <c r="D46" s="528"/>
      <c r="E46" s="527"/>
      <c r="F46" s="536"/>
      <c r="G46" s="402"/>
    </row>
    <row r="47" spans="1:22" x14ac:dyDescent="0.2">
      <c r="A47" s="535"/>
      <c r="B47" s="529"/>
      <c r="C47" s="527"/>
      <c r="D47" s="528"/>
      <c r="E47" s="527"/>
      <c r="F47" s="536"/>
      <c r="G47" s="402"/>
    </row>
    <row r="48" spans="1:22" x14ac:dyDescent="0.2">
      <c r="A48" s="518"/>
      <c r="B48" s="529"/>
      <c r="C48" s="537" t="s">
        <v>64</v>
      </c>
      <c r="D48" s="919" t="s">
        <v>65</v>
      </c>
      <c r="E48" s="919"/>
      <c r="F48" s="533" t="s">
        <v>66</v>
      </c>
      <c r="G48" s="538"/>
    </row>
    <row r="49" spans="1:8" x14ac:dyDescent="0.2">
      <c r="A49" s="518"/>
      <c r="B49" s="539"/>
      <c r="C49" s="540" t="s">
        <v>788</v>
      </c>
      <c r="D49" s="920" t="s">
        <v>789</v>
      </c>
      <c r="E49" s="921"/>
      <c r="F49" s="539" t="s">
        <v>785</v>
      </c>
      <c r="G49" s="536"/>
    </row>
    <row r="50" spans="1:8" x14ac:dyDescent="0.2">
      <c r="A50" s="518">
        <v>1</v>
      </c>
      <c r="B50" s="524" t="s">
        <v>176</v>
      </c>
      <c r="C50" s="543">
        <v>4</v>
      </c>
      <c r="D50" s="918">
        <v>20</v>
      </c>
      <c r="E50" s="918"/>
      <c r="F50" s="579" t="s">
        <v>877</v>
      </c>
      <c r="G50" s="561" t="s">
        <v>866</v>
      </c>
    </row>
    <row r="51" spans="1:8" x14ac:dyDescent="0.2">
      <c r="A51" s="518">
        <v>2</v>
      </c>
      <c r="B51" s="569" t="s">
        <v>88</v>
      </c>
      <c r="C51" s="778">
        <v>3</v>
      </c>
      <c r="D51" s="918">
        <v>18</v>
      </c>
      <c r="E51" s="918"/>
      <c r="F51" s="579" t="s">
        <v>825</v>
      </c>
      <c r="G51" s="561" t="s">
        <v>867</v>
      </c>
    </row>
    <row r="52" spans="1:8" x14ac:dyDescent="0.2">
      <c r="A52" s="518">
        <v>3</v>
      </c>
      <c r="B52" s="534" t="s">
        <v>863</v>
      </c>
      <c r="C52" s="778">
        <v>3</v>
      </c>
      <c r="D52" s="929">
        <v>16</v>
      </c>
      <c r="E52" s="929"/>
      <c r="F52" s="779" t="s">
        <v>831</v>
      </c>
      <c r="G52" s="561" t="s">
        <v>868</v>
      </c>
    </row>
    <row r="53" spans="1:8" x14ac:dyDescent="0.2">
      <c r="A53" s="518">
        <v>4</v>
      </c>
      <c r="B53" s="534" t="s">
        <v>281</v>
      </c>
      <c r="C53" s="778">
        <v>3</v>
      </c>
      <c r="D53" s="929">
        <v>16</v>
      </c>
      <c r="E53" s="929"/>
      <c r="F53" s="779" t="s">
        <v>878</v>
      </c>
      <c r="G53" s="561" t="s">
        <v>869</v>
      </c>
    </row>
    <row r="54" spans="1:8" x14ac:dyDescent="0.2">
      <c r="A54" s="542"/>
      <c r="B54" s="547"/>
      <c r="C54" s="548"/>
      <c r="D54" s="549"/>
      <c r="E54" s="549"/>
      <c r="F54" s="580"/>
      <c r="G54" s="551"/>
    </row>
    <row r="55" spans="1:8" x14ac:dyDescent="0.2">
      <c r="A55" s="518">
        <v>5</v>
      </c>
      <c r="B55" s="569" t="s">
        <v>858</v>
      </c>
      <c r="C55" s="582">
        <v>2</v>
      </c>
      <c r="D55" s="918">
        <v>18</v>
      </c>
      <c r="E55" s="918"/>
      <c r="F55" s="579" t="s">
        <v>879</v>
      </c>
      <c r="G55" s="561" t="s">
        <v>870</v>
      </c>
    </row>
    <row r="56" spans="1:8" x14ac:dyDescent="0.2">
      <c r="A56" s="518">
        <v>6</v>
      </c>
      <c r="B56" s="777" t="s">
        <v>860</v>
      </c>
      <c r="C56" s="582">
        <v>2</v>
      </c>
      <c r="D56" s="918">
        <v>16</v>
      </c>
      <c r="E56" s="918"/>
      <c r="F56" s="579" t="s">
        <v>880</v>
      </c>
      <c r="G56" s="561" t="s">
        <v>871</v>
      </c>
    </row>
    <row r="57" spans="1:8" s="30" customFormat="1" x14ac:dyDescent="0.2">
      <c r="A57" s="518">
        <v>7</v>
      </c>
      <c r="B57" s="569" t="s">
        <v>855</v>
      </c>
      <c r="C57" s="582">
        <v>2</v>
      </c>
      <c r="D57" s="918">
        <v>12</v>
      </c>
      <c r="E57" s="918"/>
      <c r="F57" s="579" t="s">
        <v>800</v>
      </c>
      <c r="G57" s="561" t="s">
        <v>872</v>
      </c>
      <c r="H57" s="79"/>
    </row>
    <row r="58" spans="1:8" s="42" customFormat="1" x14ac:dyDescent="0.2">
      <c r="A58" s="518">
        <v>8</v>
      </c>
      <c r="B58" s="534" t="s">
        <v>859</v>
      </c>
      <c r="C58" s="582">
        <v>2</v>
      </c>
      <c r="D58" s="918">
        <v>10</v>
      </c>
      <c r="E58" s="918"/>
      <c r="F58" s="579" t="s">
        <v>881</v>
      </c>
      <c r="G58" s="561" t="s">
        <v>873</v>
      </c>
      <c r="H58" s="79"/>
    </row>
    <row r="59" spans="1:8" s="42" customFormat="1" x14ac:dyDescent="0.2">
      <c r="A59" s="542"/>
      <c r="B59" s="544"/>
      <c r="C59" s="545"/>
      <c r="D59" s="546"/>
      <c r="E59" s="545"/>
      <c r="F59" s="581"/>
      <c r="G59" s="536"/>
      <c r="H59" s="79"/>
    </row>
    <row r="60" spans="1:8" s="42" customFormat="1" x14ac:dyDescent="0.2">
      <c r="A60" s="518">
        <v>9</v>
      </c>
      <c r="B60" s="569" t="s">
        <v>857</v>
      </c>
      <c r="C60" s="778">
        <v>1</v>
      </c>
      <c r="D60" s="918">
        <v>18</v>
      </c>
      <c r="E60" s="918"/>
      <c r="F60" s="579" t="s">
        <v>882</v>
      </c>
      <c r="G60" s="564" t="s">
        <v>874</v>
      </c>
      <c r="H60" s="79"/>
    </row>
    <row r="61" spans="1:8" s="42" customFormat="1" x14ac:dyDescent="0.2">
      <c r="A61" s="518">
        <v>10</v>
      </c>
      <c r="B61" s="378" t="s">
        <v>861</v>
      </c>
      <c r="C61" s="778">
        <v>1</v>
      </c>
      <c r="D61" s="929">
        <v>16</v>
      </c>
      <c r="E61" s="929"/>
      <c r="F61" s="779" t="s">
        <v>883</v>
      </c>
      <c r="G61" s="564" t="s">
        <v>875</v>
      </c>
      <c r="H61" s="79"/>
    </row>
    <row r="62" spans="1:8" s="42" customFormat="1" x14ac:dyDescent="0.2">
      <c r="A62" s="518">
        <v>11</v>
      </c>
      <c r="B62" s="534" t="s">
        <v>862</v>
      </c>
      <c r="C62" s="778">
        <v>1</v>
      </c>
      <c r="D62" s="929">
        <v>16</v>
      </c>
      <c r="E62" s="929"/>
      <c r="F62" s="779" t="s">
        <v>884</v>
      </c>
      <c r="G62" s="564" t="s">
        <v>876</v>
      </c>
      <c r="H62" s="79"/>
    </row>
    <row r="63" spans="1:8" s="42" customFormat="1" x14ac:dyDescent="0.2"/>
    <row r="64" spans="1:8" s="42" customFormat="1" hidden="1" x14ac:dyDescent="0.2"/>
    <row r="65" s="42" customFormat="1" hidden="1" x14ac:dyDescent="0.2"/>
    <row r="66" s="42" customFormat="1" hidden="1" x14ac:dyDescent="0.2"/>
    <row r="67" s="42" customFormat="1" hidden="1" x14ac:dyDescent="0.2"/>
    <row r="68" s="42" customFormat="1" hidden="1" x14ac:dyDescent="0.2"/>
    <row r="69" s="42" customFormat="1" hidden="1" x14ac:dyDescent="0.2"/>
    <row r="70" s="42" customFormat="1" hidden="1" x14ac:dyDescent="0.2"/>
    <row r="71" s="42" customFormat="1" hidden="1" x14ac:dyDescent="0.2"/>
    <row r="72" s="42" customFormat="1" hidden="1" x14ac:dyDescent="0.2"/>
    <row r="73" s="42" customFormat="1" hidden="1" x14ac:dyDescent="0.2"/>
    <row r="74" s="42" customFormat="1" hidden="1" x14ac:dyDescent="0.2"/>
    <row r="75" s="42" customFormat="1" hidden="1" x14ac:dyDescent="0.2"/>
    <row r="76" s="42" customFormat="1" hidden="1" x14ac:dyDescent="0.2"/>
    <row r="77" s="42" customFormat="1" hidden="1" x14ac:dyDescent="0.2"/>
    <row r="78" s="42" customFormat="1" hidden="1" x14ac:dyDescent="0.2"/>
    <row r="79" s="42" customFormat="1" hidden="1" x14ac:dyDescent="0.2"/>
    <row r="80" s="42" customFormat="1" hidden="1" x14ac:dyDescent="0.2"/>
    <row r="81" spans="1:9" s="42" customFormat="1" hidden="1" x14ac:dyDescent="0.2"/>
    <row r="82" spans="1:9" s="42" customFormat="1" hidden="1" x14ac:dyDescent="0.2"/>
    <row r="83" spans="1:9" s="42" customFormat="1" hidden="1" x14ac:dyDescent="0.2"/>
    <row r="84" spans="1:9" s="42" customFormat="1" hidden="1" x14ac:dyDescent="0.2"/>
    <row r="85" spans="1:9" s="42" customFormat="1" hidden="1" x14ac:dyDescent="0.2"/>
    <row r="86" spans="1:9" s="42" customFormat="1" hidden="1" x14ac:dyDescent="0.2"/>
    <row r="87" spans="1:9" s="42" customFormat="1" hidden="1" x14ac:dyDescent="0.2"/>
    <row r="88" spans="1:9" s="42" customFormat="1" hidden="1" x14ac:dyDescent="0.2"/>
    <row r="89" spans="1:9" s="42" customFormat="1" hidden="1" x14ac:dyDescent="0.2"/>
    <row r="90" spans="1:9" s="30" customFormat="1" hidden="1" x14ac:dyDescent="0.2"/>
    <row r="91" spans="1:9" s="42" customFormat="1" hidden="1" x14ac:dyDescent="0.2">
      <c r="I91" s="52"/>
    </row>
    <row r="92" spans="1:9" s="42" customFormat="1" hidden="1" x14ac:dyDescent="0.2">
      <c r="I92" s="52"/>
    </row>
    <row r="93" spans="1:9" s="42" customFormat="1" hidden="1" x14ac:dyDescent="0.2">
      <c r="I93" s="52"/>
    </row>
    <row r="94" spans="1:9" s="42" customFormat="1" hidden="1" x14ac:dyDescent="0.2">
      <c r="I94" s="52"/>
    </row>
    <row r="95" spans="1:9" s="42" customFormat="1" hidden="1" x14ac:dyDescent="0.2">
      <c r="I95" s="52"/>
    </row>
    <row r="96" spans="1:9" s="42" customFormat="1" x14ac:dyDescent="0.2">
      <c r="A96" s="60" t="s">
        <v>90</v>
      </c>
      <c r="B96" s="45"/>
      <c r="C96" s="35"/>
      <c r="D96" s="35"/>
      <c r="E96" s="35"/>
      <c r="F96" s="36"/>
      <c r="G96" s="37"/>
      <c r="I96" s="52"/>
    </row>
    <row r="97" spans="1:9" s="42" customFormat="1" x14ac:dyDescent="0.2">
      <c r="I97" s="52"/>
    </row>
    <row r="98" spans="1:9" s="82" customFormat="1" x14ac:dyDescent="0.2">
      <c r="A98" s="43">
        <v>1</v>
      </c>
      <c r="B98" s="127" t="str">
        <f>IFERROR(INDEX(B$46:B$96,MATCH(A98,A$46:A$96,0)),"")</f>
        <v>Eve Oidsalu, Thibaut Sergeï Mathon</v>
      </c>
      <c r="C98" s="81">
        <v>13</v>
      </c>
      <c r="D98" s="42"/>
      <c r="E98" s="42"/>
      <c r="F98" s="81"/>
      <c r="G98" s="81"/>
      <c r="H98" s="42"/>
    </row>
    <row r="99" spans="1:9" x14ac:dyDescent="0.2">
      <c r="A99" s="43"/>
      <c r="B99" s="65"/>
      <c r="C99" s="126" t="str">
        <f>IF(COUNT(C98,C100)=2,IF(C98&gt;C100,B98,B100),"")</f>
        <v>Eve Oidsalu, Thibaut Sergeï Mathon</v>
      </c>
      <c r="D99" s="42"/>
      <c r="E99" s="42"/>
      <c r="F99" s="42"/>
      <c r="G99" s="81">
        <v>13</v>
      </c>
      <c r="H99" s="42"/>
    </row>
    <row r="100" spans="1:9" x14ac:dyDescent="0.2">
      <c r="A100" s="43">
        <v>4</v>
      </c>
      <c r="B100" s="323" t="str">
        <f>IFERROR(INDEX(B$46:B$96,MATCH(A100,A$46:A$96,0)),"")</f>
        <v>Janek Kiisk, Marek Lehis</v>
      </c>
      <c r="C100" s="63">
        <v>1</v>
      </c>
      <c r="D100" s="309"/>
      <c r="E100" s="309"/>
      <c r="F100" s="554"/>
      <c r="G100" s="81"/>
      <c r="H100" s="42"/>
    </row>
    <row r="101" spans="1:9" ht="13.5" thickBot="1" x14ac:dyDescent="0.25">
      <c r="A101" s="43"/>
      <c r="B101" s="81"/>
      <c r="C101" s="51"/>
      <c r="D101" s="45"/>
      <c r="E101" s="45"/>
      <c r="F101" s="68"/>
      <c r="G101" s="81"/>
      <c r="H101" s="224" t="str">
        <f>IF(COUNT(G99,G103)=2,IF(G99&gt;G103,C99,C103),"")</f>
        <v>Eve Oidsalu, Thibaut Sergeï Mathon</v>
      </c>
    </row>
    <row r="102" spans="1:9" x14ac:dyDescent="0.2">
      <c r="A102" s="43">
        <v>2</v>
      </c>
      <c r="B102" s="127" t="str">
        <f>IFERROR(INDEX(B$46:B$96,MATCH(A102,A$46:A$96,0)),"")</f>
        <v>Kadri Arunurm, Kalju Olmre</v>
      </c>
      <c r="C102" s="81">
        <v>13</v>
      </c>
      <c r="D102" s="45"/>
      <c r="E102" s="45"/>
      <c r="F102" s="68"/>
      <c r="G102" s="69"/>
      <c r="H102" s="62" t="s">
        <v>277</v>
      </c>
    </row>
    <row r="103" spans="1:9" x14ac:dyDescent="0.2">
      <c r="A103" s="43"/>
      <c r="B103" s="65"/>
      <c r="C103" s="126" t="str">
        <f>IF(COUNT(C102,C104)=2,IF(C102&gt;C104,B102,B104),"")</f>
        <v>Kadri Arunurm, Kalju Olmre</v>
      </c>
      <c r="D103" s="344"/>
      <c r="E103" s="344"/>
      <c r="F103" s="50"/>
      <c r="G103" s="63">
        <v>6</v>
      </c>
      <c r="H103" s="42"/>
    </row>
    <row r="104" spans="1:9" ht="13.5" thickBot="1" x14ac:dyDescent="0.25">
      <c r="A104" s="43">
        <v>3</v>
      </c>
      <c r="B104" s="323" t="str">
        <f>IFERROR(INDEX(B$46:B$96,MATCH(A104,A$46:A$96,0)),"")</f>
        <v>Kevin Sten Liik, Silver Kingissepp</v>
      </c>
      <c r="C104" s="63">
        <v>7</v>
      </c>
      <c r="D104" s="42"/>
      <c r="E104" s="42"/>
      <c r="F104" s="81"/>
      <c r="G104" s="51"/>
      <c r="H104" s="224" t="str">
        <f>IF(COUNT(G99,G103)=2,IF(G99&lt;G103,C99,C103),"")</f>
        <v>Kadri Arunurm, Kalju Olmre</v>
      </c>
    </row>
    <row r="105" spans="1:9" x14ac:dyDescent="0.2">
      <c r="A105" s="42"/>
      <c r="B105" s="81"/>
      <c r="C105" s="81"/>
      <c r="D105" s="42"/>
      <c r="E105" s="42"/>
      <c r="F105" s="81"/>
      <c r="G105" s="51"/>
      <c r="H105" s="62" t="s">
        <v>278</v>
      </c>
    </row>
    <row r="106" spans="1:9" x14ac:dyDescent="0.2">
      <c r="A106" s="42"/>
      <c r="B106" s="81"/>
      <c r="C106" s="468" t="str">
        <f>IF(COUNT(C98,C100)=2,IF(C98&lt;C100,B98,B100),"")</f>
        <v>Janek Kiisk, Marek Lehis</v>
      </c>
      <c r="D106" s="42"/>
      <c r="E106" s="42"/>
      <c r="F106" s="42"/>
      <c r="G106" s="81">
        <v>8</v>
      </c>
      <c r="H106" s="45"/>
    </row>
    <row r="107" spans="1:9" ht="13.5" thickBot="1" x14ac:dyDescent="0.25">
      <c r="A107" s="42"/>
      <c r="B107" s="81"/>
      <c r="C107" s="309"/>
      <c r="D107" s="309"/>
      <c r="E107" s="309"/>
      <c r="F107" s="345"/>
      <c r="G107" s="47"/>
      <c r="H107" s="224" t="str">
        <f>IF(COUNT(G106,G108)=2,IF(G106&gt;G108,C106,C108),"")</f>
        <v>Kevin Sten Liik, Silver Kingissepp</v>
      </c>
    </row>
    <row r="108" spans="1:9" x14ac:dyDescent="0.2">
      <c r="A108" s="42"/>
      <c r="B108" s="81"/>
      <c r="C108" s="127" t="str">
        <f>IF(COUNT(C102,C104)=2,IF(C102&lt;C104,B102,B104),"")</f>
        <v>Kevin Sten Liik, Silver Kingissepp</v>
      </c>
      <c r="D108" s="344"/>
      <c r="E108" s="344"/>
      <c r="F108" s="50"/>
      <c r="G108" s="63">
        <v>13</v>
      </c>
      <c r="H108" s="53" t="s">
        <v>279</v>
      </c>
    </row>
    <row r="109" spans="1:9" x14ac:dyDescent="0.2">
      <c r="A109" s="42"/>
      <c r="B109" s="42"/>
      <c r="C109" s="42"/>
      <c r="D109" s="42"/>
      <c r="E109" s="42"/>
      <c r="F109" s="42"/>
      <c r="G109" s="42"/>
      <c r="H109" s="45"/>
    </row>
    <row r="110" spans="1:9" ht="13.5" thickBot="1" x14ac:dyDescent="0.25">
      <c r="A110" s="42"/>
      <c r="B110" s="42"/>
      <c r="C110" s="45"/>
      <c r="D110" s="42"/>
      <c r="E110" s="42"/>
      <c r="F110" s="45"/>
      <c r="G110" s="42"/>
      <c r="H110" s="47" t="str">
        <f>IF(COUNT(G106,G108)=2,IF(G106&lt;G108,C106,C108),"")</f>
        <v>Janek Kiisk, Marek Lehis</v>
      </c>
    </row>
    <row r="111" spans="1:9" x14ac:dyDescent="0.2">
      <c r="A111" s="42"/>
      <c r="B111" s="36"/>
      <c r="C111" s="36"/>
      <c r="D111" s="42"/>
      <c r="E111" s="42"/>
      <c r="F111" s="36"/>
      <c r="G111" s="39"/>
      <c r="H111" s="62" t="s">
        <v>75</v>
      </c>
    </row>
    <row r="112" spans="1:9" x14ac:dyDescent="0.2">
      <c r="A112" s="42"/>
      <c r="B112" s="42"/>
      <c r="C112" s="42"/>
      <c r="D112" s="42"/>
      <c r="E112" s="42"/>
      <c r="F112" s="42"/>
      <c r="G112" s="42"/>
      <c r="H112" s="42"/>
    </row>
    <row r="113" spans="1:8" x14ac:dyDescent="0.2">
      <c r="A113" s="64" t="s">
        <v>95</v>
      </c>
      <c r="B113" s="42"/>
      <c r="C113" s="42"/>
      <c r="D113" s="42"/>
      <c r="E113" s="42"/>
      <c r="F113" s="42"/>
      <c r="G113" s="42"/>
      <c r="H113" s="42"/>
    </row>
    <row r="114" spans="1:8" x14ac:dyDescent="0.2">
      <c r="A114" s="42"/>
      <c r="B114" s="42"/>
      <c r="C114" s="42"/>
      <c r="D114" s="42"/>
      <c r="E114" s="42"/>
      <c r="F114" s="42"/>
      <c r="G114" s="45"/>
      <c r="H114" s="45"/>
    </row>
    <row r="115" spans="1:8" x14ac:dyDescent="0.2">
      <c r="A115" s="43">
        <v>5</v>
      </c>
      <c r="B115" s="127" t="str">
        <f>IFERROR(INDEX(B$46:B$96,MATCH(A115,A$46:A$96,0)),"")</f>
        <v>Kadri Veljend, Marko Ode</v>
      </c>
      <c r="C115" s="81">
        <v>13</v>
      </c>
      <c r="D115" s="42"/>
      <c r="E115" s="42"/>
      <c r="F115" s="81"/>
      <c r="G115" s="81"/>
      <c r="H115" s="42"/>
    </row>
    <row r="116" spans="1:8" x14ac:dyDescent="0.2">
      <c r="A116" s="43"/>
      <c r="B116" s="65"/>
      <c r="C116" s="126" t="str">
        <f>IF(COUNT(C115,C117)=2,IF(C115&gt;C117,B115,B117),"")</f>
        <v>Kadri Veljend, Marko Ode</v>
      </c>
      <c r="D116" s="42"/>
      <c r="E116" s="42"/>
      <c r="F116" s="42"/>
      <c r="G116" s="81">
        <v>7</v>
      </c>
      <c r="H116" s="42"/>
    </row>
    <row r="117" spans="1:8" x14ac:dyDescent="0.2">
      <c r="A117" s="43">
        <v>8</v>
      </c>
      <c r="B117" s="323" t="str">
        <f>IFERROR(INDEX(B$46:B$96,MATCH(A117,A$46:A$96,0)),"")</f>
        <v>Alar Sinimäe, Mihkel Palk</v>
      </c>
      <c r="C117" s="63">
        <v>2</v>
      </c>
      <c r="D117" s="309"/>
      <c r="E117" s="309"/>
      <c r="F117" s="554"/>
      <c r="G117" s="81"/>
      <c r="H117" s="42"/>
    </row>
    <row r="118" spans="1:8" ht="13.5" thickBot="1" x14ac:dyDescent="0.25">
      <c r="A118" s="43"/>
      <c r="B118" s="81"/>
      <c r="C118" s="51"/>
      <c r="D118" s="45"/>
      <c r="E118" s="45"/>
      <c r="F118" s="68"/>
      <c r="G118" s="81"/>
      <c r="H118" s="224" t="str">
        <f>IF(COUNT(G116,G120)=2,IF(G116&gt;G120,C116,C120),"")</f>
        <v>Hardo Sokk, Ivar Viljaste</v>
      </c>
    </row>
    <row r="119" spans="1:8" x14ac:dyDescent="0.2">
      <c r="A119" s="43">
        <v>6</v>
      </c>
      <c r="B119" s="127" t="str">
        <f>IFERROR(INDEX(B$46:B$96,MATCH(A119,A$46:A$96,0)),"")</f>
        <v>Heigo Kullang, Sirje Viljaste</v>
      </c>
      <c r="C119" s="81">
        <v>6</v>
      </c>
      <c r="D119" s="45"/>
      <c r="E119" s="45"/>
      <c r="F119" s="68"/>
      <c r="G119" s="69"/>
      <c r="H119" s="62" t="s">
        <v>76</v>
      </c>
    </row>
    <row r="120" spans="1:8" x14ac:dyDescent="0.2">
      <c r="A120" s="43"/>
      <c r="B120" s="65"/>
      <c r="C120" s="126" t="str">
        <f>IF(COUNT(C119,C121)=2,IF(C119&gt;C121,B119,B121),"")</f>
        <v>Hardo Sokk, Ivar Viljaste</v>
      </c>
      <c r="D120" s="344"/>
      <c r="E120" s="344"/>
      <c r="F120" s="50"/>
      <c r="G120" s="63">
        <v>13</v>
      </c>
      <c r="H120" s="42"/>
    </row>
    <row r="121" spans="1:8" ht="13.5" thickBot="1" x14ac:dyDescent="0.25">
      <c r="A121" s="43">
        <v>7</v>
      </c>
      <c r="B121" s="323" t="str">
        <f>IFERROR(INDEX(B$46:B$96,MATCH(A121,A$46:A$96,0)),"")</f>
        <v>Hardo Sokk, Ivar Viljaste</v>
      </c>
      <c r="C121" s="63">
        <v>13</v>
      </c>
      <c r="D121" s="42"/>
      <c r="E121" s="42"/>
      <c r="F121" s="81"/>
      <c r="G121" s="51"/>
      <c r="H121" s="224" t="str">
        <f>IF(COUNT(G116,G120)=2,IF(G116&lt;G120,C116,C120),"")</f>
        <v>Kadri Veljend, Marko Ode</v>
      </c>
    </row>
    <row r="122" spans="1:8" x14ac:dyDescent="0.2">
      <c r="A122" s="42"/>
      <c r="B122" s="81"/>
      <c r="C122" s="81"/>
      <c r="D122" s="42"/>
      <c r="E122" s="42"/>
      <c r="F122" s="81"/>
      <c r="G122" s="51"/>
      <c r="H122" s="62" t="s">
        <v>77</v>
      </c>
    </row>
    <row r="123" spans="1:8" x14ac:dyDescent="0.2">
      <c r="A123" s="42"/>
      <c r="B123" s="81"/>
      <c r="C123" s="468" t="str">
        <f>IF(COUNT(C115,C117)=2,IF(C115&lt;C117,B115,B117),"")</f>
        <v>Alar Sinimäe, Mihkel Palk</v>
      </c>
      <c r="D123" s="42"/>
      <c r="E123" s="42"/>
      <c r="F123" s="42"/>
      <c r="G123" s="81">
        <v>13</v>
      </c>
      <c r="H123" s="45"/>
    </row>
    <row r="124" spans="1:8" ht="13.5" thickBot="1" x14ac:dyDescent="0.25">
      <c r="A124" s="42"/>
      <c r="B124" s="81"/>
      <c r="C124" s="309"/>
      <c r="D124" s="309"/>
      <c r="E124" s="309"/>
      <c r="F124" s="345"/>
      <c r="G124" s="47"/>
      <c r="H124" s="224" t="str">
        <f>IF(COUNT(G123,G125)=2,IF(G123&gt;G125,C123,C125),"")</f>
        <v>Alar Sinimäe, Mihkel Palk</v>
      </c>
    </row>
    <row r="125" spans="1:8" x14ac:dyDescent="0.2">
      <c r="A125" s="42"/>
      <c r="B125" s="81"/>
      <c r="C125" s="127" t="str">
        <f>IF(COUNT(C119,C121)=2,IF(C119&lt;C121,B119,B121),"")</f>
        <v>Heigo Kullang, Sirje Viljaste</v>
      </c>
      <c r="D125" s="344"/>
      <c r="E125" s="344"/>
      <c r="F125" s="50"/>
      <c r="G125" s="63">
        <v>6</v>
      </c>
      <c r="H125" s="62" t="s">
        <v>78</v>
      </c>
    </row>
    <row r="126" spans="1:8" x14ac:dyDescent="0.2">
      <c r="A126" s="42"/>
      <c r="B126" s="42"/>
      <c r="C126" s="42"/>
      <c r="D126" s="42"/>
      <c r="E126" s="42"/>
      <c r="F126" s="42"/>
      <c r="G126" s="42"/>
      <c r="H126" s="45"/>
    </row>
    <row r="127" spans="1:8" ht="13.5" thickBot="1" x14ac:dyDescent="0.25">
      <c r="A127" s="42"/>
      <c r="B127" s="42"/>
      <c r="C127" s="45"/>
      <c r="D127" s="42"/>
      <c r="E127" s="42"/>
      <c r="F127" s="45"/>
      <c r="G127" s="42"/>
      <c r="H127" s="47" t="str">
        <f>IF(COUNT(G123,G125)=2,IF(G123&lt;G125,C123,C125),"")</f>
        <v>Heigo Kullang, Sirje Viljaste</v>
      </c>
    </row>
    <row r="128" spans="1:8" x14ac:dyDescent="0.2">
      <c r="A128" s="34"/>
      <c r="B128" s="36"/>
      <c r="C128" s="36"/>
      <c r="D128" s="30"/>
      <c r="E128" s="30"/>
      <c r="F128" s="36"/>
      <c r="G128" s="39"/>
      <c r="H128" s="62" t="s">
        <v>79</v>
      </c>
    </row>
    <row r="129" spans="1:8" x14ac:dyDescent="0.2">
      <c r="A129" s="42"/>
      <c r="B129" s="42"/>
      <c r="C129" s="42"/>
      <c r="D129" s="42"/>
      <c r="E129" s="42"/>
      <c r="F129" s="42"/>
      <c r="G129" s="42"/>
      <c r="H129" s="42"/>
    </row>
    <row r="130" spans="1:8" x14ac:dyDescent="0.2">
      <c r="A130" s="64" t="s">
        <v>818</v>
      </c>
      <c r="B130" s="42"/>
      <c r="C130" s="42"/>
      <c r="D130" s="42"/>
      <c r="E130" s="42"/>
      <c r="F130" s="42"/>
      <c r="G130" s="42"/>
      <c r="H130" s="42"/>
    </row>
    <row r="131" spans="1:8" x14ac:dyDescent="0.2">
      <c r="A131" s="42"/>
      <c r="B131" s="42"/>
      <c r="C131" s="42"/>
      <c r="D131" s="42"/>
      <c r="E131" s="42"/>
      <c r="H131" s="45"/>
    </row>
    <row r="132" spans="1:8" x14ac:dyDescent="0.2">
      <c r="B132" s="556">
        <v>9</v>
      </c>
      <c r="C132" s="468" t="str">
        <f>IFERROR(INDEX(B$46:B$96,MATCH(B132,A$46:A$96,0)),"")</f>
        <v>Marge Mägi, Margo Peebo</v>
      </c>
      <c r="E132" s="43"/>
      <c r="G132" s="81">
        <v>11</v>
      </c>
      <c r="H132" s="42"/>
    </row>
    <row r="133" spans="1:8" ht="13.5" thickBot="1" x14ac:dyDescent="0.25">
      <c r="C133" s="570"/>
      <c r="D133" s="571"/>
      <c r="E133" s="572"/>
      <c r="F133" s="573"/>
      <c r="G133" s="47"/>
      <c r="H133" s="224" t="str">
        <f>IF(COUNT(G132,G134)=2,IF(G132&gt;G134,C132,C134),"")</f>
        <v>Egert Kingissepp, Mare Kingissepp</v>
      </c>
    </row>
    <row r="134" spans="1:8" x14ac:dyDescent="0.2">
      <c r="B134" s="556">
        <v>10</v>
      </c>
      <c r="C134" s="127" t="str">
        <f>IFERROR(INDEX(B$46:B$96,MATCH(B134,A$46:A$96,0)),"")</f>
        <v>Egert Kingissepp, Mare Kingissepp</v>
      </c>
      <c r="D134" s="574"/>
      <c r="E134" s="575"/>
      <c r="F134" s="576"/>
      <c r="G134" s="63">
        <v>13</v>
      </c>
      <c r="H134" s="62" t="s">
        <v>84</v>
      </c>
    </row>
    <row r="135" spans="1:8" x14ac:dyDescent="0.2">
      <c r="E135" s="43"/>
      <c r="F135" s="81"/>
      <c r="G135" s="51"/>
      <c r="H135" s="45"/>
    </row>
    <row r="136" spans="1:8" ht="13.5" thickBot="1" x14ac:dyDescent="0.25">
      <c r="H136" s="224" t="str">
        <f>IF(COUNT(G132,G134)=2,IF(G132&lt;G134,C132,C134),"")</f>
        <v>Marge Mägi, Margo Peebo</v>
      </c>
    </row>
    <row r="137" spans="1:8" x14ac:dyDescent="0.2">
      <c r="H137" s="62" t="s">
        <v>85</v>
      </c>
    </row>
    <row r="139" spans="1:8" x14ac:dyDescent="0.2">
      <c r="E139" s="42"/>
    </row>
    <row r="140" spans="1:8" ht="13.5" thickBot="1" x14ac:dyDescent="0.25">
      <c r="G140" s="556">
        <v>11</v>
      </c>
      <c r="H140" s="224" t="str">
        <f>IFERROR(INDEX(B$50:B$100,MATCH(G140,A$50:A$100,0)),"")</f>
        <v>Mati Tapo, Vallo Sillamaa</v>
      </c>
    </row>
    <row r="141" spans="1:8" x14ac:dyDescent="0.2">
      <c r="H141" s="62" t="s">
        <v>86</v>
      </c>
    </row>
    <row r="143" spans="1:8" hidden="1" x14ac:dyDescent="0.2"/>
    <row r="144" spans="1:8" hidden="1" x14ac:dyDescent="0.2"/>
    <row r="145" spans="1:8" hidden="1" x14ac:dyDescent="0.2"/>
    <row r="146" spans="1:8" hidden="1" x14ac:dyDescent="0.2"/>
    <row r="147" spans="1:8" hidden="1" x14ac:dyDescent="0.2"/>
    <row r="148" spans="1:8" hidden="1" x14ac:dyDescent="0.2">
      <c r="H148" s="45"/>
    </row>
    <row r="149" spans="1:8" hidden="1" x14ac:dyDescent="0.2"/>
    <row r="150" spans="1:8" hidden="1" x14ac:dyDescent="0.2"/>
    <row r="151" spans="1:8" hidden="1" x14ac:dyDescent="0.2">
      <c r="A151" s="34"/>
      <c r="B151" s="36"/>
      <c r="C151" s="36"/>
      <c r="D151" s="30"/>
      <c r="E151" s="30"/>
      <c r="F151" s="36"/>
      <c r="G151" s="39"/>
    </row>
    <row r="152" spans="1:8" hidden="1" x14ac:dyDescent="0.2"/>
    <row r="153" spans="1:8" hidden="1" x14ac:dyDescent="0.2"/>
    <row r="154" spans="1:8" hidden="1" x14ac:dyDescent="0.2"/>
    <row r="155" spans="1:8" hidden="1" x14ac:dyDescent="0.2"/>
    <row r="156" spans="1:8" hidden="1" x14ac:dyDescent="0.2"/>
    <row r="157" spans="1:8" hidden="1" x14ac:dyDescent="0.2"/>
    <row r="158" spans="1:8" hidden="1" x14ac:dyDescent="0.2"/>
    <row r="159" spans="1:8" hidden="1" x14ac:dyDescent="0.2"/>
    <row r="160" spans="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19" t="s">
        <v>577</v>
      </c>
    </row>
    <row r="300" spans="1:3" x14ac:dyDescent="0.2">
      <c r="A300" s="54">
        <v>1</v>
      </c>
      <c r="B300" s="55" t="str">
        <f t="shared" ref="B300:B310" si="13">IFERROR(INDEX(H$96:H$296,MATCH(A300&amp;". koht",H$97:H$297,0)),"")</f>
        <v>Eve Oidsalu, Thibaut Sergeï Mathon</v>
      </c>
      <c r="C300" s="79">
        <v>20</v>
      </c>
    </row>
    <row r="301" spans="1:3" x14ac:dyDescent="0.2">
      <c r="A301" s="54">
        <v>2</v>
      </c>
      <c r="B301" s="56" t="str">
        <f t="shared" si="13"/>
        <v>Kadri Arunurm, Kalju Olmre</v>
      </c>
      <c r="C301" s="79">
        <v>16</v>
      </c>
    </row>
    <row r="302" spans="1:3" x14ac:dyDescent="0.2">
      <c r="A302" s="54">
        <v>3</v>
      </c>
      <c r="B302" s="57" t="str">
        <f t="shared" si="13"/>
        <v>Kevin Sten Liik, Silver Kingissepp</v>
      </c>
      <c r="C302" s="79">
        <v>12</v>
      </c>
    </row>
    <row r="303" spans="1:3" x14ac:dyDescent="0.2">
      <c r="A303" s="54">
        <v>4</v>
      </c>
      <c r="B303" s="58" t="str">
        <f t="shared" si="13"/>
        <v>Janek Kiisk, Marek Lehis</v>
      </c>
      <c r="C303" s="79">
        <v>9</v>
      </c>
    </row>
    <row r="304" spans="1:3" x14ac:dyDescent="0.2">
      <c r="A304" s="54">
        <v>5</v>
      </c>
      <c r="B304" s="58" t="str">
        <f t="shared" si="13"/>
        <v>Hardo Sokk, Ivar Viljaste</v>
      </c>
      <c r="C304" s="79">
        <v>7</v>
      </c>
    </row>
    <row r="305" spans="1:3" x14ac:dyDescent="0.2">
      <c r="A305" s="54">
        <v>6</v>
      </c>
      <c r="B305" s="58" t="str">
        <f t="shared" si="13"/>
        <v>Kadri Veljend, Marko Ode</v>
      </c>
      <c r="C305" s="79">
        <v>5</v>
      </c>
    </row>
    <row r="306" spans="1:3" x14ac:dyDescent="0.2">
      <c r="A306" s="54">
        <v>7</v>
      </c>
      <c r="B306" s="58" t="str">
        <f t="shared" si="13"/>
        <v>Alar Sinimäe, Mihkel Palk</v>
      </c>
      <c r="C306" s="79">
        <v>4</v>
      </c>
    </row>
    <row r="307" spans="1:3" x14ac:dyDescent="0.2">
      <c r="A307" s="54">
        <v>8</v>
      </c>
      <c r="B307" s="58" t="str">
        <f t="shared" si="13"/>
        <v>Heigo Kullang, Sirje Viljaste</v>
      </c>
      <c r="C307" s="79">
        <v>3</v>
      </c>
    </row>
    <row r="308" spans="1:3" x14ac:dyDescent="0.2">
      <c r="A308" s="54">
        <v>9</v>
      </c>
      <c r="B308" s="58" t="str">
        <f t="shared" si="13"/>
        <v>Egert Kingissepp, Mare Kingissepp</v>
      </c>
      <c r="C308" s="79">
        <v>1</v>
      </c>
    </row>
    <row r="309" spans="1:3" x14ac:dyDescent="0.2">
      <c r="A309" s="54">
        <v>10</v>
      </c>
      <c r="B309" s="58" t="str">
        <f t="shared" si="13"/>
        <v>Marge Mägi, Margo Peebo</v>
      </c>
      <c r="C309" s="79">
        <v>1</v>
      </c>
    </row>
    <row r="310" spans="1:3" x14ac:dyDescent="0.2">
      <c r="A310" s="54">
        <v>11</v>
      </c>
      <c r="B310" s="58" t="str">
        <f t="shared" si="13"/>
        <v>Mati Tapo, Vallo Sillamaa</v>
      </c>
      <c r="C310" s="79">
        <v>1</v>
      </c>
    </row>
  </sheetData>
  <mergeCells count="13">
    <mergeCell ref="D53:E53"/>
    <mergeCell ref="D48:E48"/>
    <mergeCell ref="D49:E49"/>
    <mergeCell ref="D50:E50"/>
    <mergeCell ref="D51:E51"/>
    <mergeCell ref="D52:E52"/>
    <mergeCell ref="D62:E62"/>
    <mergeCell ref="D55:E55"/>
    <mergeCell ref="D56:E56"/>
    <mergeCell ref="D57:E57"/>
    <mergeCell ref="D58:E58"/>
    <mergeCell ref="D60:E60"/>
    <mergeCell ref="D61:E61"/>
  </mergeCells>
  <conditionalFormatting sqref="A98:A104">
    <cfRule type="cellIs" dxfId="710" priority="29" operator="equal">
      <formula>"-"</formula>
    </cfRule>
    <cfRule type="duplicateValues" dxfId="709" priority="31"/>
  </conditionalFormatting>
  <conditionalFormatting sqref="A115:A121">
    <cfRule type="cellIs" dxfId="708" priority="27" operator="equal">
      <formula>"-"</formula>
    </cfRule>
    <cfRule type="duplicateValues" dxfId="707" priority="28"/>
  </conditionalFormatting>
  <conditionalFormatting sqref="E132:E135">
    <cfRule type="cellIs" dxfId="706" priority="33" operator="equal">
      <formula>"-"</formula>
    </cfRule>
    <cfRule type="duplicateValues" dxfId="705" priority="34"/>
  </conditionalFormatting>
  <conditionalFormatting sqref="D7:F36">
    <cfRule type="cellIs" dxfId="704" priority="26" operator="equal">
      <formula>13</formula>
    </cfRule>
  </conditionalFormatting>
  <conditionalFormatting sqref="G132 G134">
    <cfRule type="containsBlanks" dxfId="703" priority="12">
      <formula>LEN(TRIM(G132))=0</formula>
    </cfRule>
  </conditionalFormatting>
  <conditionalFormatting sqref="C98 C100">
    <cfRule type="aboveAverage" dxfId="702" priority="25"/>
  </conditionalFormatting>
  <conditionalFormatting sqref="C102 C104">
    <cfRule type="aboveAverage" dxfId="701" priority="24"/>
  </conditionalFormatting>
  <conditionalFormatting sqref="C98 C100 C102 C104">
    <cfRule type="containsBlanks" dxfId="700" priority="23">
      <formula>LEN(TRIM(C98))=0</formula>
    </cfRule>
  </conditionalFormatting>
  <conditionalFormatting sqref="C115 C117">
    <cfRule type="aboveAverage" dxfId="699" priority="22"/>
  </conditionalFormatting>
  <conditionalFormatting sqref="C119 C121">
    <cfRule type="aboveAverage" dxfId="698" priority="21"/>
  </conditionalFormatting>
  <conditionalFormatting sqref="C115 C117 C119 C121">
    <cfRule type="containsBlanks" dxfId="697" priority="20">
      <formula>LEN(TRIM(C115))=0</formula>
    </cfRule>
  </conditionalFormatting>
  <conditionalFormatting sqref="G99 G103">
    <cfRule type="aboveAverage" dxfId="696" priority="19"/>
  </conditionalFormatting>
  <conditionalFormatting sqref="G106 G108">
    <cfRule type="aboveAverage" dxfId="695" priority="18"/>
  </conditionalFormatting>
  <conditionalFormatting sqref="G99 G103 G106 G108">
    <cfRule type="containsBlanks" dxfId="694" priority="17">
      <formula>LEN(TRIM(G99))=0</formula>
    </cfRule>
  </conditionalFormatting>
  <conditionalFormatting sqref="G116 G120">
    <cfRule type="aboveAverage" dxfId="693" priority="16"/>
  </conditionalFormatting>
  <conditionalFormatting sqref="G123 G125">
    <cfRule type="aboveAverage" dxfId="692" priority="15"/>
  </conditionalFormatting>
  <conditionalFormatting sqref="G116 G120 G123 G125">
    <cfRule type="containsBlanks" dxfId="691" priority="14">
      <formula>LEN(TRIM(G116))=0</formula>
    </cfRule>
  </conditionalFormatting>
  <conditionalFormatting sqref="G132 G134">
    <cfRule type="aboveAverage" dxfId="690" priority="13"/>
  </conditionalFormatting>
  <conditionalFormatting sqref="P7:P36">
    <cfRule type="expression" dxfId="689" priority="1">
      <formula>AND(Q7="",FIND(",",P7))</formula>
    </cfRule>
    <cfRule type="expression" dxfId="688" priority="6">
      <formula>AND(Q7="",COUNTIF(P7,"*,*")=0)</formula>
    </cfRule>
  </conditionalFormatting>
  <conditionalFormatting sqref="T7:T36 R7:R36 N7:N36">
    <cfRule type="expression" dxfId="687" priority="5">
      <formula>AND(O7="",COUNTIF(N7,"*,*")=0)</formula>
    </cfRule>
  </conditionalFormatting>
  <conditionalFormatting sqref="B300:B310">
    <cfRule type="containsBlanks" dxfId="686" priority="7224">
      <formula>LEN(TRIM(B300))=0</formula>
    </cfRule>
    <cfRule type="duplicateValues" dxfId="685" priority="7225"/>
  </conditionalFormatting>
  <pageMargins left="0.78740157480314965" right="0.39370078740157483" top="0.78740157480314965" bottom="0.31496062992125984" header="0.59055118110236227" footer="0"/>
  <pageSetup paperSize="9" fitToHeight="0" orientation="portrait" verticalDpi="1200" r:id="rId1"/>
  <headerFooter>
    <oddHeader>&amp;R&amp;"Arial,Regular"&amp;9Page &amp;P of &amp;N</oddHeader>
  </headerFooter>
  <rowBreaks count="2" manualBreakCount="2">
    <brk id="95" max="8" man="1"/>
    <brk id="314"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2"/>
  <sheetViews>
    <sheetView showGridLines="0" showRowColHeaders="0" zoomScaleNormal="100" workbookViewId="0">
      <pane ySplit="2" topLeftCell="A3" activePane="bottomLeft" state="frozen"/>
      <selection activeCell="G1" sqref="G1"/>
      <selection pane="bottomLeft" activeCell="J1" sqref="J1"/>
    </sheetView>
  </sheetViews>
  <sheetFormatPr defaultRowHeight="12.75" x14ac:dyDescent="0.2"/>
  <cols>
    <col min="1" max="1" width="5.5703125" style="79" customWidth="1"/>
    <col min="2" max="2" width="43" style="79" customWidth="1"/>
    <col min="3" max="3" width="3" style="79" customWidth="1"/>
    <col min="4" max="4" width="3.5703125" style="79" customWidth="1"/>
    <col min="5" max="5" width="1.5703125" style="79" customWidth="1"/>
    <col min="6" max="6" width="4.140625" style="79" customWidth="1"/>
    <col min="7" max="7" width="3" style="79" customWidth="1"/>
    <col min="8" max="8" width="34.140625" style="79" customWidth="1"/>
    <col min="9" max="9" width="3" style="79" bestFit="1" customWidth="1"/>
    <col min="10" max="10" width="9.140625" style="79" customWidth="1"/>
    <col min="11" max="12" width="9.140625" style="79"/>
    <col min="13" max="13" width="9.140625" style="79" hidden="1" customWidth="1"/>
    <col min="14" max="14" width="15.42578125" style="79" hidden="1" customWidth="1"/>
    <col min="15" max="15" width="3" style="79" hidden="1" customWidth="1"/>
    <col min="16" max="16" width="17.28515625" style="79" hidden="1" customWidth="1"/>
    <col min="17" max="17" width="3" style="79" hidden="1" customWidth="1"/>
    <col min="18" max="18" width="19.85546875" style="79" hidden="1" customWidth="1"/>
    <col min="19" max="19" width="3" style="79" hidden="1" customWidth="1"/>
    <col min="20" max="20" width="17.28515625" style="79" hidden="1" customWidth="1"/>
    <col min="21" max="21" width="3" style="79" hidden="1" customWidth="1"/>
    <col min="22" max="22" width="13.85546875" style="79" hidden="1" customWidth="1"/>
    <col min="23" max="23" width="3" style="79" hidden="1" customWidth="1"/>
    <col min="24" max="24" width="9.140625" style="79" customWidth="1"/>
    <col min="25" max="25" width="6.42578125" style="79" customWidth="1"/>
    <col min="26" max="16384" width="9.140625" style="79"/>
  </cols>
  <sheetData>
    <row r="1" spans="1:24" x14ac:dyDescent="0.2">
      <c r="A1" s="72" t="str">
        <f>UPPER((Kalend!E33)&amp;" - "&amp;(Kalend!C33)&amp;" - "&amp;(Kalend!D33))</f>
        <v>11 - EESTI SISE-MV - TRIO</v>
      </c>
      <c r="D1" s="41" t="str">
        <f>HYPERLINK("#'Kalend'!I1","Kalender")</f>
        <v>Kalender</v>
      </c>
      <c r="G1" s="41" t="str">
        <f>HYPERLINK("#Üldreiting!W1","Reiting")</f>
        <v>Reiting</v>
      </c>
      <c r="I1" s="555" t="s">
        <v>790</v>
      </c>
      <c r="J1" s="319"/>
      <c r="M1" s="429" t="s">
        <v>669</v>
      </c>
      <c r="N1" s="376"/>
      <c r="O1" s="376"/>
      <c r="P1" s="376"/>
      <c r="Q1" s="376"/>
      <c r="R1" s="376"/>
      <c r="S1" s="376"/>
      <c r="T1" s="376"/>
      <c r="U1" s="376"/>
      <c r="V1" s="376"/>
      <c r="W1" s="376"/>
    </row>
    <row r="2" spans="1:24" x14ac:dyDescent="0.2">
      <c r="A2" s="79" t="str">
        <f>"Toimumisaeg: "&amp;(Kalend!A33)&amp;" kell "&amp;(Kalend!B33)</f>
        <v>Toimumisaeg: P, 04.03.2018 kell 10:00</v>
      </c>
      <c r="I2" s="555" t="s">
        <v>791</v>
      </c>
      <c r="R2" s="319"/>
    </row>
    <row r="3" spans="1:24" x14ac:dyDescent="0.2">
      <c r="A3" s="79" t="str">
        <f>"Toimumiskoht: "&amp;(Kalend!F33)</f>
        <v>Toimumiskoht: Tallinn, Algi 38</v>
      </c>
      <c r="M3" s="437" t="s">
        <v>671</v>
      </c>
    </row>
    <row r="4" spans="1:24" x14ac:dyDescent="0.2">
      <c r="A4" s="79" t="str">
        <f>"Korraldaja: "&amp;(Kalend!G33)</f>
        <v>Korraldaja: EPKL</v>
      </c>
      <c r="M4" s="435" t="s">
        <v>162</v>
      </c>
      <c r="N4" s="417"/>
      <c r="O4" s="417"/>
      <c r="P4" s="417"/>
      <c r="Q4" s="417"/>
      <c r="R4" s="417"/>
      <c r="S4" s="417"/>
      <c r="T4" s="417"/>
      <c r="U4" s="417"/>
      <c r="V4" s="417"/>
      <c r="W4" s="417"/>
    </row>
    <row r="5" spans="1:24" x14ac:dyDescent="0.2">
      <c r="M5" s="435" t="s">
        <v>670</v>
      </c>
      <c r="N5" s="419" t="s">
        <v>600</v>
      </c>
      <c r="O5" s="419"/>
      <c r="P5" s="419" t="s">
        <v>602</v>
      </c>
      <c r="Q5" s="419"/>
      <c r="R5" s="419" t="s">
        <v>603</v>
      </c>
      <c r="S5" s="420"/>
      <c r="T5" s="420" t="s">
        <v>666</v>
      </c>
      <c r="U5" s="420"/>
      <c r="V5" s="420" t="s">
        <v>667</v>
      </c>
      <c r="W5" s="430"/>
    </row>
    <row r="6" spans="1:24" x14ac:dyDescent="0.2">
      <c r="A6" s="513" t="s">
        <v>714</v>
      </c>
      <c r="B6" s="514"/>
      <c r="C6" s="515" t="s">
        <v>610</v>
      </c>
      <c r="D6" s="516"/>
      <c r="E6" s="517" t="s">
        <v>785</v>
      </c>
      <c r="F6" s="517"/>
      <c r="G6" s="515" t="s">
        <v>610</v>
      </c>
      <c r="M6" s="435" t="s">
        <v>668</v>
      </c>
      <c r="N6" s="417"/>
      <c r="O6" s="417"/>
      <c r="P6" s="418"/>
      <c r="Q6" s="418"/>
      <c r="R6" s="418"/>
      <c r="S6" s="418"/>
      <c r="T6" s="418"/>
      <c r="U6" s="418"/>
      <c r="V6" s="418"/>
      <c r="W6" s="418"/>
      <c r="X6" s="30"/>
    </row>
    <row r="7" spans="1:24" x14ac:dyDescent="0.2">
      <c r="A7" s="518" t="s">
        <v>291</v>
      </c>
      <c r="B7" s="534" t="s">
        <v>856</v>
      </c>
      <c r="C7" s="543">
        <f>IF(D7=13,1,0)</f>
        <v>1</v>
      </c>
      <c r="D7" s="774">
        <v>13</v>
      </c>
      <c r="E7" s="775" t="s">
        <v>786</v>
      </c>
      <c r="F7" s="776">
        <v>3</v>
      </c>
      <c r="G7" s="543">
        <f>IF(F7=13,1,0)</f>
        <v>0</v>
      </c>
      <c r="H7" s="787" t="s">
        <v>849</v>
      </c>
      <c r="I7" s="788"/>
      <c r="J7" s="789"/>
      <c r="K7" s="556" t="s">
        <v>296</v>
      </c>
      <c r="L7" s="30"/>
      <c r="M7" s="420">
        <f ca="1">SUM(O7:W7)</f>
        <v>222</v>
      </c>
      <c r="N7" s="413" t="str">
        <f>IFERROR(LEFT($B7,(FIND(",",$B7,1)-1)),"")</f>
        <v>Hardo Sokk</v>
      </c>
      <c r="O7" s="414">
        <f ca="1">IFERROR(INDEX(Üldreiting!$K:$K,MATCH(N7,Üldreiting!$I:$I,0)),"")</f>
        <v>102</v>
      </c>
      <c r="P7" s="413" t="str">
        <f>IFERROR(MID($B7,FIND("^",SUBSTITUTE($B7,", ","^",1))+2,FIND("^",SUBSTITUTE($B7,", ","^",2))-FIND("^",SUBSTITUTE($B7,", ","^",1))-2),"")</f>
        <v>Heigo Kullang</v>
      </c>
      <c r="Q7" s="414">
        <f ca="1">IFERROR(INDEX(Üldreiting!$K:$K,MATCH(P7,Üldreiting!$I:$I,0)),"")</f>
        <v>23</v>
      </c>
      <c r="R7" s="413" t="str">
        <f>IFERROR(MID($B7,FIND(", ",$B7,FIND(", ",$B7,FIND(", ",$B7))+1)+2,30000),"")</f>
        <v>Ivar Viljaste</v>
      </c>
      <c r="S7" s="414">
        <f ca="1">IFERROR(INDEX(Üldreiting!$K:$K,MATCH(R7,Üldreiting!$I:$I,0)),"")</f>
        <v>97</v>
      </c>
      <c r="T7" s="415" t="str">
        <f t="shared" ref="T7:T40" si="0">IFERROR(MID($B7,FIND(", ",$B7,FIND(", ",$B7)+1)+2,FIND(", ",$B7,FIND(", ",$B7,FIND(", ",$B7)+1)+1)-FIND(", ",$B7,FIND(", ",$B7)+1)-2),"")</f>
        <v/>
      </c>
      <c r="U7" s="414" t="str">
        <f>IFERROR(INDEX(Üldreiting!$K:$K,MATCH(T7,Üldreiting!$I:$I,0)),"")</f>
        <v/>
      </c>
      <c r="V7" s="413" t="str">
        <f>IFERROR(MID($B7,FIND(", ",$B7,FIND(", ",$B7,FIND(", ",$B7)+1)+1)+2,30000),"")</f>
        <v/>
      </c>
      <c r="W7" s="414" t="str">
        <f>IFERROR(INDEX(Üldreiting!$K:$K,MATCH(V7,Üldreiting!$I:$I,0)),"")</f>
        <v/>
      </c>
      <c r="X7" s="30"/>
    </row>
    <row r="8" spans="1:24" x14ac:dyDescent="0.2">
      <c r="A8" s="518" t="s">
        <v>275</v>
      </c>
      <c r="B8" s="534" t="s">
        <v>540</v>
      </c>
      <c r="C8" s="543">
        <f t="shared" ref="C8:C13" si="1">IF(D8=13,1,0)</f>
        <v>0</v>
      </c>
      <c r="D8" s="774">
        <v>11</v>
      </c>
      <c r="E8" s="775" t="s">
        <v>786</v>
      </c>
      <c r="F8" s="776">
        <v>13</v>
      </c>
      <c r="G8" s="543">
        <f t="shared" ref="G8:G13" si="2">IF(F8=13,1,0)</f>
        <v>1</v>
      </c>
      <c r="H8" s="790" t="s">
        <v>864</v>
      </c>
      <c r="I8" s="788"/>
      <c r="J8" s="789"/>
      <c r="K8" s="556" t="s">
        <v>64</v>
      </c>
      <c r="L8" s="30"/>
      <c r="M8" s="420">
        <f t="shared" ref="M8:M10" ca="1" si="3">SUM(O8:W8)</f>
        <v>160</v>
      </c>
      <c r="N8" s="413" t="str">
        <f t="shared" ref="N8:N40" si="4">IFERROR(LEFT($B8,(FIND(",",$B8,1)-1)),"")</f>
        <v>Aigi Orro</v>
      </c>
      <c r="O8" s="414">
        <f ca="1">IFERROR(INDEX(Üldreiting!$K:$K,MATCH(N8,Üldreiting!$I:$I,0)),"")</f>
        <v>58</v>
      </c>
      <c r="P8" s="413" t="str">
        <f t="shared" ref="P8:P40" si="5">IFERROR(MID($B8,FIND("^",SUBSTITUTE($B8,", ","^",1))+2,FIND("^",SUBSTITUTE($B8,", ","^",2))-FIND("^",SUBSTITUTE($B8,", ","^",1))-2),"")</f>
        <v>Elmo Lageda</v>
      </c>
      <c r="Q8" s="414">
        <f ca="1">IFERROR(INDEX(Üldreiting!$K:$K,MATCH(P8,Üldreiting!$I:$I,0)),"")</f>
        <v>44</v>
      </c>
      <c r="R8" s="413" t="str">
        <f t="shared" ref="R8:R40" si="6">IFERROR(MID($B8,FIND(", ",$B8,FIND(", ",$B8,FIND(", ",$B8))+1)+2,30000),"")</f>
        <v>Kalle Orro</v>
      </c>
      <c r="S8" s="414">
        <f ca="1">IFERROR(INDEX(Üldreiting!$K:$K,MATCH(R8,Üldreiting!$I:$I,0)),"")</f>
        <v>58</v>
      </c>
      <c r="T8" s="415" t="str">
        <f t="shared" si="0"/>
        <v/>
      </c>
      <c r="U8" s="414" t="str">
        <f>IFERROR(INDEX(Üldreiting!$K:$K,MATCH(T8,Üldreiting!$I:$I,0)),"")</f>
        <v/>
      </c>
      <c r="V8" s="413" t="str">
        <f t="shared" ref="V8:V40" si="7">IFERROR(MID($B8,FIND(", ",$B8,FIND(", ",$B8,FIND(", ",$B8)+1)+1)+2,30000),"")</f>
        <v/>
      </c>
      <c r="W8" s="414" t="str">
        <f>IFERROR(INDEX(Üldreiting!$K:$K,MATCH(V8,Üldreiting!$I:$I,0)),"")</f>
        <v/>
      </c>
      <c r="X8" s="30"/>
    </row>
    <row r="9" spans="1:24" x14ac:dyDescent="0.2">
      <c r="A9" s="518" t="s">
        <v>292</v>
      </c>
      <c r="B9" s="780" t="s">
        <v>848</v>
      </c>
      <c r="C9" s="543">
        <f t="shared" si="1"/>
        <v>1</v>
      </c>
      <c r="D9" s="774">
        <v>13</v>
      </c>
      <c r="E9" s="775" t="s">
        <v>786</v>
      </c>
      <c r="F9" s="776">
        <v>3</v>
      </c>
      <c r="G9" s="543">
        <f t="shared" si="2"/>
        <v>0</v>
      </c>
      <c r="H9" s="787" t="s">
        <v>850</v>
      </c>
      <c r="I9" s="788"/>
      <c r="J9" s="789"/>
      <c r="K9" s="556" t="s">
        <v>195</v>
      </c>
      <c r="L9" s="30"/>
      <c r="M9" s="420">
        <f t="shared" ca="1" si="3"/>
        <v>259</v>
      </c>
      <c r="N9" s="413" t="str">
        <f t="shared" si="4"/>
        <v>Eve Oidsalu</v>
      </c>
      <c r="O9" s="414">
        <f ca="1">IFERROR(INDEX(Üldreiting!$K:$K,MATCH(N9,Üldreiting!$I:$I,0)),"")</f>
        <v>108</v>
      </c>
      <c r="P9" s="413" t="str">
        <f t="shared" si="5"/>
        <v>Kalju Olmre</v>
      </c>
      <c r="Q9" s="414">
        <f ca="1">IFERROR(INDEX(Üldreiting!$K:$K,MATCH(P9,Üldreiting!$I:$I,0)),"")</f>
        <v>73</v>
      </c>
      <c r="R9" s="413" t="str">
        <f t="shared" si="6"/>
        <v>Thibaut Sergeï Mathon</v>
      </c>
      <c r="S9" s="414">
        <f ca="1">IFERROR(INDEX(Üldreiting!$K:$K,MATCH(R9,Üldreiting!$I:$I,0)),"")</f>
        <v>78</v>
      </c>
      <c r="T9" s="415" t="str">
        <f t="shared" si="0"/>
        <v/>
      </c>
      <c r="U9" s="414" t="str">
        <f>IFERROR(INDEX(Üldreiting!$K:$K,MATCH(T9,Üldreiting!$I:$I,0)),"")</f>
        <v/>
      </c>
      <c r="V9" s="413" t="str">
        <f t="shared" si="7"/>
        <v/>
      </c>
      <c r="W9" s="414" t="str">
        <f>IFERROR(INDEX(Üldreiting!$K:$K,MATCH(V9,Üldreiting!$I:$I,0)),"")</f>
        <v/>
      </c>
      <c r="X9" s="30"/>
    </row>
    <row r="10" spans="1:24" x14ac:dyDescent="0.2">
      <c r="A10" s="518" t="s">
        <v>293</v>
      </c>
      <c r="B10" s="534" t="s">
        <v>854</v>
      </c>
      <c r="C10" s="543">
        <f t="shared" si="1"/>
        <v>0</v>
      </c>
      <c r="D10" s="774">
        <v>4</v>
      </c>
      <c r="E10" s="775" t="s">
        <v>786</v>
      </c>
      <c r="F10" s="776">
        <v>13</v>
      </c>
      <c r="G10" s="543">
        <f t="shared" si="2"/>
        <v>1</v>
      </c>
      <c r="H10" s="787" t="s">
        <v>778</v>
      </c>
      <c r="I10" s="788"/>
      <c r="J10" s="789"/>
      <c r="K10" s="556" t="s">
        <v>87</v>
      </c>
      <c r="L10" s="30"/>
      <c r="M10" s="420">
        <f t="shared" ca="1" si="3"/>
        <v>155</v>
      </c>
      <c r="N10" s="413" t="str">
        <f t="shared" si="4"/>
        <v>Kadri Arunurm</v>
      </c>
      <c r="O10" s="414">
        <f ca="1">IFERROR(INDEX(Üldreiting!$K:$K,MATCH(N10,Üldreiting!$I:$I,0)),"")</f>
        <v>53</v>
      </c>
      <c r="P10" s="413" t="str">
        <f t="shared" si="5"/>
        <v>Sirje Viljaste</v>
      </c>
      <c r="Q10" s="414">
        <f ca="1">IFERROR(INDEX(Üldreiting!$K:$K,MATCH(P10,Üldreiting!$I:$I,0)),"")</f>
        <v>59</v>
      </c>
      <c r="R10" s="413" t="str">
        <f t="shared" si="6"/>
        <v>Triin Gretel Tauk</v>
      </c>
      <c r="S10" s="414">
        <f ca="1">IFERROR(INDEX(Üldreiting!$K:$K,MATCH(R10,Üldreiting!$I:$I,0)),"")</f>
        <v>43</v>
      </c>
      <c r="T10" s="415" t="str">
        <f t="shared" si="0"/>
        <v/>
      </c>
      <c r="U10" s="414" t="str">
        <f>IFERROR(INDEX(Üldreiting!$K:$K,MATCH(T10,Üldreiting!$I:$I,0)),"")</f>
        <v/>
      </c>
      <c r="V10" s="413" t="str">
        <f t="shared" si="7"/>
        <v/>
      </c>
      <c r="W10" s="414" t="str">
        <f>IFERROR(INDEX(Üldreiting!$K:$K,MATCH(V10,Üldreiting!$I:$I,0)),"")</f>
        <v/>
      </c>
      <c r="X10" s="30"/>
    </row>
    <row r="11" spans="1:24" x14ac:dyDescent="0.2">
      <c r="A11" s="518" t="s">
        <v>276</v>
      </c>
      <c r="B11" s="534" t="s">
        <v>885</v>
      </c>
      <c r="C11" s="543">
        <f t="shared" si="1"/>
        <v>1</v>
      </c>
      <c r="D11" s="774">
        <v>13</v>
      </c>
      <c r="E11" s="775" t="s">
        <v>786</v>
      </c>
      <c r="F11" s="776">
        <v>9</v>
      </c>
      <c r="G11" s="543">
        <f t="shared" si="2"/>
        <v>0</v>
      </c>
      <c r="H11" s="791" t="s">
        <v>851</v>
      </c>
      <c r="I11" s="788"/>
      <c r="J11" s="789"/>
      <c r="K11" s="556" t="s">
        <v>607</v>
      </c>
      <c r="L11" s="42"/>
      <c r="M11" s="420">
        <f t="shared" ref="M11:M21" ca="1" si="8">SUM(O11:W11)</f>
        <v>200</v>
      </c>
      <c r="N11" s="413" t="str">
        <f t="shared" si="4"/>
        <v>Arvi Palla</v>
      </c>
      <c r="O11" s="414">
        <f ca="1">IFERROR(INDEX(Üldreiting!$K:$K,MATCH(N11,Üldreiting!$I:$I,0)),"")</f>
        <v>29</v>
      </c>
      <c r="P11" s="413" t="str">
        <f t="shared" si="5"/>
        <v>Kaarel Mikk</v>
      </c>
      <c r="Q11" s="414">
        <f ca="1">IFERROR(INDEX(Üldreiting!$K:$K,MATCH(P11,Üldreiting!$I:$I,0)),"")</f>
        <v>76.5</v>
      </c>
      <c r="R11" s="413" t="str">
        <f t="shared" si="6"/>
        <v>Mihkel Filipenko</v>
      </c>
      <c r="S11" s="414">
        <f ca="1">IFERROR(INDEX(Üldreiting!$K:$K,MATCH(R11,Üldreiting!$I:$I,0)),"")</f>
        <v>94.5</v>
      </c>
      <c r="T11" s="415" t="str">
        <f t="shared" si="0"/>
        <v/>
      </c>
      <c r="U11" s="414" t="str">
        <f>IFERROR(INDEX(Üldreiting!$K:$K,MATCH(T11,Üldreiting!$I:$I,0)),"")</f>
        <v/>
      </c>
      <c r="V11" s="413" t="str">
        <f t="shared" si="7"/>
        <v/>
      </c>
      <c r="W11" s="414" t="str">
        <f>IFERROR(INDEX(Üldreiting!$K:$K,MATCH(V11,Üldreiting!$I:$I,0)),"")</f>
        <v/>
      </c>
    </row>
    <row r="12" spans="1:24" x14ac:dyDescent="0.2">
      <c r="A12" s="518" t="s">
        <v>294</v>
      </c>
      <c r="B12" s="534" t="s">
        <v>539</v>
      </c>
      <c r="C12" s="543">
        <f t="shared" ref="C12" si="9">IF(D12=13,1,0)</f>
        <v>0</v>
      </c>
      <c r="D12" s="774">
        <v>0</v>
      </c>
      <c r="E12" s="775" t="s">
        <v>786</v>
      </c>
      <c r="F12" s="776">
        <v>13</v>
      </c>
      <c r="G12" s="543">
        <f t="shared" ref="G12" si="10">IF(F12=13,1,0)</f>
        <v>1</v>
      </c>
      <c r="H12" s="787" t="s">
        <v>852</v>
      </c>
      <c r="I12" s="788"/>
      <c r="J12" s="789"/>
      <c r="K12" s="556" t="s">
        <v>608</v>
      </c>
      <c r="L12" s="42"/>
      <c r="M12" s="420">
        <f t="shared" ca="1" si="8"/>
        <v>146</v>
      </c>
      <c r="N12" s="413" t="str">
        <f t="shared" si="4"/>
        <v>Janek Kiisk</v>
      </c>
      <c r="O12" s="414">
        <f ca="1">IFERROR(INDEX(Üldreiting!$K:$K,MATCH(N12,Üldreiting!$I:$I,0)),"")</f>
        <v>49</v>
      </c>
      <c r="P12" s="413" t="str">
        <f t="shared" si="5"/>
        <v>Marek Lehis</v>
      </c>
      <c r="Q12" s="414">
        <f ca="1">IFERROR(INDEX(Üldreiting!$K:$K,MATCH(P12,Üldreiting!$I:$I,0)),"")</f>
        <v>49</v>
      </c>
      <c r="R12" s="413" t="str">
        <f t="shared" si="6"/>
        <v>Margo Peebo</v>
      </c>
      <c r="S12" s="414">
        <f ca="1">IFERROR(INDEX(Üldreiting!$K:$K,MATCH(R12,Üldreiting!$I:$I,0)),"")</f>
        <v>48</v>
      </c>
      <c r="T12" s="415" t="str">
        <f t="shared" si="0"/>
        <v/>
      </c>
      <c r="U12" s="414" t="str">
        <f>IFERROR(INDEX(Üldreiting!$K:$K,MATCH(T12,Üldreiting!$I:$I,0)),"")</f>
        <v/>
      </c>
      <c r="V12" s="413" t="str">
        <f t="shared" si="7"/>
        <v/>
      </c>
      <c r="W12" s="414" t="str">
        <f>IFERROR(INDEX(Üldreiting!$K:$K,MATCH(V12,Üldreiting!$I:$I,0)),"")</f>
        <v/>
      </c>
      <c r="X12" s="30"/>
    </row>
    <row r="13" spans="1:24" x14ac:dyDescent="0.2">
      <c r="A13" s="518" t="s">
        <v>295</v>
      </c>
      <c r="B13" s="534" t="s">
        <v>853</v>
      </c>
      <c r="C13" s="543">
        <f t="shared" si="1"/>
        <v>1</v>
      </c>
      <c r="D13" s="774">
        <v>13</v>
      </c>
      <c r="E13" s="775" t="s">
        <v>786</v>
      </c>
      <c r="F13" s="776"/>
      <c r="G13" s="543">
        <f t="shared" si="2"/>
        <v>0</v>
      </c>
      <c r="H13" s="787"/>
      <c r="I13" s="788"/>
      <c r="J13" s="789"/>
      <c r="K13" s="556"/>
      <c r="L13" s="30"/>
      <c r="M13" s="420">
        <f t="shared" ca="1" si="8"/>
        <v>68</v>
      </c>
      <c r="N13" s="413" t="str">
        <f t="shared" si="4"/>
        <v>Andrus Treiman</v>
      </c>
      <c r="O13" s="414">
        <f ca="1">IFERROR(INDEX(Üldreiting!$K:$K,MATCH(N13,Üldreiting!$I:$I,0)),"")</f>
        <v>16</v>
      </c>
      <c r="P13" s="413" t="str">
        <f t="shared" si="5"/>
        <v>Ingar Mäesalu</v>
      </c>
      <c r="Q13" s="414">
        <f ca="1">IFERROR(INDEX(Üldreiting!$K:$K,MATCH(P13,Üldreiting!$I:$I,0)),"")</f>
        <v>16</v>
      </c>
      <c r="R13" s="413" t="str">
        <f t="shared" si="6"/>
        <v>Meelis Münt</v>
      </c>
      <c r="S13" s="414">
        <f ca="1">IFERROR(INDEX(Üldreiting!$K:$K,MATCH(R13,Üldreiting!$I:$I,0)),"")</f>
        <v>36</v>
      </c>
      <c r="T13" s="415" t="str">
        <f t="shared" si="0"/>
        <v/>
      </c>
      <c r="U13" s="414" t="str">
        <f>IFERROR(INDEX(Üldreiting!$K:$K,MATCH(T13,Üldreiting!$I:$I,0)),"")</f>
        <v/>
      </c>
      <c r="V13" s="413" t="str">
        <f t="shared" si="7"/>
        <v/>
      </c>
      <c r="W13" s="414" t="str">
        <f>IFERROR(INDEX(Üldreiting!$K:$K,MATCH(V13,Üldreiting!$I:$I,0)),"")</f>
        <v/>
      </c>
      <c r="X13" s="30"/>
    </row>
    <row r="14" spans="1:24" x14ac:dyDescent="0.2">
      <c r="A14" s="518"/>
      <c r="B14" s="78"/>
      <c r="C14" s="527"/>
      <c r="D14" s="527"/>
      <c r="E14" s="528"/>
      <c r="F14" s="527"/>
      <c r="G14" s="527"/>
      <c r="H14" s="529"/>
      <c r="I14" s="78"/>
      <c r="J14" s="78"/>
      <c r="L14" s="30"/>
      <c r="M14" s="420">
        <f t="shared" si="8"/>
        <v>0</v>
      </c>
      <c r="N14" s="413" t="str">
        <f t="shared" si="4"/>
        <v/>
      </c>
      <c r="O14" s="414" t="str">
        <f>IFERROR(INDEX(Üldreiting!$K:$K,MATCH(N14,Üldreiting!$I:$I,0)),"")</f>
        <v/>
      </c>
      <c r="P14" s="413" t="str">
        <f t="shared" si="5"/>
        <v/>
      </c>
      <c r="Q14" s="414" t="str">
        <f>IFERROR(INDEX(Üldreiting!$K:$K,MATCH(P14,Üldreiting!$I:$I,0)),"")</f>
        <v/>
      </c>
      <c r="R14" s="413" t="str">
        <f t="shared" si="6"/>
        <v/>
      </c>
      <c r="S14" s="414" t="str">
        <f>IFERROR(INDEX(Üldreiting!$K:$K,MATCH(R14,Üldreiting!$I:$I,0)),"")</f>
        <v/>
      </c>
      <c r="T14" s="415" t="str">
        <f t="shared" si="0"/>
        <v/>
      </c>
      <c r="U14" s="414" t="str">
        <f>IFERROR(INDEX(Üldreiting!$K:$K,MATCH(T14,Üldreiting!$I:$I,0)),"")</f>
        <v/>
      </c>
      <c r="V14" s="413" t="str">
        <f t="shared" si="7"/>
        <v/>
      </c>
      <c r="W14" s="414" t="str">
        <f>IFERROR(INDEX(Üldreiting!$K:$K,MATCH(V14,Üldreiting!$I:$I,0)),"")</f>
        <v/>
      </c>
      <c r="X14" s="30"/>
    </row>
    <row r="15" spans="1:24" x14ac:dyDescent="0.2">
      <c r="A15" s="530" t="s">
        <v>718</v>
      </c>
      <c r="B15" s="514"/>
      <c r="C15" s="515" t="s">
        <v>610</v>
      </c>
      <c r="D15" s="514"/>
      <c r="E15" s="765" t="s">
        <v>785</v>
      </c>
      <c r="F15" s="765"/>
      <c r="G15" s="515" t="s">
        <v>610</v>
      </c>
      <c r="H15" s="78"/>
      <c r="I15" s="78"/>
      <c r="J15" s="78"/>
      <c r="L15" s="30"/>
      <c r="M15" s="420">
        <f t="shared" si="8"/>
        <v>0</v>
      </c>
      <c r="N15" s="413" t="str">
        <f t="shared" si="4"/>
        <v/>
      </c>
      <c r="O15" s="414" t="str">
        <f>IFERROR(INDEX(Üldreiting!$K:$K,MATCH(N15,Üldreiting!$I:$I,0)),"")</f>
        <v/>
      </c>
      <c r="P15" s="413" t="str">
        <f t="shared" si="5"/>
        <v/>
      </c>
      <c r="Q15" s="414" t="str">
        <f>IFERROR(INDEX(Üldreiting!$K:$K,MATCH(P15,Üldreiting!$I:$I,0)),"")</f>
        <v/>
      </c>
      <c r="R15" s="413" t="str">
        <f t="shared" si="6"/>
        <v/>
      </c>
      <c r="S15" s="414" t="str">
        <f>IFERROR(INDEX(Üldreiting!$K:$K,MATCH(R15,Üldreiting!$I:$I,0)),"")</f>
        <v/>
      </c>
      <c r="T15" s="415" t="str">
        <f t="shared" si="0"/>
        <v/>
      </c>
      <c r="U15" s="414" t="str">
        <f>IFERROR(INDEX(Üldreiting!$K:$K,MATCH(T15,Üldreiting!$I:$I,0)),"")</f>
        <v/>
      </c>
      <c r="V15" s="413" t="str">
        <f t="shared" si="7"/>
        <v/>
      </c>
      <c r="W15" s="414" t="str">
        <f>IFERROR(INDEX(Üldreiting!$K:$K,MATCH(V15,Üldreiting!$I:$I,0)),"")</f>
        <v/>
      </c>
      <c r="X15" s="30"/>
    </row>
    <row r="16" spans="1:24" x14ac:dyDescent="0.2">
      <c r="A16" s="518" t="s">
        <v>608</v>
      </c>
      <c r="B16" s="534" t="s">
        <v>852</v>
      </c>
      <c r="C16" s="520">
        <f>IF(D16=13,1,0)</f>
        <v>0</v>
      </c>
      <c r="D16" s="521">
        <v>6</v>
      </c>
      <c r="E16" s="764" t="s">
        <v>786</v>
      </c>
      <c r="F16" s="523">
        <v>13</v>
      </c>
      <c r="G16" s="520">
        <f>IF(F16=13,1,0)</f>
        <v>1</v>
      </c>
      <c r="H16" s="787" t="s">
        <v>856</v>
      </c>
      <c r="I16" s="788"/>
      <c r="J16" s="789"/>
      <c r="K16" s="556" t="s">
        <v>291</v>
      </c>
      <c r="L16" s="30"/>
      <c r="M16" s="420">
        <f t="shared" ca="1" si="8"/>
        <v>57</v>
      </c>
      <c r="N16" s="413" t="str">
        <f t="shared" si="4"/>
        <v>Alar Sinimäe</v>
      </c>
      <c r="O16" s="414">
        <f ca="1">IFERROR(INDEX(Üldreiting!$K:$K,MATCH(N16,Üldreiting!$I:$I,0)),"")</f>
        <v>17</v>
      </c>
      <c r="P16" s="413" t="str">
        <f t="shared" si="5"/>
        <v>Kadri Veljend</v>
      </c>
      <c r="Q16" s="414">
        <f ca="1">IFERROR(INDEX(Üldreiting!$K:$K,MATCH(P16,Üldreiting!$I:$I,0)),"")</f>
        <v>23</v>
      </c>
      <c r="R16" s="413" t="str">
        <f t="shared" si="6"/>
        <v>Marko Ode</v>
      </c>
      <c r="S16" s="414">
        <f ca="1">IFERROR(INDEX(Üldreiting!$K:$K,MATCH(R16,Üldreiting!$I:$I,0)),"")</f>
        <v>17</v>
      </c>
      <c r="T16" s="415" t="str">
        <f t="shared" si="0"/>
        <v/>
      </c>
      <c r="U16" s="414" t="str">
        <f>IFERROR(INDEX(Üldreiting!$K:$K,MATCH(T16,Üldreiting!$I:$I,0)),"")</f>
        <v/>
      </c>
      <c r="V16" s="413" t="str">
        <f t="shared" si="7"/>
        <v/>
      </c>
      <c r="W16" s="414" t="str">
        <f>IFERROR(INDEX(Üldreiting!$K:$K,MATCH(V16,Üldreiting!$I:$I,0)),"")</f>
        <v/>
      </c>
      <c r="X16" s="30"/>
    </row>
    <row r="17" spans="1:24" x14ac:dyDescent="0.2">
      <c r="A17" s="518" t="s">
        <v>292</v>
      </c>
      <c r="B17" s="780" t="s">
        <v>848</v>
      </c>
      <c r="C17" s="520">
        <f t="shared" ref="C17:C22" si="11">IF(D17=13,1,0)</f>
        <v>1</v>
      </c>
      <c r="D17" s="521">
        <v>13</v>
      </c>
      <c r="E17" s="764" t="s">
        <v>786</v>
      </c>
      <c r="F17" s="523">
        <v>5</v>
      </c>
      <c r="G17" s="520">
        <f t="shared" ref="G17:G22" si="12">IF(F17=13,1,0)</f>
        <v>0</v>
      </c>
      <c r="H17" s="787" t="s">
        <v>778</v>
      </c>
      <c r="I17" s="788"/>
      <c r="J17" s="789"/>
      <c r="K17" s="556" t="s">
        <v>87</v>
      </c>
      <c r="M17" s="420">
        <f t="shared" ca="1" si="8"/>
        <v>259</v>
      </c>
      <c r="N17" s="413" t="str">
        <f t="shared" si="4"/>
        <v>Eve Oidsalu</v>
      </c>
      <c r="O17" s="414">
        <f ca="1">IFERROR(INDEX(Üldreiting!$K:$K,MATCH(N17,Üldreiting!$I:$I,0)),"")</f>
        <v>108</v>
      </c>
      <c r="P17" s="413" t="str">
        <f t="shared" si="5"/>
        <v>Kalju Olmre</v>
      </c>
      <c r="Q17" s="414">
        <f ca="1">IFERROR(INDEX(Üldreiting!$K:$K,MATCH(P17,Üldreiting!$I:$I,0)),"")</f>
        <v>73</v>
      </c>
      <c r="R17" s="413" t="str">
        <f t="shared" si="6"/>
        <v>Thibaut Sergeï Mathon</v>
      </c>
      <c r="S17" s="414">
        <f ca="1">IFERROR(INDEX(Üldreiting!$K:$K,MATCH(R17,Üldreiting!$I:$I,0)),"")</f>
        <v>78</v>
      </c>
      <c r="T17" s="415" t="str">
        <f t="shared" si="0"/>
        <v/>
      </c>
      <c r="U17" s="414" t="str">
        <f>IFERROR(INDEX(Üldreiting!$K:$K,MATCH(T17,Üldreiting!$I:$I,0)),"")</f>
        <v/>
      </c>
      <c r="V17" s="413" t="str">
        <f t="shared" si="7"/>
        <v/>
      </c>
      <c r="W17" s="414" t="str">
        <f>IFERROR(INDEX(Üldreiting!$K:$K,MATCH(V17,Üldreiting!$I:$I,0)),"")</f>
        <v/>
      </c>
    </row>
    <row r="18" spans="1:24" x14ac:dyDescent="0.2">
      <c r="A18" s="518" t="s">
        <v>276</v>
      </c>
      <c r="B18" s="534" t="s">
        <v>885</v>
      </c>
      <c r="C18" s="520">
        <f t="shared" si="11"/>
        <v>0</v>
      </c>
      <c r="D18" s="521">
        <v>9</v>
      </c>
      <c r="E18" s="764" t="s">
        <v>786</v>
      </c>
      <c r="F18" s="523">
        <v>13</v>
      </c>
      <c r="G18" s="520">
        <f t="shared" si="12"/>
        <v>1</v>
      </c>
      <c r="H18" s="790" t="s">
        <v>864</v>
      </c>
      <c r="I18" s="788"/>
      <c r="J18" s="789"/>
      <c r="K18" s="556" t="s">
        <v>64</v>
      </c>
      <c r="L18" s="30"/>
      <c r="M18" s="420">
        <f t="shared" ca="1" si="8"/>
        <v>200</v>
      </c>
      <c r="N18" s="413" t="str">
        <f t="shared" si="4"/>
        <v>Arvi Palla</v>
      </c>
      <c r="O18" s="414">
        <f ca="1">IFERROR(INDEX(Üldreiting!$K:$K,MATCH(N18,Üldreiting!$I:$I,0)),"")</f>
        <v>29</v>
      </c>
      <c r="P18" s="413" t="str">
        <f t="shared" si="5"/>
        <v>Kaarel Mikk</v>
      </c>
      <c r="Q18" s="414">
        <f ca="1">IFERROR(INDEX(Üldreiting!$K:$K,MATCH(P18,Üldreiting!$I:$I,0)),"")</f>
        <v>76.5</v>
      </c>
      <c r="R18" s="413" t="str">
        <f t="shared" si="6"/>
        <v>Mihkel Filipenko</v>
      </c>
      <c r="S18" s="414">
        <f ca="1">IFERROR(INDEX(Üldreiting!$K:$K,MATCH(R18,Üldreiting!$I:$I,0)),"")</f>
        <v>94.5</v>
      </c>
      <c r="T18" s="415" t="str">
        <f t="shared" si="0"/>
        <v/>
      </c>
      <c r="U18" s="414" t="str">
        <f>IFERROR(INDEX(Üldreiting!$K:$K,MATCH(T18,Üldreiting!$I:$I,0)),"")</f>
        <v/>
      </c>
      <c r="V18" s="413" t="str">
        <f t="shared" si="7"/>
        <v/>
      </c>
      <c r="W18" s="414" t="str">
        <f>IFERROR(INDEX(Üldreiting!$K:$K,MATCH(V18,Üldreiting!$I:$I,0)),"")</f>
        <v/>
      </c>
      <c r="X18" s="30"/>
    </row>
    <row r="19" spans="1:24" x14ac:dyDescent="0.2">
      <c r="A19" s="518" t="s">
        <v>295</v>
      </c>
      <c r="B19" s="534" t="s">
        <v>853</v>
      </c>
      <c r="C19" s="520">
        <f t="shared" si="11"/>
        <v>0</v>
      </c>
      <c r="D19" s="521">
        <v>10</v>
      </c>
      <c r="E19" s="764" t="s">
        <v>786</v>
      </c>
      <c r="F19" s="523">
        <v>13</v>
      </c>
      <c r="G19" s="520">
        <f t="shared" si="12"/>
        <v>1</v>
      </c>
      <c r="H19" s="787" t="s">
        <v>540</v>
      </c>
      <c r="I19" s="788"/>
      <c r="J19" s="789"/>
      <c r="K19" s="556" t="s">
        <v>275</v>
      </c>
      <c r="L19" s="30"/>
      <c r="M19" s="420">
        <f t="shared" ca="1" si="8"/>
        <v>68</v>
      </c>
      <c r="N19" s="413" t="str">
        <f t="shared" si="4"/>
        <v>Andrus Treiman</v>
      </c>
      <c r="O19" s="414">
        <f ca="1">IFERROR(INDEX(Üldreiting!$K:$K,MATCH(N19,Üldreiting!$I:$I,0)),"")</f>
        <v>16</v>
      </c>
      <c r="P19" s="413" t="str">
        <f t="shared" si="5"/>
        <v>Ingar Mäesalu</v>
      </c>
      <c r="Q19" s="414">
        <f ca="1">IFERROR(INDEX(Üldreiting!$K:$K,MATCH(P19,Üldreiting!$I:$I,0)),"")</f>
        <v>16</v>
      </c>
      <c r="R19" s="413" t="str">
        <f t="shared" si="6"/>
        <v>Meelis Münt</v>
      </c>
      <c r="S19" s="414">
        <f ca="1">IFERROR(INDEX(Üldreiting!$K:$K,MATCH(R19,Üldreiting!$I:$I,0)),"")</f>
        <v>36</v>
      </c>
      <c r="T19" s="415" t="str">
        <f t="shared" si="0"/>
        <v/>
      </c>
      <c r="U19" s="414" t="str">
        <f>IFERROR(INDEX(Üldreiting!$K:$K,MATCH(T19,Üldreiting!$I:$I,0)),"")</f>
        <v/>
      </c>
      <c r="V19" s="413" t="str">
        <f t="shared" si="7"/>
        <v/>
      </c>
      <c r="W19" s="414" t="str">
        <f>IFERROR(INDEX(Üldreiting!$K:$K,MATCH(V19,Üldreiting!$I:$I,0)),"")</f>
        <v/>
      </c>
      <c r="X19" s="30"/>
    </row>
    <row r="20" spans="1:24" x14ac:dyDescent="0.2">
      <c r="A20" s="518" t="s">
        <v>607</v>
      </c>
      <c r="B20" s="777" t="s">
        <v>851</v>
      </c>
      <c r="C20" s="520">
        <f t="shared" si="11"/>
        <v>1</v>
      </c>
      <c r="D20" s="521">
        <v>13</v>
      </c>
      <c r="E20" s="764" t="s">
        <v>786</v>
      </c>
      <c r="F20" s="523">
        <v>9</v>
      </c>
      <c r="G20" s="520">
        <f t="shared" si="12"/>
        <v>0</v>
      </c>
      <c r="H20" s="787" t="s">
        <v>854</v>
      </c>
      <c r="I20" s="788"/>
      <c r="J20" s="789"/>
      <c r="K20" s="556" t="s">
        <v>293</v>
      </c>
      <c r="L20" s="30"/>
      <c r="M20" s="420">
        <f t="shared" ca="1" si="8"/>
        <v>85</v>
      </c>
      <c r="N20" s="413" t="str">
        <f t="shared" si="4"/>
        <v>Katri Aavekukk</v>
      </c>
      <c r="O20" s="414">
        <f ca="1">IFERROR(INDEX(Üldreiting!$K:$K,MATCH(N20,Üldreiting!$I:$I,0)),"")</f>
        <v>61</v>
      </c>
      <c r="P20" s="413" t="str">
        <f t="shared" si="5"/>
        <v>Külli Kariste</v>
      </c>
      <c r="Q20" s="414">
        <f ca="1">IFERROR(INDEX(Üldreiting!$K:$K,MATCH(P20,Üldreiting!$I:$I,0)),"")</f>
        <v>18</v>
      </c>
      <c r="R20" s="413" t="str">
        <f t="shared" si="6"/>
        <v>Urmo Auväärt</v>
      </c>
      <c r="S20" s="414">
        <f ca="1">IFERROR(INDEX(Üldreiting!$K:$K,MATCH(R20,Üldreiting!$I:$I,0)),"")</f>
        <v>6</v>
      </c>
      <c r="T20" s="415" t="str">
        <f t="shared" si="0"/>
        <v/>
      </c>
      <c r="U20" s="414" t="str">
        <f>IFERROR(INDEX(Üldreiting!$K:$K,MATCH(T20,Üldreiting!$I:$I,0)),"")</f>
        <v/>
      </c>
      <c r="V20" s="413" t="str">
        <f t="shared" si="7"/>
        <v/>
      </c>
      <c r="W20" s="414" t="str">
        <f>IFERROR(INDEX(Üldreiting!$K:$K,MATCH(V20,Üldreiting!$I:$I,0)),"")</f>
        <v/>
      </c>
      <c r="X20" s="30"/>
    </row>
    <row r="21" spans="1:24" x14ac:dyDescent="0.2">
      <c r="A21" s="518" t="s">
        <v>296</v>
      </c>
      <c r="B21" s="534" t="s">
        <v>849</v>
      </c>
      <c r="C21" s="520">
        <f t="shared" ref="C21" si="13">IF(D21=13,1,0)</f>
        <v>0</v>
      </c>
      <c r="D21" s="533">
        <v>9</v>
      </c>
      <c r="E21" s="764" t="s">
        <v>786</v>
      </c>
      <c r="F21" s="523">
        <v>8</v>
      </c>
      <c r="G21" s="520">
        <f t="shared" ref="G21" si="14">IF(F21=13,1,0)</f>
        <v>0</v>
      </c>
      <c r="H21" s="787" t="s">
        <v>850</v>
      </c>
      <c r="I21" s="788"/>
      <c r="J21" s="789"/>
      <c r="K21" s="556" t="s">
        <v>195</v>
      </c>
      <c r="L21" s="30"/>
      <c r="M21" s="420">
        <f t="shared" ca="1" si="8"/>
        <v>29</v>
      </c>
      <c r="N21" s="413" t="str">
        <f t="shared" si="4"/>
        <v>Aivar Sein</v>
      </c>
      <c r="O21" s="414">
        <f ca="1">IFERROR(INDEX(Üldreiting!$K:$K,MATCH(N21,Üldreiting!$I:$I,0)),"")</f>
        <v>9</v>
      </c>
      <c r="P21" s="413" t="str">
        <f t="shared" si="5"/>
        <v>Mare Kingissepp</v>
      </c>
      <c r="Q21" s="414">
        <f ca="1">IFERROR(INDEX(Üldreiting!$K:$K,MATCH(P21,Üldreiting!$I:$I,0)),"")</f>
        <v>10</v>
      </c>
      <c r="R21" s="413" t="str">
        <f t="shared" si="6"/>
        <v>Marge Mägi</v>
      </c>
      <c r="S21" s="414">
        <f ca="1">IFERROR(INDEX(Üldreiting!$K:$K,MATCH(R21,Üldreiting!$I:$I,0)),"")</f>
        <v>10</v>
      </c>
      <c r="T21" s="415" t="str">
        <f t="shared" si="0"/>
        <v/>
      </c>
      <c r="U21" s="414" t="str">
        <f>IFERROR(INDEX(Üldreiting!$K:$K,MATCH(T21,Üldreiting!$I:$I,0)),"")</f>
        <v/>
      </c>
      <c r="V21" s="413" t="str">
        <f t="shared" si="7"/>
        <v/>
      </c>
      <c r="W21" s="414" t="str">
        <f>IFERROR(INDEX(Üldreiting!$K:$K,MATCH(V21,Üldreiting!$I:$I,0)),"")</f>
        <v/>
      </c>
      <c r="X21" s="30"/>
    </row>
    <row r="22" spans="1:24" x14ac:dyDescent="0.2">
      <c r="A22" s="518" t="s">
        <v>294</v>
      </c>
      <c r="B22" s="534" t="s">
        <v>539</v>
      </c>
      <c r="C22" s="520">
        <f t="shared" si="11"/>
        <v>1</v>
      </c>
      <c r="D22" s="521">
        <v>13</v>
      </c>
      <c r="E22" s="764" t="s">
        <v>786</v>
      </c>
      <c r="F22" s="523"/>
      <c r="G22" s="520">
        <f t="shared" si="12"/>
        <v>0</v>
      </c>
      <c r="H22" s="787"/>
      <c r="I22" s="788"/>
      <c r="J22" s="789"/>
      <c r="K22" s="556"/>
      <c r="L22" s="30"/>
      <c r="M22" s="420">
        <f t="shared" ref="M22:M40" ca="1" si="15">SUM(O22:W22)</f>
        <v>146</v>
      </c>
      <c r="N22" s="413" t="str">
        <f t="shared" si="4"/>
        <v>Janek Kiisk</v>
      </c>
      <c r="O22" s="414">
        <f ca="1">IFERROR(INDEX(Üldreiting!$K:$K,MATCH(N22,Üldreiting!$I:$I,0)),"")</f>
        <v>49</v>
      </c>
      <c r="P22" s="413" t="str">
        <f t="shared" si="5"/>
        <v>Marek Lehis</v>
      </c>
      <c r="Q22" s="414">
        <f ca="1">IFERROR(INDEX(Üldreiting!$K:$K,MATCH(P22,Üldreiting!$I:$I,0)),"")</f>
        <v>49</v>
      </c>
      <c r="R22" s="413" t="str">
        <f t="shared" si="6"/>
        <v>Margo Peebo</v>
      </c>
      <c r="S22" s="414">
        <f ca="1">IFERROR(INDEX(Üldreiting!$K:$K,MATCH(R22,Üldreiting!$I:$I,0)),"")</f>
        <v>48</v>
      </c>
      <c r="T22" s="415" t="str">
        <f t="shared" si="0"/>
        <v/>
      </c>
      <c r="U22" s="414" t="str">
        <f>IFERROR(INDEX(Üldreiting!$K:$K,MATCH(T22,Üldreiting!$I:$I,0)),"")</f>
        <v/>
      </c>
      <c r="V22" s="413" t="str">
        <f t="shared" si="7"/>
        <v/>
      </c>
      <c r="W22" s="414" t="str">
        <f>IFERROR(INDEX(Üldreiting!$K:$K,MATCH(V22,Üldreiting!$I:$I,0)),"")</f>
        <v/>
      </c>
      <c r="X22" s="30"/>
    </row>
    <row r="23" spans="1:24" x14ac:dyDescent="0.2">
      <c r="A23" s="532"/>
      <c r="B23" s="243"/>
      <c r="C23" s="527"/>
      <c r="D23" s="527"/>
      <c r="E23" s="528"/>
      <c r="F23" s="527"/>
      <c r="G23" s="527"/>
      <c r="H23" s="78"/>
      <c r="I23" s="78"/>
      <c r="J23" s="78"/>
      <c r="M23" s="420">
        <f t="shared" si="15"/>
        <v>0</v>
      </c>
      <c r="N23" s="413" t="str">
        <f t="shared" si="4"/>
        <v/>
      </c>
      <c r="O23" s="414" t="str">
        <f>IFERROR(INDEX(Üldreiting!$K:$K,MATCH(N23,Üldreiting!$I:$I,0)),"")</f>
        <v/>
      </c>
      <c r="P23" s="413" t="str">
        <f t="shared" si="5"/>
        <v/>
      </c>
      <c r="Q23" s="414" t="str">
        <f>IFERROR(INDEX(Üldreiting!$K:$K,MATCH(P23,Üldreiting!$I:$I,0)),"")</f>
        <v/>
      </c>
      <c r="R23" s="413" t="str">
        <f t="shared" si="6"/>
        <v/>
      </c>
      <c r="S23" s="414" t="str">
        <f>IFERROR(INDEX(Üldreiting!$K:$K,MATCH(R23,Üldreiting!$I:$I,0)),"")</f>
        <v/>
      </c>
      <c r="T23" s="415" t="str">
        <f t="shared" si="0"/>
        <v/>
      </c>
      <c r="U23" s="414" t="str">
        <f>IFERROR(INDEX(Üldreiting!$K:$K,MATCH(T23,Üldreiting!$I:$I,0)),"")</f>
        <v/>
      </c>
      <c r="V23" s="413" t="str">
        <f t="shared" si="7"/>
        <v/>
      </c>
      <c r="W23" s="414" t="str">
        <f>IFERROR(INDEX(Üldreiting!$K:$K,MATCH(V23,Üldreiting!$I:$I,0)),"")</f>
        <v/>
      </c>
    </row>
    <row r="24" spans="1:24" x14ac:dyDescent="0.2">
      <c r="A24" s="513" t="s">
        <v>722</v>
      </c>
      <c r="B24" s="514"/>
      <c r="C24" s="515" t="s">
        <v>610</v>
      </c>
      <c r="D24" s="514"/>
      <c r="E24" s="765" t="s">
        <v>785</v>
      </c>
      <c r="F24" s="765"/>
      <c r="G24" s="515" t="s">
        <v>610</v>
      </c>
      <c r="H24" s="78"/>
      <c r="I24" s="78"/>
      <c r="J24" s="78"/>
      <c r="L24" s="30"/>
      <c r="M24" s="420">
        <f t="shared" si="15"/>
        <v>0</v>
      </c>
      <c r="N24" s="413" t="str">
        <f t="shared" si="4"/>
        <v/>
      </c>
      <c r="O24" s="414" t="str">
        <f>IFERROR(INDEX(Üldreiting!$K:$K,MATCH(N24,Üldreiting!$I:$I,0)),"")</f>
        <v/>
      </c>
      <c r="P24" s="413" t="str">
        <f t="shared" si="5"/>
        <v/>
      </c>
      <c r="Q24" s="414" t="str">
        <f>IFERROR(INDEX(Üldreiting!$K:$K,MATCH(P24,Üldreiting!$I:$I,0)),"")</f>
        <v/>
      </c>
      <c r="R24" s="413" t="str">
        <f t="shared" si="6"/>
        <v/>
      </c>
      <c r="S24" s="414" t="str">
        <f>IFERROR(INDEX(Üldreiting!$K:$K,MATCH(R24,Üldreiting!$I:$I,0)),"")</f>
        <v/>
      </c>
      <c r="T24" s="415" t="str">
        <f t="shared" si="0"/>
        <v/>
      </c>
      <c r="U24" s="414" t="str">
        <f>IFERROR(INDEX(Üldreiting!$K:$K,MATCH(T24,Üldreiting!$I:$I,0)),"")</f>
        <v/>
      </c>
      <c r="V24" s="413" t="str">
        <f t="shared" si="7"/>
        <v/>
      </c>
      <c r="W24" s="414" t="str">
        <f>IFERROR(INDEX(Üldreiting!$K:$K,MATCH(V24,Üldreiting!$I:$I,0)),"")</f>
        <v/>
      </c>
      <c r="X24" s="30"/>
    </row>
    <row r="25" spans="1:24" x14ac:dyDescent="0.2">
      <c r="A25" s="518" t="s">
        <v>291</v>
      </c>
      <c r="B25" s="534" t="s">
        <v>856</v>
      </c>
      <c r="C25" s="520">
        <f>IF(D25=13,1,0)</f>
        <v>0</v>
      </c>
      <c r="D25" s="533">
        <v>9</v>
      </c>
      <c r="E25" s="764" t="s">
        <v>786</v>
      </c>
      <c r="F25" s="523">
        <v>8</v>
      </c>
      <c r="G25" s="520">
        <f>IF(F25=13,1,0)</f>
        <v>0</v>
      </c>
      <c r="H25" s="790" t="s">
        <v>864</v>
      </c>
      <c r="I25" s="788"/>
      <c r="J25" s="789"/>
      <c r="K25" s="556" t="s">
        <v>64</v>
      </c>
      <c r="L25" s="30"/>
      <c r="M25" s="767">
        <f t="shared" ca="1" si="15"/>
        <v>222</v>
      </c>
      <c r="N25" s="413" t="str">
        <f t="shared" si="4"/>
        <v>Hardo Sokk</v>
      </c>
      <c r="O25" s="414">
        <f ca="1">IFERROR(INDEX(Üldreiting!$K:$K,MATCH(N25,Üldreiting!$I:$I,0)),"")</f>
        <v>102</v>
      </c>
      <c r="P25" s="413" t="str">
        <f t="shared" si="5"/>
        <v>Heigo Kullang</v>
      </c>
      <c r="Q25" s="414">
        <f ca="1">IFERROR(INDEX(Üldreiting!$K:$K,MATCH(P25,Üldreiting!$I:$I,0)),"")</f>
        <v>23</v>
      </c>
      <c r="R25" s="413" t="str">
        <f t="shared" si="6"/>
        <v>Ivar Viljaste</v>
      </c>
      <c r="S25" s="414">
        <f ca="1">IFERROR(INDEX(Üldreiting!$K:$K,MATCH(R25,Üldreiting!$I:$I,0)),"")</f>
        <v>97</v>
      </c>
      <c r="T25" s="415" t="str">
        <f t="shared" si="0"/>
        <v/>
      </c>
      <c r="U25" s="414" t="str">
        <f>IFERROR(INDEX(Üldreiting!$K:$K,MATCH(T25,Üldreiting!$I:$I,0)),"")</f>
        <v/>
      </c>
      <c r="V25" s="413" t="str">
        <f t="shared" si="7"/>
        <v/>
      </c>
      <c r="W25" s="414" t="str">
        <f>IFERROR(INDEX(Üldreiting!$K:$K,MATCH(V25,Üldreiting!$I:$I,0)),"")</f>
        <v/>
      </c>
      <c r="X25" s="30"/>
    </row>
    <row r="26" spans="1:24" x14ac:dyDescent="0.2">
      <c r="A26" s="518" t="s">
        <v>292</v>
      </c>
      <c r="B26" s="780" t="s">
        <v>848</v>
      </c>
      <c r="C26" s="520">
        <f t="shared" ref="C26:C31" si="16">IF(D26=13,1,0)</f>
        <v>1</v>
      </c>
      <c r="D26" s="521">
        <v>13</v>
      </c>
      <c r="E26" s="764" t="s">
        <v>786</v>
      </c>
      <c r="F26" s="523">
        <v>4</v>
      </c>
      <c r="G26" s="520">
        <f t="shared" ref="G26:G31" si="17">IF(F26=13,1,0)</f>
        <v>0</v>
      </c>
      <c r="H26" s="787" t="s">
        <v>852</v>
      </c>
      <c r="I26" s="788"/>
      <c r="J26" s="789"/>
      <c r="K26" s="556" t="s">
        <v>608</v>
      </c>
      <c r="L26" s="30"/>
      <c r="M26" s="767">
        <f t="shared" ca="1" si="15"/>
        <v>259</v>
      </c>
      <c r="N26" s="413" t="str">
        <f t="shared" si="4"/>
        <v>Eve Oidsalu</v>
      </c>
      <c r="O26" s="414">
        <f ca="1">IFERROR(INDEX(Üldreiting!$K:$K,MATCH(N26,Üldreiting!$I:$I,0)),"")</f>
        <v>108</v>
      </c>
      <c r="P26" s="413" t="str">
        <f t="shared" si="5"/>
        <v>Kalju Olmre</v>
      </c>
      <c r="Q26" s="414">
        <f ca="1">IFERROR(INDEX(Üldreiting!$K:$K,MATCH(P26,Üldreiting!$I:$I,0)),"")</f>
        <v>73</v>
      </c>
      <c r="R26" s="413" t="str">
        <f t="shared" si="6"/>
        <v>Thibaut Sergeï Mathon</v>
      </c>
      <c r="S26" s="414">
        <f ca="1">IFERROR(INDEX(Üldreiting!$K:$K,MATCH(R26,Üldreiting!$I:$I,0)),"")</f>
        <v>78</v>
      </c>
      <c r="T26" s="415" t="str">
        <f t="shared" si="0"/>
        <v/>
      </c>
      <c r="U26" s="414" t="str">
        <f>IFERROR(INDEX(Üldreiting!$K:$K,MATCH(T26,Üldreiting!$I:$I,0)),"")</f>
        <v/>
      </c>
      <c r="V26" s="413" t="str">
        <f t="shared" si="7"/>
        <v/>
      </c>
      <c r="W26" s="414" t="str">
        <f>IFERROR(INDEX(Üldreiting!$K:$K,MATCH(V26,Üldreiting!$I:$I,0)),"")</f>
        <v/>
      </c>
      <c r="X26" s="30"/>
    </row>
    <row r="27" spans="1:24" x14ac:dyDescent="0.2">
      <c r="A27" s="518" t="s">
        <v>275</v>
      </c>
      <c r="B27" s="534" t="s">
        <v>540</v>
      </c>
      <c r="C27" s="520">
        <f t="shared" si="16"/>
        <v>0</v>
      </c>
      <c r="D27" s="521">
        <v>8</v>
      </c>
      <c r="E27" s="764" t="s">
        <v>786</v>
      </c>
      <c r="F27" s="523">
        <v>13</v>
      </c>
      <c r="G27" s="520">
        <f t="shared" si="17"/>
        <v>1</v>
      </c>
      <c r="H27" s="787" t="s">
        <v>885</v>
      </c>
      <c r="I27" s="788"/>
      <c r="J27" s="789"/>
      <c r="K27" s="556" t="s">
        <v>276</v>
      </c>
      <c r="L27" s="30"/>
      <c r="M27" s="767">
        <f t="shared" ca="1" si="15"/>
        <v>160</v>
      </c>
      <c r="N27" s="413" t="str">
        <f t="shared" si="4"/>
        <v>Aigi Orro</v>
      </c>
      <c r="O27" s="414">
        <f ca="1">IFERROR(INDEX(Üldreiting!$K:$K,MATCH(N27,Üldreiting!$I:$I,0)),"")</f>
        <v>58</v>
      </c>
      <c r="P27" s="413" t="str">
        <f t="shared" si="5"/>
        <v>Elmo Lageda</v>
      </c>
      <c r="Q27" s="414">
        <f ca="1">IFERROR(INDEX(Üldreiting!$K:$K,MATCH(P27,Üldreiting!$I:$I,0)),"")</f>
        <v>44</v>
      </c>
      <c r="R27" s="413" t="str">
        <f t="shared" si="6"/>
        <v>Kalle Orro</v>
      </c>
      <c r="S27" s="414">
        <f ca="1">IFERROR(INDEX(Üldreiting!$K:$K,MATCH(R27,Üldreiting!$I:$I,0)),"")</f>
        <v>58</v>
      </c>
      <c r="T27" s="415" t="str">
        <f t="shared" si="0"/>
        <v/>
      </c>
      <c r="U27" s="414" t="str">
        <f>IFERROR(INDEX(Üldreiting!$K:$K,MATCH(T27,Üldreiting!$I:$I,0)),"")</f>
        <v/>
      </c>
      <c r="V27" s="413" t="str">
        <f t="shared" si="7"/>
        <v/>
      </c>
      <c r="W27" s="414" t="str">
        <f>IFERROR(INDEX(Üldreiting!$K:$K,MATCH(V27,Üldreiting!$I:$I,0)),"")</f>
        <v/>
      </c>
      <c r="X27" s="30"/>
    </row>
    <row r="28" spans="1:24" x14ac:dyDescent="0.2">
      <c r="A28" s="518" t="s">
        <v>87</v>
      </c>
      <c r="B28" s="534" t="s">
        <v>778</v>
      </c>
      <c r="C28" s="520">
        <f t="shared" si="16"/>
        <v>0</v>
      </c>
      <c r="D28" s="521">
        <v>8</v>
      </c>
      <c r="E28" s="764" t="s">
        <v>786</v>
      </c>
      <c r="F28" s="523">
        <v>13</v>
      </c>
      <c r="G28" s="520">
        <f t="shared" si="17"/>
        <v>1</v>
      </c>
      <c r="H28" s="787" t="s">
        <v>849</v>
      </c>
      <c r="I28" s="788"/>
      <c r="J28" s="789"/>
      <c r="K28" s="556" t="s">
        <v>296</v>
      </c>
      <c r="L28" s="30"/>
      <c r="M28" s="767">
        <f t="shared" ca="1" si="15"/>
        <v>85</v>
      </c>
      <c r="N28" s="413" t="str">
        <f t="shared" si="4"/>
        <v>Jaan Sepp</v>
      </c>
      <c r="O28" s="414">
        <f ca="1">IFERROR(INDEX(Üldreiting!$K:$K,MATCH(N28,Üldreiting!$I:$I,0)),"")</f>
        <v>11</v>
      </c>
      <c r="P28" s="413" t="str">
        <f t="shared" si="5"/>
        <v>Mait Metsla</v>
      </c>
      <c r="Q28" s="414">
        <f ca="1">IFERROR(INDEX(Üldreiting!$K:$K,MATCH(P28,Üldreiting!$I:$I,0)),"")</f>
        <v>37</v>
      </c>
      <c r="R28" s="413" t="str">
        <f t="shared" si="6"/>
        <v>Oskar Sepp</v>
      </c>
      <c r="S28" s="414">
        <f ca="1">IFERROR(INDEX(Üldreiting!$K:$K,MATCH(R28,Üldreiting!$I:$I,0)),"")</f>
        <v>37</v>
      </c>
      <c r="T28" s="415" t="str">
        <f t="shared" si="0"/>
        <v/>
      </c>
      <c r="U28" s="414" t="str">
        <f>IFERROR(INDEX(Üldreiting!$K:$K,MATCH(T28,Üldreiting!$I:$I,0)),"")</f>
        <v/>
      </c>
      <c r="V28" s="413" t="str">
        <f t="shared" si="7"/>
        <v/>
      </c>
      <c r="W28" s="414" t="str">
        <f>IFERROR(INDEX(Üldreiting!$K:$K,MATCH(V28,Üldreiting!$I:$I,0)),"")</f>
        <v/>
      </c>
      <c r="X28" s="30"/>
    </row>
    <row r="29" spans="1:24" x14ac:dyDescent="0.2">
      <c r="A29" s="518" t="s">
        <v>607</v>
      </c>
      <c r="B29" s="777" t="s">
        <v>851</v>
      </c>
      <c r="C29" s="520">
        <f t="shared" si="16"/>
        <v>0</v>
      </c>
      <c r="D29" s="521">
        <v>5</v>
      </c>
      <c r="E29" s="764" t="s">
        <v>786</v>
      </c>
      <c r="F29" s="523">
        <v>13</v>
      </c>
      <c r="G29" s="520">
        <f t="shared" si="17"/>
        <v>1</v>
      </c>
      <c r="H29" s="787" t="s">
        <v>853</v>
      </c>
      <c r="I29" s="788"/>
      <c r="J29" s="789"/>
      <c r="K29" s="556" t="s">
        <v>295</v>
      </c>
      <c r="M29" s="767">
        <f t="shared" ca="1" si="15"/>
        <v>85</v>
      </c>
      <c r="N29" s="413" t="str">
        <f t="shared" si="4"/>
        <v>Katri Aavekukk</v>
      </c>
      <c r="O29" s="414">
        <f ca="1">IFERROR(INDEX(Üldreiting!$K:$K,MATCH(N29,Üldreiting!$I:$I,0)),"")</f>
        <v>61</v>
      </c>
      <c r="P29" s="413" t="str">
        <f t="shared" si="5"/>
        <v>Külli Kariste</v>
      </c>
      <c r="Q29" s="414">
        <f ca="1">IFERROR(INDEX(Üldreiting!$K:$K,MATCH(P29,Üldreiting!$I:$I,0)),"")</f>
        <v>18</v>
      </c>
      <c r="R29" s="413" t="str">
        <f t="shared" si="6"/>
        <v>Urmo Auväärt</v>
      </c>
      <c r="S29" s="414">
        <f ca="1">IFERROR(INDEX(Üldreiting!$K:$K,MATCH(R29,Üldreiting!$I:$I,0)),"")</f>
        <v>6</v>
      </c>
      <c r="T29" s="415" t="str">
        <f t="shared" si="0"/>
        <v/>
      </c>
      <c r="U29" s="414" t="str">
        <f>IFERROR(INDEX(Üldreiting!$K:$K,MATCH(T29,Üldreiting!$I:$I,0)),"")</f>
        <v/>
      </c>
      <c r="V29" s="413" t="str">
        <f t="shared" si="7"/>
        <v/>
      </c>
      <c r="W29" s="414" t="str">
        <f>IFERROR(INDEX(Üldreiting!$K:$K,MATCH(V29,Üldreiting!$I:$I,0)),"")</f>
        <v/>
      </c>
    </row>
    <row r="30" spans="1:24" x14ac:dyDescent="0.2">
      <c r="A30" s="518" t="s">
        <v>294</v>
      </c>
      <c r="B30" s="534" t="s">
        <v>539</v>
      </c>
      <c r="C30" s="520">
        <f t="shared" ref="C30" si="18">IF(D30=13,1,0)</f>
        <v>1</v>
      </c>
      <c r="D30" s="521">
        <v>13</v>
      </c>
      <c r="E30" s="764" t="s">
        <v>786</v>
      </c>
      <c r="F30" s="523">
        <v>10</v>
      </c>
      <c r="G30" s="520">
        <f t="shared" ref="G30" si="19">IF(F30=13,1,0)</f>
        <v>0</v>
      </c>
      <c r="H30" s="787" t="s">
        <v>850</v>
      </c>
      <c r="I30" s="788"/>
      <c r="J30" s="789"/>
      <c r="K30" s="556" t="s">
        <v>195</v>
      </c>
      <c r="L30" s="30"/>
      <c r="M30" s="767">
        <f t="shared" ca="1" si="15"/>
        <v>146</v>
      </c>
      <c r="N30" s="413" t="str">
        <f t="shared" si="4"/>
        <v>Janek Kiisk</v>
      </c>
      <c r="O30" s="414">
        <f ca="1">IFERROR(INDEX(Üldreiting!$K:$K,MATCH(N30,Üldreiting!$I:$I,0)),"")</f>
        <v>49</v>
      </c>
      <c r="P30" s="413" t="str">
        <f t="shared" si="5"/>
        <v>Marek Lehis</v>
      </c>
      <c r="Q30" s="414">
        <f ca="1">IFERROR(INDEX(Üldreiting!$K:$K,MATCH(P30,Üldreiting!$I:$I,0)),"")</f>
        <v>49</v>
      </c>
      <c r="R30" s="413" t="str">
        <f t="shared" si="6"/>
        <v>Margo Peebo</v>
      </c>
      <c r="S30" s="414">
        <f ca="1">IFERROR(INDEX(Üldreiting!$K:$K,MATCH(R30,Üldreiting!$I:$I,0)),"")</f>
        <v>48</v>
      </c>
      <c r="T30" s="415" t="str">
        <f t="shared" si="0"/>
        <v/>
      </c>
      <c r="U30" s="414" t="str">
        <f>IFERROR(INDEX(Üldreiting!$K:$K,MATCH(T30,Üldreiting!$I:$I,0)),"")</f>
        <v/>
      </c>
      <c r="V30" s="413" t="str">
        <f t="shared" si="7"/>
        <v/>
      </c>
      <c r="W30" s="414" t="str">
        <f>IFERROR(INDEX(Üldreiting!$K:$K,MATCH(V30,Üldreiting!$I:$I,0)),"")</f>
        <v/>
      </c>
      <c r="X30" s="30"/>
    </row>
    <row r="31" spans="1:24" x14ac:dyDescent="0.2">
      <c r="A31" s="518" t="s">
        <v>293</v>
      </c>
      <c r="B31" s="534" t="s">
        <v>854</v>
      </c>
      <c r="C31" s="520">
        <f t="shared" si="16"/>
        <v>1</v>
      </c>
      <c r="D31" s="521">
        <v>13</v>
      </c>
      <c r="E31" s="764" t="s">
        <v>786</v>
      </c>
      <c r="F31" s="523"/>
      <c r="G31" s="520">
        <f t="shared" si="17"/>
        <v>0</v>
      </c>
      <c r="H31" s="792"/>
      <c r="I31" s="788"/>
      <c r="J31" s="789"/>
      <c r="K31" s="556"/>
      <c r="L31" s="30"/>
      <c r="M31" s="767">
        <f t="shared" ca="1" si="15"/>
        <v>155</v>
      </c>
      <c r="N31" s="413" t="str">
        <f t="shared" si="4"/>
        <v>Kadri Arunurm</v>
      </c>
      <c r="O31" s="414">
        <f ca="1">IFERROR(INDEX(Üldreiting!$K:$K,MATCH(N31,Üldreiting!$I:$I,0)),"")</f>
        <v>53</v>
      </c>
      <c r="P31" s="413" t="str">
        <f t="shared" si="5"/>
        <v>Sirje Viljaste</v>
      </c>
      <c r="Q31" s="414">
        <f ca="1">IFERROR(INDEX(Üldreiting!$K:$K,MATCH(P31,Üldreiting!$I:$I,0)),"")</f>
        <v>59</v>
      </c>
      <c r="R31" s="413" t="str">
        <f t="shared" si="6"/>
        <v>Triin Gretel Tauk</v>
      </c>
      <c r="S31" s="414">
        <f ca="1">IFERROR(INDEX(Üldreiting!$K:$K,MATCH(R31,Üldreiting!$I:$I,0)),"")</f>
        <v>43</v>
      </c>
      <c r="T31" s="415" t="str">
        <f t="shared" si="0"/>
        <v/>
      </c>
      <c r="U31" s="414" t="str">
        <f>IFERROR(INDEX(Üldreiting!$K:$K,MATCH(T31,Üldreiting!$I:$I,0)),"")</f>
        <v/>
      </c>
      <c r="V31" s="413" t="str">
        <f t="shared" si="7"/>
        <v/>
      </c>
      <c r="W31" s="414" t="str">
        <f>IFERROR(INDEX(Üldreiting!$K:$K,MATCH(V31,Üldreiting!$I:$I,0)),"")</f>
        <v/>
      </c>
      <c r="X31" s="30"/>
    </row>
    <row r="32" spans="1:24" hidden="1" x14ac:dyDescent="0.2">
      <c r="A32" s="532"/>
      <c r="B32" s="78"/>
      <c r="C32" s="527"/>
      <c r="D32" s="527"/>
      <c r="E32" s="528"/>
      <c r="F32" s="527"/>
      <c r="G32" s="527"/>
      <c r="H32" s="243"/>
      <c r="L32" s="30"/>
      <c r="M32" s="767">
        <f t="shared" si="15"/>
        <v>0</v>
      </c>
      <c r="N32" s="413" t="str">
        <f t="shared" si="4"/>
        <v/>
      </c>
      <c r="O32" s="414" t="str">
        <f>IFERROR(INDEX(Üldreiting!$K:$K,MATCH(N32,Üldreiting!$I:$I,0)),"")</f>
        <v/>
      </c>
      <c r="P32" s="413" t="str">
        <f t="shared" si="5"/>
        <v/>
      </c>
      <c r="Q32" s="414" t="str">
        <f>IFERROR(INDEX(Üldreiting!$K:$K,MATCH(P32,Üldreiting!$I:$I,0)),"")</f>
        <v/>
      </c>
      <c r="R32" s="413" t="str">
        <f t="shared" si="6"/>
        <v/>
      </c>
      <c r="S32" s="414" t="str">
        <f>IFERROR(INDEX(Üldreiting!$K:$K,MATCH(R32,Üldreiting!$I:$I,0)),"")</f>
        <v/>
      </c>
      <c r="T32" s="415" t="str">
        <f t="shared" si="0"/>
        <v/>
      </c>
      <c r="U32" s="414" t="str">
        <f>IFERROR(INDEX(Üldreiting!$K:$K,MATCH(T32,Üldreiting!$I:$I,0)),"")</f>
        <v/>
      </c>
      <c r="V32" s="413" t="str">
        <f t="shared" si="7"/>
        <v/>
      </c>
      <c r="W32" s="414" t="str">
        <f>IFERROR(INDEX(Üldreiting!$K:$K,MATCH(V32,Üldreiting!$I:$I,0)),"")</f>
        <v/>
      </c>
      <c r="X32" s="30"/>
    </row>
    <row r="33" spans="1:26" hidden="1" x14ac:dyDescent="0.2">
      <c r="A33" s="513" t="s">
        <v>726</v>
      </c>
      <c r="B33" s="514"/>
      <c r="C33" s="515" t="s">
        <v>610</v>
      </c>
      <c r="D33" s="514"/>
      <c r="E33" s="765" t="s">
        <v>785</v>
      </c>
      <c r="F33" s="765"/>
      <c r="G33" s="515" t="s">
        <v>610</v>
      </c>
      <c r="L33" s="30"/>
      <c r="M33" s="767">
        <f t="shared" si="15"/>
        <v>0</v>
      </c>
      <c r="N33" s="413" t="str">
        <f t="shared" si="4"/>
        <v/>
      </c>
      <c r="O33" s="414" t="str">
        <f>IFERROR(INDEX(Üldreiting!$K:$K,MATCH(N33,Üldreiting!$I:$I,0)),"")</f>
        <v/>
      </c>
      <c r="P33" s="413" t="str">
        <f t="shared" si="5"/>
        <v/>
      </c>
      <c r="Q33" s="414" t="str">
        <f>IFERROR(INDEX(Üldreiting!$K:$K,MATCH(P33,Üldreiting!$I:$I,0)),"")</f>
        <v/>
      </c>
      <c r="R33" s="413" t="str">
        <f t="shared" si="6"/>
        <v/>
      </c>
      <c r="S33" s="414" t="str">
        <f>IFERROR(INDEX(Üldreiting!$K:$K,MATCH(R33,Üldreiting!$I:$I,0)),"")</f>
        <v/>
      </c>
      <c r="T33" s="415" t="str">
        <f t="shared" si="0"/>
        <v/>
      </c>
      <c r="U33" s="414" t="str">
        <f>IFERROR(INDEX(Üldreiting!$K:$K,MATCH(T33,Üldreiting!$I:$I,0)),"")</f>
        <v/>
      </c>
      <c r="V33" s="413" t="str">
        <f t="shared" si="7"/>
        <v/>
      </c>
      <c r="W33" s="414" t="str">
        <f>IFERROR(INDEX(Üldreiting!$K:$K,MATCH(V33,Üldreiting!$I:$I,0)),"")</f>
        <v/>
      </c>
      <c r="X33" s="30"/>
      <c r="Z33" s="319" t="s">
        <v>888</v>
      </c>
    </row>
    <row r="34" spans="1:26" hidden="1" x14ac:dyDescent="0.2">
      <c r="A34" s="518"/>
      <c r="B34" s="534"/>
      <c r="C34" s="520">
        <f>IF(D34=13,1,0)</f>
        <v>0</v>
      </c>
      <c r="D34" s="521"/>
      <c r="E34" s="764" t="s">
        <v>786</v>
      </c>
      <c r="F34" s="531"/>
      <c r="G34" s="520">
        <f>IF(F34=13,1,0)</f>
        <v>0</v>
      </c>
      <c r="H34" s="524"/>
      <c r="I34" s="556"/>
      <c r="L34" s="30"/>
      <c r="M34" s="767">
        <f t="shared" si="15"/>
        <v>0</v>
      </c>
      <c r="N34" s="413" t="str">
        <f t="shared" si="4"/>
        <v/>
      </c>
      <c r="O34" s="414" t="str">
        <f>IFERROR(INDEX(Üldreiting!$K:$K,MATCH(N34,Üldreiting!$I:$I,0)),"")</f>
        <v/>
      </c>
      <c r="P34" s="413" t="str">
        <f t="shared" si="5"/>
        <v/>
      </c>
      <c r="Q34" s="414" t="str">
        <f>IFERROR(INDEX(Üldreiting!$K:$K,MATCH(P34,Üldreiting!$I:$I,0)),"")</f>
        <v/>
      </c>
      <c r="R34" s="413" t="str">
        <f t="shared" si="6"/>
        <v/>
      </c>
      <c r="S34" s="414" t="str">
        <f>IFERROR(INDEX(Üldreiting!$K:$K,MATCH(R34,Üldreiting!$I:$I,0)),"")</f>
        <v/>
      </c>
      <c r="T34" s="415" t="str">
        <f t="shared" si="0"/>
        <v/>
      </c>
      <c r="U34" s="414" t="str">
        <f>IFERROR(INDEX(Üldreiting!$K:$K,MATCH(T34,Üldreiting!$I:$I,0)),"")</f>
        <v/>
      </c>
      <c r="V34" s="413" t="str">
        <f t="shared" si="7"/>
        <v/>
      </c>
      <c r="W34" s="414" t="str">
        <f>IFERROR(INDEX(Üldreiting!$K:$K,MATCH(V34,Üldreiting!$I:$I,0)),"")</f>
        <v/>
      </c>
      <c r="X34" s="30"/>
    </row>
    <row r="35" spans="1:26" hidden="1" x14ac:dyDescent="0.2">
      <c r="A35" s="518"/>
      <c r="B35" s="777"/>
      <c r="C35" s="520">
        <f t="shared" ref="C35:C40" si="20">IF(D35=13,1,0)</f>
        <v>0</v>
      </c>
      <c r="D35" s="521"/>
      <c r="E35" s="764" t="s">
        <v>786</v>
      </c>
      <c r="F35" s="531"/>
      <c r="G35" s="520">
        <f t="shared" ref="G35:G40" si="21">IF(F35=13,1,0)</f>
        <v>0</v>
      </c>
      <c r="H35" s="519"/>
      <c r="I35" s="556"/>
      <c r="M35" s="767">
        <f t="shared" si="15"/>
        <v>0</v>
      </c>
      <c r="N35" s="413" t="str">
        <f t="shared" si="4"/>
        <v/>
      </c>
      <c r="O35" s="414" t="str">
        <f>IFERROR(INDEX(Üldreiting!$K:$K,MATCH(N35,Üldreiting!$I:$I,0)),"")</f>
        <v/>
      </c>
      <c r="P35" s="413" t="str">
        <f t="shared" si="5"/>
        <v/>
      </c>
      <c r="Q35" s="414" t="str">
        <f>IFERROR(INDEX(Üldreiting!$K:$K,MATCH(P35,Üldreiting!$I:$I,0)),"")</f>
        <v/>
      </c>
      <c r="R35" s="413" t="str">
        <f t="shared" si="6"/>
        <v/>
      </c>
      <c r="S35" s="414" t="str">
        <f>IFERROR(INDEX(Üldreiting!$K:$K,MATCH(R35,Üldreiting!$I:$I,0)),"")</f>
        <v/>
      </c>
      <c r="T35" s="415" t="str">
        <f t="shared" si="0"/>
        <v/>
      </c>
      <c r="U35" s="414" t="str">
        <f>IFERROR(INDEX(Üldreiting!$K:$K,MATCH(T35,Üldreiting!$I:$I,0)),"")</f>
        <v/>
      </c>
      <c r="V35" s="413" t="str">
        <f t="shared" si="7"/>
        <v/>
      </c>
      <c r="W35" s="414" t="str">
        <f>IFERROR(INDEX(Üldreiting!$K:$K,MATCH(V35,Üldreiting!$I:$I,0)),"")</f>
        <v/>
      </c>
    </row>
    <row r="36" spans="1:26" hidden="1" x14ac:dyDescent="0.2">
      <c r="A36" s="518"/>
      <c r="B36" s="534"/>
      <c r="C36" s="520">
        <f t="shared" si="20"/>
        <v>0</v>
      </c>
      <c r="D36" s="521"/>
      <c r="E36" s="764" t="s">
        <v>786</v>
      </c>
      <c r="F36" s="523"/>
      <c r="G36" s="520">
        <f t="shared" si="21"/>
        <v>0</v>
      </c>
      <c r="H36" s="525"/>
      <c r="I36" s="556"/>
      <c r="M36" s="767">
        <f t="shared" si="15"/>
        <v>0</v>
      </c>
      <c r="N36" s="413" t="str">
        <f t="shared" si="4"/>
        <v/>
      </c>
      <c r="O36" s="414" t="str">
        <f>IFERROR(INDEX(Üldreiting!$K:$K,MATCH(N36,Üldreiting!$I:$I,0)),"")</f>
        <v/>
      </c>
      <c r="P36" s="413" t="str">
        <f t="shared" si="5"/>
        <v/>
      </c>
      <c r="Q36" s="414" t="str">
        <f>IFERROR(INDEX(Üldreiting!$K:$K,MATCH(P36,Üldreiting!$I:$I,0)),"")</f>
        <v/>
      </c>
      <c r="R36" s="413" t="str">
        <f t="shared" si="6"/>
        <v/>
      </c>
      <c r="S36" s="414" t="str">
        <f>IFERROR(INDEX(Üldreiting!$K:$K,MATCH(R36,Üldreiting!$I:$I,0)),"")</f>
        <v/>
      </c>
      <c r="T36" s="415" t="str">
        <f t="shared" si="0"/>
        <v/>
      </c>
      <c r="U36" s="414" t="str">
        <f>IFERROR(INDEX(Üldreiting!$K:$K,MATCH(T36,Üldreiting!$I:$I,0)),"")</f>
        <v/>
      </c>
      <c r="V36" s="413" t="str">
        <f t="shared" si="7"/>
        <v/>
      </c>
      <c r="W36" s="414" t="str">
        <f>IFERROR(INDEX(Üldreiting!$K:$K,MATCH(V36,Üldreiting!$I:$I,0)),"")</f>
        <v/>
      </c>
    </row>
    <row r="37" spans="1:26" hidden="1" x14ac:dyDescent="0.2">
      <c r="A37" s="518"/>
      <c r="B37" s="378"/>
      <c r="C37" s="520">
        <f t="shared" si="20"/>
        <v>0</v>
      </c>
      <c r="D37" s="521"/>
      <c r="E37" s="764" t="s">
        <v>786</v>
      </c>
      <c r="F37" s="523"/>
      <c r="G37" s="520">
        <f t="shared" si="21"/>
        <v>0</v>
      </c>
      <c r="H37" s="519"/>
      <c r="I37" s="556"/>
      <c r="M37" s="767">
        <f t="shared" si="15"/>
        <v>0</v>
      </c>
      <c r="N37" s="413" t="str">
        <f t="shared" si="4"/>
        <v/>
      </c>
      <c r="O37" s="414" t="str">
        <f>IFERROR(INDEX(Üldreiting!$K:$K,MATCH(N37,Üldreiting!$I:$I,0)),"")</f>
        <v/>
      </c>
      <c r="P37" s="413" t="str">
        <f t="shared" si="5"/>
        <v/>
      </c>
      <c r="Q37" s="414" t="str">
        <f>IFERROR(INDEX(Üldreiting!$K:$K,MATCH(P37,Üldreiting!$I:$I,0)),"")</f>
        <v/>
      </c>
      <c r="R37" s="413" t="str">
        <f t="shared" si="6"/>
        <v/>
      </c>
      <c r="S37" s="414" t="str">
        <f>IFERROR(INDEX(Üldreiting!$K:$K,MATCH(R37,Üldreiting!$I:$I,0)),"")</f>
        <v/>
      </c>
      <c r="T37" s="415" t="str">
        <f t="shared" si="0"/>
        <v/>
      </c>
      <c r="U37" s="414" t="str">
        <f>IFERROR(INDEX(Üldreiting!$K:$K,MATCH(T37,Üldreiting!$I:$I,0)),"")</f>
        <v/>
      </c>
      <c r="V37" s="413" t="str">
        <f t="shared" si="7"/>
        <v/>
      </c>
      <c r="W37" s="414" t="str">
        <f>IFERROR(INDEX(Üldreiting!$K:$K,MATCH(V37,Üldreiting!$I:$I,0)),"")</f>
        <v/>
      </c>
    </row>
    <row r="38" spans="1:26" hidden="1" x14ac:dyDescent="0.2">
      <c r="A38" s="518"/>
      <c r="B38" s="534"/>
      <c r="C38" s="520">
        <f t="shared" si="20"/>
        <v>0</v>
      </c>
      <c r="D38" s="521"/>
      <c r="E38" s="764" t="s">
        <v>786</v>
      </c>
      <c r="F38" s="523"/>
      <c r="G38" s="520">
        <f t="shared" si="21"/>
        <v>0</v>
      </c>
      <c r="H38" s="525"/>
      <c r="I38" s="556"/>
      <c r="M38" s="767">
        <f t="shared" si="15"/>
        <v>0</v>
      </c>
      <c r="N38" s="413" t="str">
        <f t="shared" si="4"/>
        <v/>
      </c>
      <c r="O38" s="414" t="str">
        <f>IFERROR(INDEX(Üldreiting!$K:$K,MATCH(N38,Üldreiting!$I:$I,0)),"")</f>
        <v/>
      </c>
      <c r="P38" s="413" t="str">
        <f t="shared" si="5"/>
        <v/>
      </c>
      <c r="Q38" s="414" t="str">
        <f>IFERROR(INDEX(Üldreiting!$K:$K,MATCH(P38,Üldreiting!$I:$I,0)),"")</f>
        <v/>
      </c>
      <c r="R38" s="413" t="str">
        <f t="shared" si="6"/>
        <v/>
      </c>
      <c r="S38" s="414" t="str">
        <f>IFERROR(INDEX(Üldreiting!$K:$K,MATCH(R38,Üldreiting!$I:$I,0)),"")</f>
        <v/>
      </c>
      <c r="T38" s="415" t="str">
        <f t="shared" si="0"/>
        <v/>
      </c>
      <c r="U38" s="414" t="str">
        <f>IFERROR(INDEX(Üldreiting!$K:$K,MATCH(T38,Üldreiting!$I:$I,0)),"")</f>
        <v/>
      </c>
      <c r="V38" s="413" t="str">
        <f t="shared" si="7"/>
        <v/>
      </c>
      <c r="W38" s="414" t="str">
        <f>IFERROR(INDEX(Üldreiting!$K:$K,MATCH(V38,Üldreiting!$I:$I,0)),"")</f>
        <v/>
      </c>
    </row>
    <row r="39" spans="1:26" hidden="1" x14ac:dyDescent="0.2">
      <c r="A39" s="518"/>
      <c r="B39" s="534"/>
      <c r="C39" s="520">
        <f t="shared" ref="C39" si="22">IF(D39=13,1,0)</f>
        <v>0</v>
      </c>
      <c r="D39" s="521"/>
      <c r="E39" s="764" t="s">
        <v>786</v>
      </c>
      <c r="F39" s="523"/>
      <c r="G39" s="520">
        <f t="shared" ref="G39" si="23">IF(F39=13,1,0)</f>
        <v>0</v>
      </c>
      <c r="H39" s="525"/>
      <c r="I39" s="556"/>
      <c r="M39" s="767">
        <f t="shared" si="15"/>
        <v>0</v>
      </c>
      <c r="N39" s="413" t="str">
        <f t="shared" si="4"/>
        <v/>
      </c>
      <c r="O39" s="414" t="str">
        <f>IFERROR(INDEX(Üldreiting!$K:$K,MATCH(N39,Üldreiting!$I:$I,0)),"")</f>
        <v/>
      </c>
      <c r="P39" s="413" t="str">
        <f t="shared" si="5"/>
        <v/>
      </c>
      <c r="Q39" s="414" t="str">
        <f>IFERROR(INDEX(Üldreiting!$K:$K,MATCH(P39,Üldreiting!$I:$I,0)),"")</f>
        <v/>
      </c>
      <c r="R39" s="413" t="str">
        <f t="shared" si="6"/>
        <v/>
      </c>
      <c r="S39" s="414" t="str">
        <f>IFERROR(INDEX(Üldreiting!$K:$K,MATCH(R39,Üldreiting!$I:$I,0)),"")</f>
        <v/>
      </c>
      <c r="T39" s="415" t="str">
        <f t="shared" si="0"/>
        <v/>
      </c>
      <c r="U39" s="414" t="str">
        <f>IFERROR(INDEX(Üldreiting!$K:$K,MATCH(T39,Üldreiting!$I:$I,0)),"")</f>
        <v/>
      </c>
      <c r="V39" s="413" t="str">
        <f t="shared" si="7"/>
        <v/>
      </c>
      <c r="W39" s="414" t="str">
        <f>IFERROR(INDEX(Üldreiting!$K:$K,MATCH(V39,Üldreiting!$I:$I,0)),"")</f>
        <v/>
      </c>
    </row>
    <row r="40" spans="1:26" hidden="1" x14ac:dyDescent="0.2">
      <c r="A40" s="518"/>
      <c r="B40" s="526"/>
      <c r="C40" s="520">
        <f t="shared" si="20"/>
        <v>0</v>
      </c>
      <c r="D40" s="521"/>
      <c r="E40" s="764" t="s">
        <v>786</v>
      </c>
      <c r="F40" s="523"/>
      <c r="G40" s="520">
        <f t="shared" si="21"/>
        <v>0</v>
      </c>
      <c r="H40" s="526"/>
      <c r="I40" s="556"/>
      <c r="M40" s="420">
        <f t="shared" si="15"/>
        <v>0</v>
      </c>
      <c r="N40" s="413" t="str">
        <f t="shared" si="4"/>
        <v/>
      </c>
      <c r="O40" s="414" t="str">
        <f>IFERROR(INDEX(Üldreiting!$K:$K,MATCH(N40,Üldreiting!$I:$I,0)),"")</f>
        <v/>
      </c>
      <c r="P40" s="413" t="str">
        <f t="shared" si="5"/>
        <v/>
      </c>
      <c r="Q40" s="414" t="str">
        <f>IFERROR(INDEX(Üldreiting!$K:$K,MATCH(P40,Üldreiting!$I:$I,0)),"")</f>
        <v/>
      </c>
      <c r="R40" s="413" t="str">
        <f t="shared" si="6"/>
        <v/>
      </c>
      <c r="S40" s="414" t="str">
        <f>IFERROR(INDEX(Üldreiting!$K:$K,MATCH(R40,Üldreiting!$I:$I,0)),"")</f>
        <v/>
      </c>
      <c r="T40" s="415" t="str">
        <f t="shared" si="0"/>
        <v/>
      </c>
      <c r="U40" s="414" t="str">
        <f>IFERROR(INDEX(Üldreiting!$K:$K,MATCH(T40,Üldreiting!$I:$I,0)),"")</f>
        <v/>
      </c>
      <c r="V40" s="413" t="str">
        <f t="shared" si="7"/>
        <v/>
      </c>
      <c r="W40" s="414" t="str">
        <f>IFERROR(INDEX(Üldreiting!$K:$K,MATCH(V40,Üldreiting!$I:$I,0)),"")</f>
        <v/>
      </c>
    </row>
    <row r="42" spans="1:26" hidden="1" x14ac:dyDescent="0.2"/>
    <row r="43" spans="1:26" hidden="1" x14ac:dyDescent="0.2"/>
    <row r="44" spans="1:26" hidden="1" x14ac:dyDescent="0.2"/>
    <row r="45" spans="1:26" hidden="1" x14ac:dyDescent="0.2"/>
    <row r="46" spans="1:26" hidden="1" x14ac:dyDescent="0.2"/>
    <row r="47" spans="1:26" hidden="1" x14ac:dyDescent="0.2"/>
    <row r="48" spans="1:26" hidden="1" x14ac:dyDescent="0.2"/>
    <row r="49" spans="1:8" hidden="1" x14ac:dyDescent="0.2"/>
    <row r="50" spans="1:8" x14ac:dyDescent="0.2">
      <c r="A50" s="535" t="s">
        <v>889</v>
      </c>
      <c r="B50" s="529"/>
      <c r="C50" s="527"/>
      <c r="D50" s="528"/>
      <c r="E50" s="527"/>
      <c r="F50" s="536"/>
      <c r="G50" s="402"/>
    </row>
    <row r="51" spans="1:8" x14ac:dyDescent="0.2">
      <c r="A51" s="535"/>
      <c r="B51" s="529"/>
      <c r="C51" s="527"/>
      <c r="D51" s="528"/>
      <c r="E51" s="527"/>
      <c r="F51" s="536"/>
      <c r="G51" s="402"/>
    </row>
    <row r="52" spans="1:8" x14ac:dyDescent="0.2">
      <c r="A52" s="518"/>
      <c r="B52" s="529"/>
      <c r="C52" s="537" t="s">
        <v>64</v>
      </c>
      <c r="D52" s="919" t="s">
        <v>65</v>
      </c>
      <c r="E52" s="919"/>
      <c r="F52" s="533" t="s">
        <v>66</v>
      </c>
      <c r="G52" s="538"/>
    </row>
    <row r="53" spans="1:8" x14ac:dyDescent="0.2">
      <c r="A53" s="518"/>
      <c r="B53" s="539"/>
      <c r="C53" s="540" t="s">
        <v>788</v>
      </c>
      <c r="D53" s="920" t="s">
        <v>789</v>
      </c>
      <c r="E53" s="921"/>
      <c r="F53" s="539" t="s">
        <v>785</v>
      </c>
      <c r="G53" s="536"/>
    </row>
    <row r="54" spans="1:8" x14ac:dyDescent="0.2">
      <c r="A54" s="518">
        <v>1</v>
      </c>
      <c r="B54" s="534" t="s">
        <v>856</v>
      </c>
      <c r="C54" s="543">
        <v>3</v>
      </c>
      <c r="D54" s="918">
        <v>10</v>
      </c>
      <c r="E54" s="918"/>
      <c r="F54" s="579" t="s">
        <v>902</v>
      </c>
      <c r="G54" s="561" t="s">
        <v>890</v>
      </c>
    </row>
    <row r="55" spans="1:8" x14ac:dyDescent="0.2">
      <c r="A55" s="518">
        <v>2</v>
      </c>
      <c r="B55" s="780" t="s">
        <v>848</v>
      </c>
      <c r="C55" s="543">
        <v>3</v>
      </c>
      <c r="D55" s="918">
        <v>4</v>
      </c>
      <c r="E55" s="918"/>
      <c r="F55" s="579" t="s">
        <v>903</v>
      </c>
      <c r="G55" s="561" t="s">
        <v>891</v>
      </c>
    </row>
    <row r="56" spans="1:8" x14ac:dyDescent="0.2">
      <c r="A56" s="518">
        <v>3</v>
      </c>
      <c r="B56" s="378" t="s">
        <v>864</v>
      </c>
      <c r="C56" s="778">
        <v>2</v>
      </c>
      <c r="D56" s="918">
        <v>12</v>
      </c>
      <c r="E56" s="918"/>
      <c r="F56" s="579" t="s">
        <v>832</v>
      </c>
      <c r="G56" s="561" t="s">
        <v>892</v>
      </c>
    </row>
    <row r="57" spans="1:8" x14ac:dyDescent="0.2">
      <c r="A57" s="518">
        <v>4</v>
      </c>
      <c r="B57" s="534" t="s">
        <v>885</v>
      </c>
      <c r="C57" s="778">
        <v>2</v>
      </c>
      <c r="D57" s="929">
        <v>8</v>
      </c>
      <c r="E57" s="929"/>
      <c r="F57" s="779" t="s">
        <v>832</v>
      </c>
      <c r="G57" s="561" t="s">
        <v>893</v>
      </c>
    </row>
    <row r="58" spans="1:8" x14ac:dyDescent="0.2">
      <c r="A58" s="542"/>
      <c r="B58" s="547"/>
      <c r="C58" s="548"/>
      <c r="D58" s="549"/>
      <c r="E58" s="549"/>
      <c r="F58" s="580"/>
      <c r="G58" s="551"/>
    </row>
    <row r="59" spans="1:8" x14ac:dyDescent="0.2">
      <c r="A59" s="518">
        <v>5</v>
      </c>
      <c r="B59" s="534" t="s">
        <v>849</v>
      </c>
      <c r="C59" s="778">
        <v>2</v>
      </c>
      <c r="D59" s="929">
        <v>8</v>
      </c>
      <c r="E59" s="929"/>
      <c r="F59" s="779" t="s">
        <v>881</v>
      </c>
      <c r="G59" s="561" t="s">
        <v>894</v>
      </c>
    </row>
    <row r="60" spans="1:8" x14ac:dyDescent="0.2">
      <c r="A60" s="518">
        <v>6</v>
      </c>
      <c r="B60" s="534" t="s">
        <v>853</v>
      </c>
      <c r="C60" s="778">
        <v>2</v>
      </c>
      <c r="D60" s="918">
        <v>4</v>
      </c>
      <c r="E60" s="918"/>
      <c r="F60" s="579" t="s">
        <v>832</v>
      </c>
      <c r="G60" s="561" t="s">
        <v>895</v>
      </c>
    </row>
    <row r="61" spans="1:8" s="30" customFormat="1" x14ac:dyDescent="0.2">
      <c r="A61" s="518">
        <v>7</v>
      </c>
      <c r="B61" s="534" t="s">
        <v>539</v>
      </c>
      <c r="C61" s="778">
        <v>2</v>
      </c>
      <c r="D61" s="918">
        <v>2</v>
      </c>
      <c r="E61" s="918"/>
      <c r="F61" s="579" t="s">
        <v>879</v>
      </c>
      <c r="G61" s="561" t="s">
        <v>896</v>
      </c>
      <c r="H61" s="79"/>
    </row>
    <row r="62" spans="1:8" s="42" customFormat="1" x14ac:dyDescent="0.2">
      <c r="A62" s="518">
        <v>8</v>
      </c>
      <c r="B62" s="534" t="s">
        <v>852</v>
      </c>
      <c r="C62" s="582">
        <v>1</v>
      </c>
      <c r="D62" s="918">
        <v>16</v>
      </c>
      <c r="E62" s="918"/>
      <c r="F62" s="579" t="s">
        <v>904</v>
      </c>
      <c r="G62" s="561" t="s">
        <v>897</v>
      </c>
      <c r="H62" s="79"/>
    </row>
    <row r="63" spans="1:8" s="42" customFormat="1" x14ac:dyDescent="0.2">
      <c r="A63" s="542"/>
      <c r="B63" s="544"/>
      <c r="C63" s="545"/>
      <c r="D63" s="546"/>
      <c r="E63" s="545"/>
      <c r="F63" s="581"/>
      <c r="G63" s="536"/>
      <c r="H63" s="79"/>
    </row>
    <row r="64" spans="1:8" s="42" customFormat="1" x14ac:dyDescent="0.2">
      <c r="A64" s="518">
        <v>9</v>
      </c>
      <c r="B64" s="534" t="s">
        <v>540</v>
      </c>
      <c r="C64" s="582">
        <v>1</v>
      </c>
      <c r="D64" s="929">
        <v>12</v>
      </c>
      <c r="E64" s="929"/>
      <c r="F64" s="779" t="s">
        <v>881</v>
      </c>
      <c r="G64" s="564" t="s">
        <v>898</v>
      </c>
      <c r="H64" s="79"/>
    </row>
    <row r="65" spans="1:8" s="42" customFormat="1" x14ac:dyDescent="0.2">
      <c r="A65" s="518">
        <v>10</v>
      </c>
      <c r="B65" s="534" t="s">
        <v>778</v>
      </c>
      <c r="C65" s="582">
        <v>1</v>
      </c>
      <c r="D65" s="929">
        <v>12</v>
      </c>
      <c r="E65" s="929"/>
      <c r="F65" s="779" t="s">
        <v>881</v>
      </c>
      <c r="G65" s="564" t="s">
        <v>899</v>
      </c>
      <c r="H65" s="79"/>
    </row>
    <row r="66" spans="1:8" s="42" customFormat="1" x14ac:dyDescent="0.2">
      <c r="A66" s="518">
        <v>11</v>
      </c>
      <c r="B66" s="777" t="s">
        <v>851</v>
      </c>
      <c r="C66" s="582">
        <v>1</v>
      </c>
      <c r="D66" s="918">
        <v>10</v>
      </c>
      <c r="E66" s="918"/>
      <c r="F66" s="579" t="s">
        <v>905</v>
      </c>
      <c r="G66" s="564" t="s">
        <v>900</v>
      </c>
      <c r="H66" s="79"/>
    </row>
    <row r="67" spans="1:8" s="42" customFormat="1" x14ac:dyDescent="0.2">
      <c r="A67" s="518">
        <v>12</v>
      </c>
      <c r="B67" s="534" t="s">
        <v>854</v>
      </c>
      <c r="C67" s="582">
        <v>1</v>
      </c>
      <c r="D67" s="918">
        <v>4</v>
      </c>
      <c r="E67" s="918"/>
      <c r="F67" s="579" t="s">
        <v>833</v>
      </c>
      <c r="G67" s="564" t="s">
        <v>901</v>
      </c>
      <c r="H67" s="79"/>
    </row>
    <row r="68" spans="1:8" s="42" customFormat="1" x14ac:dyDescent="0.2">
      <c r="A68" s="518">
        <v>13</v>
      </c>
      <c r="B68" s="534" t="s">
        <v>850</v>
      </c>
      <c r="C68" s="543">
        <v>0</v>
      </c>
      <c r="D68" s="918">
        <v>14</v>
      </c>
      <c r="E68" s="918"/>
      <c r="F68" s="579" t="s">
        <v>906</v>
      </c>
      <c r="G68" s="564" t="s">
        <v>907</v>
      </c>
      <c r="H68" s="79"/>
    </row>
    <row r="69" spans="1:8" s="42" customFormat="1" x14ac:dyDescent="0.2"/>
    <row r="70" spans="1:8" s="42" customFormat="1" hidden="1" x14ac:dyDescent="0.2"/>
    <row r="71" spans="1:8" s="42" customFormat="1" hidden="1" x14ac:dyDescent="0.2"/>
    <row r="72" spans="1:8" s="42" customFormat="1" hidden="1" x14ac:dyDescent="0.2"/>
    <row r="73" spans="1:8" s="42" customFormat="1" hidden="1" x14ac:dyDescent="0.2"/>
    <row r="74" spans="1:8" s="42" customFormat="1" hidden="1" x14ac:dyDescent="0.2"/>
    <row r="75" spans="1:8" s="42" customFormat="1" hidden="1" x14ac:dyDescent="0.2"/>
    <row r="76" spans="1:8" s="42" customFormat="1" hidden="1" x14ac:dyDescent="0.2"/>
    <row r="77" spans="1:8" s="42" customFormat="1" hidden="1" x14ac:dyDescent="0.2"/>
    <row r="78" spans="1:8" s="42" customFormat="1" hidden="1" x14ac:dyDescent="0.2"/>
    <row r="79" spans="1:8" s="42" customFormat="1" hidden="1" x14ac:dyDescent="0.2"/>
    <row r="80" spans="1:8" s="42" customFormat="1" hidden="1" x14ac:dyDescent="0.2"/>
    <row r="81" spans="9:9" s="42" customFormat="1" hidden="1" x14ac:dyDescent="0.2"/>
    <row r="82" spans="9:9" s="42" customFormat="1" hidden="1" x14ac:dyDescent="0.2"/>
    <row r="83" spans="9:9" s="42" customFormat="1" hidden="1" x14ac:dyDescent="0.2"/>
    <row r="84" spans="9:9" s="42" customFormat="1" hidden="1" x14ac:dyDescent="0.2"/>
    <row r="85" spans="9:9" s="42" customFormat="1" hidden="1" x14ac:dyDescent="0.2"/>
    <row r="86" spans="9:9" s="42" customFormat="1" hidden="1" x14ac:dyDescent="0.2"/>
    <row r="87" spans="9:9" s="42" customFormat="1" hidden="1" x14ac:dyDescent="0.2"/>
    <row r="88" spans="9:9" s="42" customFormat="1" hidden="1" x14ac:dyDescent="0.2"/>
    <row r="89" spans="9:9" s="42" customFormat="1" hidden="1" x14ac:dyDescent="0.2"/>
    <row r="90" spans="9:9" s="42" customFormat="1" hidden="1" x14ac:dyDescent="0.2"/>
    <row r="91" spans="9:9" s="42" customFormat="1" hidden="1" x14ac:dyDescent="0.2"/>
    <row r="92" spans="9:9" s="42" customFormat="1" hidden="1" x14ac:dyDescent="0.2"/>
    <row r="93" spans="9:9" s="42" customFormat="1" hidden="1" x14ac:dyDescent="0.2"/>
    <row r="94" spans="9:9" s="30" customFormat="1" hidden="1" x14ac:dyDescent="0.2"/>
    <row r="95" spans="9:9" s="42" customFormat="1" hidden="1" x14ac:dyDescent="0.2">
      <c r="I95" s="52"/>
    </row>
    <row r="96" spans="9:9" s="42" customFormat="1" hidden="1" x14ac:dyDescent="0.2">
      <c r="I96" s="52"/>
    </row>
    <row r="97" spans="1:9" s="42" customFormat="1" hidden="1" x14ac:dyDescent="0.2">
      <c r="I97" s="52"/>
    </row>
    <row r="98" spans="1:9" s="42" customFormat="1" hidden="1" x14ac:dyDescent="0.2">
      <c r="I98" s="52"/>
    </row>
    <row r="99" spans="1:9" s="42" customFormat="1" hidden="1" x14ac:dyDescent="0.2">
      <c r="I99" s="52"/>
    </row>
    <row r="100" spans="1:9" s="42" customFormat="1" hidden="1" x14ac:dyDescent="0.2">
      <c r="A100" s="60" t="s">
        <v>90</v>
      </c>
      <c r="B100" s="45"/>
      <c r="C100" s="35"/>
      <c r="D100" s="35"/>
      <c r="E100" s="35"/>
      <c r="F100" s="36"/>
      <c r="G100" s="37"/>
      <c r="I100" s="52"/>
    </row>
    <row r="101" spans="1:9" s="42" customFormat="1" hidden="1" x14ac:dyDescent="0.2">
      <c r="I101" s="52"/>
    </row>
    <row r="102" spans="1:9" s="82" customFormat="1" hidden="1" x14ac:dyDescent="0.2">
      <c r="A102" s="43">
        <v>1</v>
      </c>
      <c r="B102" s="127" t="str">
        <f>IFERROR(INDEX(B$50:B$100,MATCH(A102,A$50:A$100,0)),"")</f>
        <v>Hardo Sokk, Heigo Kullang, Ivar Viljaste</v>
      </c>
      <c r="C102" s="81" t="str">
        <f>IF(B102="-",0,IF(B104="-",13,""))</f>
        <v/>
      </c>
      <c r="D102" s="42"/>
      <c r="E102" s="42"/>
      <c r="F102" s="81"/>
      <c r="G102" s="81"/>
      <c r="H102" s="42"/>
    </row>
    <row r="103" spans="1:9" hidden="1" x14ac:dyDescent="0.2">
      <c r="A103" s="43"/>
      <c r="B103" s="65"/>
      <c r="C103" s="126" t="str">
        <f>IF(COUNT(C102,C104)=2,IF(C102&gt;C104,B102,B104),"")</f>
        <v/>
      </c>
      <c r="D103" s="42"/>
      <c r="E103" s="42"/>
      <c r="F103" s="42"/>
      <c r="G103" s="81" t="str">
        <f>IF(C103="-",0,IF(C107="-",13,""))</f>
        <v/>
      </c>
      <c r="H103" s="42"/>
    </row>
    <row r="104" spans="1:9" hidden="1" x14ac:dyDescent="0.2">
      <c r="A104" s="43">
        <v>4</v>
      </c>
      <c r="B104" s="323" t="str">
        <f>IFERROR(INDEX(B$50:B$100,MATCH(A104,A$50:A$100,0)),"")</f>
        <v>Arvi Palla, Kaarel Mikk, Mihkel Filipenko</v>
      </c>
      <c r="C104" s="63" t="str">
        <f>IF(B104="-",0,IF(B102="-",13,""))</f>
        <v/>
      </c>
      <c r="D104" s="309"/>
      <c r="E104" s="309"/>
      <c r="F104" s="554"/>
      <c r="G104" s="81"/>
      <c r="H104" s="42"/>
    </row>
    <row r="105" spans="1:9" ht="13.5" hidden="1" thickBot="1" x14ac:dyDescent="0.25">
      <c r="A105" s="43"/>
      <c r="B105" s="81"/>
      <c r="C105" s="51"/>
      <c r="D105" s="45"/>
      <c r="E105" s="45"/>
      <c r="F105" s="68"/>
      <c r="G105" s="81"/>
      <c r="H105" s="224" t="str">
        <f>IF(COUNT(G103,G107)=2,IF(G103&gt;G107,C103,C107),"")</f>
        <v/>
      </c>
    </row>
    <row r="106" spans="1:9" hidden="1" x14ac:dyDescent="0.2">
      <c r="A106" s="43">
        <v>2</v>
      </c>
      <c r="B106" s="127" t="str">
        <f>IFERROR(INDEX(B$50:B$100,MATCH(A106,A$50:A$100,0)),"")</f>
        <v>Eve Oidsalu, Kalju Olmre, Thibaut Sergeï Mathon</v>
      </c>
      <c r="C106" s="81" t="str">
        <f>IF(B106="-",0,IF(B108="-",13,""))</f>
        <v/>
      </c>
      <c r="D106" s="45"/>
      <c r="E106" s="45"/>
      <c r="F106" s="68"/>
      <c r="G106" s="69"/>
      <c r="H106" s="62" t="s">
        <v>277</v>
      </c>
    </row>
    <row r="107" spans="1:9" hidden="1" x14ac:dyDescent="0.2">
      <c r="A107" s="43"/>
      <c r="B107" s="65"/>
      <c r="C107" s="126" t="str">
        <f>IF(COUNT(C106,C108)=2,IF(C106&gt;C108,B106,B108),"")</f>
        <v/>
      </c>
      <c r="D107" s="344"/>
      <c r="E107" s="344"/>
      <c r="F107" s="50"/>
      <c r="G107" s="63" t="str">
        <f>IF(C107="-",0,IF(C103="-",13,""))</f>
        <v/>
      </c>
      <c r="H107" s="42"/>
    </row>
    <row r="108" spans="1:9" ht="13.5" hidden="1" thickBot="1" x14ac:dyDescent="0.25">
      <c r="A108" s="43">
        <v>3</v>
      </c>
      <c r="B108" s="323" t="str">
        <f>IFERROR(INDEX(B$50:B$100,MATCH(A108,A$50:A$100,0)),"")</f>
        <v>Egert Kingissepp, Kevin Sten Liik, Silver Kingissepp</v>
      </c>
      <c r="C108" s="63" t="str">
        <f>IF(B108="-",0,IF(B106="-",13,""))</f>
        <v/>
      </c>
      <c r="D108" s="42"/>
      <c r="E108" s="42"/>
      <c r="F108" s="81"/>
      <c r="G108" s="51"/>
      <c r="H108" s="224" t="str">
        <f>IF(COUNT(G103,G107)=2,IF(G103&lt;G107,C103,C107),"")</f>
        <v/>
      </c>
    </row>
    <row r="109" spans="1:9" hidden="1" x14ac:dyDescent="0.2">
      <c r="A109" s="42"/>
      <c r="B109" s="81"/>
      <c r="C109" s="81"/>
      <c r="D109" s="42"/>
      <c r="E109" s="42"/>
      <c r="F109" s="81"/>
      <c r="G109" s="51"/>
      <c r="H109" s="62" t="s">
        <v>278</v>
      </c>
    </row>
    <row r="110" spans="1:9" hidden="1" x14ac:dyDescent="0.2">
      <c r="A110" s="42"/>
      <c r="B110" s="81"/>
      <c r="C110" s="468" t="str">
        <f>IF(COUNT(C102,C104)=2,IF(C102&lt;C104,B102,B104),"")</f>
        <v/>
      </c>
      <c r="D110" s="42"/>
      <c r="E110" s="42"/>
      <c r="F110" s="42"/>
      <c r="G110" s="81" t="str">
        <f>IF(C110="-",0,IF(C112="-",13,""))</f>
        <v/>
      </c>
      <c r="H110" s="45"/>
    </row>
    <row r="111" spans="1:9" ht="13.5" hidden="1" thickBot="1" x14ac:dyDescent="0.25">
      <c r="A111" s="42"/>
      <c r="B111" s="81"/>
      <c r="C111" s="309"/>
      <c r="D111" s="309"/>
      <c r="E111" s="309"/>
      <c r="F111" s="345"/>
      <c r="G111" s="47"/>
      <c r="H111" s="224" t="str">
        <f>IF(COUNT(G110,G112)=2,IF(G110&gt;G112,C110,C112),"")</f>
        <v/>
      </c>
    </row>
    <row r="112" spans="1:9" hidden="1" x14ac:dyDescent="0.2">
      <c r="A112" s="42"/>
      <c r="B112" s="81"/>
      <c r="C112" s="127" t="str">
        <f>IF(COUNT(C106,C108)=2,IF(C106&lt;C108,B106,B108),"")</f>
        <v/>
      </c>
      <c r="D112" s="344"/>
      <c r="E112" s="344"/>
      <c r="F112" s="50"/>
      <c r="G112" s="63" t="str">
        <f>IF(C112="-",0,IF(C110="-",13,""))</f>
        <v/>
      </c>
      <c r="H112" s="53" t="s">
        <v>279</v>
      </c>
    </row>
    <row r="113" spans="1:8" hidden="1" x14ac:dyDescent="0.2">
      <c r="A113" s="42"/>
      <c r="B113" s="42"/>
      <c r="C113" s="42"/>
      <c r="D113" s="42"/>
      <c r="E113" s="42"/>
      <c r="F113" s="42"/>
      <c r="G113" s="42"/>
      <c r="H113" s="45"/>
    </row>
    <row r="114" spans="1:8" ht="13.5" hidden="1" thickBot="1" x14ac:dyDescent="0.25">
      <c r="A114" s="42"/>
      <c r="B114" s="42"/>
      <c r="C114" s="45"/>
      <c r="D114" s="42"/>
      <c r="E114" s="42"/>
      <c r="F114" s="45"/>
      <c r="G114" s="42"/>
      <c r="H114" s="47" t="str">
        <f>IF(COUNT(G110,G112)=2,IF(G110&lt;G112,C110,C112),"")</f>
        <v/>
      </c>
    </row>
    <row r="115" spans="1:8" hidden="1" x14ac:dyDescent="0.2">
      <c r="A115" s="42"/>
      <c r="B115" s="36"/>
      <c r="C115" s="36"/>
      <c r="D115" s="42"/>
      <c r="E115" s="42"/>
      <c r="F115" s="36"/>
      <c r="G115" s="39"/>
      <c r="H115" s="62" t="s">
        <v>75</v>
      </c>
    </row>
    <row r="116" spans="1:8" hidden="1" x14ac:dyDescent="0.2">
      <c r="A116" s="42"/>
      <c r="B116" s="42"/>
      <c r="C116" s="42"/>
      <c r="D116" s="42"/>
      <c r="E116" s="42"/>
      <c r="F116" s="42"/>
      <c r="G116" s="42"/>
      <c r="H116" s="42"/>
    </row>
    <row r="117" spans="1:8" hidden="1" x14ac:dyDescent="0.2">
      <c r="A117" s="64" t="s">
        <v>95</v>
      </c>
      <c r="B117" s="42"/>
      <c r="C117" s="42"/>
      <c r="D117" s="42"/>
      <c r="E117" s="42"/>
      <c r="F117" s="42"/>
      <c r="G117" s="42"/>
      <c r="H117" s="42"/>
    </row>
    <row r="118" spans="1:8" hidden="1" x14ac:dyDescent="0.2">
      <c r="A118" s="42"/>
      <c r="B118" s="42"/>
      <c r="C118" s="42"/>
      <c r="D118" s="42"/>
      <c r="E118" s="42"/>
      <c r="F118" s="42"/>
      <c r="G118" s="45"/>
      <c r="H118" s="45"/>
    </row>
    <row r="119" spans="1:8" hidden="1" x14ac:dyDescent="0.2">
      <c r="A119" s="43">
        <v>5</v>
      </c>
      <c r="B119" s="127" t="str">
        <f>IFERROR(INDEX(B$50:B$100,MATCH(A119,A$50:A$100,0)),"")</f>
        <v>Aivar Sein, Mare Kingissepp, Marge Mägi</v>
      </c>
      <c r="C119" s="81" t="str">
        <f>IF(B119="-",0,IF(B121="-",13,""))</f>
        <v/>
      </c>
      <c r="D119" s="42"/>
      <c r="E119" s="42"/>
      <c r="F119" s="81"/>
      <c r="G119" s="81"/>
      <c r="H119" s="42"/>
    </row>
    <row r="120" spans="1:8" hidden="1" x14ac:dyDescent="0.2">
      <c r="A120" s="43"/>
      <c r="B120" s="65"/>
      <c r="C120" s="126" t="str">
        <f>IF(COUNT(C119,C121)=2,IF(C119&gt;C121,B119,B121),"")</f>
        <v/>
      </c>
      <c r="D120" s="42"/>
      <c r="E120" s="42"/>
      <c r="F120" s="42"/>
      <c r="G120" s="81" t="str">
        <f>IF(C120="-",0,IF(C124="-",13,""))</f>
        <v/>
      </c>
      <c r="H120" s="42"/>
    </row>
    <row r="121" spans="1:8" hidden="1" x14ac:dyDescent="0.2">
      <c r="A121" s="43">
        <v>8</v>
      </c>
      <c r="B121" s="323" t="str">
        <f>IFERROR(INDEX(B$50:B$100,MATCH(A121,A$50:A$100,0)),"")</f>
        <v>Alar Sinimäe, Kadri Veljend, Marko Ode</v>
      </c>
      <c r="C121" s="63" t="str">
        <f>IF(B121="-",0,IF(B119="-",13,""))</f>
        <v/>
      </c>
      <c r="D121" s="309"/>
      <c r="E121" s="309"/>
      <c r="F121" s="554"/>
      <c r="G121" s="81"/>
      <c r="H121" s="42"/>
    </row>
    <row r="122" spans="1:8" ht="13.5" hidden="1" thickBot="1" x14ac:dyDescent="0.25">
      <c r="A122" s="43"/>
      <c r="B122" s="81"/>
      <c r="C122" s="51"/>
      <c r="D122" s="45"/>
      <c r="E122" s="45"/>
      <c r="F122" s="68"/>
      <c r="G122" s="81"/>
      <c r="H122" s="224" t="str">
        <f>IF(COUNT(G120,G124)=2,IF(G120&gt;G124,C120,C124),"")</f>
        <v/>
      </c>
    </row>
    <row r="123" spans="1:8" hidden="1" x14ac:dyDescent="0.2">
      <c r="A123" s="43">
        <v>6</v>
      </c>
      <c r="B123" s="127" t="str">
        <f>IFERROR(INDEX(B$50:B$100,MATCH(A123,A$50:A$100,0)),"")</f>
        <v>Andrus Treiman, Ingar Mäesalu, Meelis Münt</v>
      </c>
      <c r="C123" s="81" t="str">
        <f>IF(B123="-",0,IF(B125="-",13,""))</f>
        <v/>
      </c>
      <c r="D123" s="45"/>
      <c r="E123" s="45"/>
      <c r="F123" s="68"/>
      <c r="G123" s="69"/>
      <c r="H123" s="62" t="s">
        <v>76</v>
      </c>
    </row>
    <row r="124" spans="1:8" hidden="1" x14ac:dyDescent="0.2">
      <c r="A124" s="43"/>
      <c r="B124" s="65"/>
      <c r="C124" s="126" t="str">
        <f>IF(COUNT(C123,C125)=2,IF(C123&gt;C125,B123,B125),"")</f>
        <v/>
      </c>
      <c r="D124" s="344"/>
      <c r="E124" s="344"/>
      <c r="F124" s="50"/>
      <c r="G124" s="63" t="str">
        <f>IF(C124="-",0,IF(C120="-",13,""))</f>
        <v/>
      </c>
      <c r="H124" s="42"/>
    </row>
    <row r="125" spans="1:8" ht="13.5" hidden="1" thickBot="1" x14ac:dyDescent="0.25">
      <c r="A125" s="43">
        <v>7</v>
      </c>
      <c r="B125" s="323" t="str">
        <f>IFERROR(INDEX(B$50:B$100,MATCH(A125,A$50:A$100,0)),"")</f>
        <v>Janek Kiisk, Marek Lehis, Margo Peebo</v>
      </c>
      <c r="C125" s="63" t="str">
        <f>IF(B125="-",0,IF(B123="-",13,""))</f>
        <v/>
      </c>
      <c r="D125" s="42"/>
      <c r="E125" s="42"/>
      <c r="F125" s="81"/>
      <c r="G125" s="51"/>
      <c r="H125" s="224" t="str">
        <f>IF(COUNT(G120,G124)=2,IF(G120&lt;G124,C120,C124),"")</f>
        <v/>
      </c>
    </row>
    <row r="126" spans="1:8" hidden="1" x14ac:dyDescent="0.2">
      <c r="A126" s="42"/>
      <c r="B126" s="81"/>
      <c r="C126" s="81"/>
      <c r="D126" s="42"/>
      <c r="E126" s="42"/>
      <c r="F126" s="81"/>
      <c r="G126" s="51"/>
      <c r="H126" s="62" t="s">
        <v>77</v>
      </c>
    </row>
    <row r="127" spans="1:8" hidden="1" x14ac:dyDescent="0.2">
      <c r="A127" s="42"/>
      <c r="B127" s="81"/>
      <c r="C127" s="468" t="str">
        <f>IF(COUNT(C119,C121)=2,IF(C119&lt;C121,B119,B121),"")</f>
        <v/>
      </c>
      <c r="D127" s="42"/>
      <c r="E127" s="42"/>
      <c r="F127" s="42"/>
      <c r="G127" s="81" t="str">
        <f>IF(C127="-",0,IF(C129="-",13,""))</f>
        <v/>
      </c>
      <c r="H127" s="45"/>
    </row>
    <row r="128" spans="1:8" ht="13.5" hidden="1" thickBot="1" x14ac:dyDescent="0.25">
      <c r="A128" s="42"/>
      <c r="B128" s="81"/>
      <c r="C128" s="309"/>
      <c r="D128" s="309"/>
      <c r="E128" s="309"/>
      <c r="F128" s="345"/>
      <c r="G128" s="47"/>
      <c r="H128" s="224" t="str">
        <f>IF(COUNT(G127,G129)=2,IF(G127&gt;G129,C127,C129),"")</f>
        <v/>
      </c>
    </row>
    <row r="129" spans="1:8" hidden="1" x14ac:dyDescent="0.2">
      <c r="A129" s="42"/>
      <c r="B129" s="81"/>
      <c r="C129" s="127" t="str">
        <f>IF(COUNT(C123,C125)=2,IF(C123&lt;C125,B123,B125),"")</f>
        <v/>
      </c>
      <c r="D129" s="344"/>
      <c r="E129" s="344"/>
      <c r="F129" s="50"/>
      <c r="G129" s="63" t="str">
        <f>IF(C129="-",0,IF(C127="-",13,""))</f>
        <v/>
      </c>
      <c r="H129" s="62" t="s">
        <v>78</v>
      </c>
    </row>
    <row r="130" spans="1:8" hidden="1" x14ac:dyDescent="0.2">
      <c r="A130" s="42"/>
      <c r="B130" s="42"/>
      <c r="C130" s="42"/>
      <c r="D130" s="42"/>
      <c r="E130" s="42"/>
      <c r="F130" s="42"/>
      <c r="G130" s="42"/>
      <c r="H130" s="45"/>
    </row>
    <row r="131" spans="1:8" ht="13.5" hidden="1" thickBot="1" x14ac:dyDescent="0.25">
      <c r="A131" s="42"/>
      <c r="B131" s="42"/>
      <c r="C131" s="45"/>
      <c r="D131" s="42"/>
      <c r="E131" s="42"/>
      <c r="F131" s="45"/>
      <c r="G131" s="42"/>
      <c r="H131" s="47" t="str">
        <f>IF(COUNT(G127,G129)=2,IF(G127&lt;G129,C127,C129),"")</f>
        <v/>
      </c>
    </row>
    <row r="132" spans="1:8" hidden="1" x14ac:dyDescent="0.2">
      <c r="A132" s="34"/>
      <c r="B132" s="36"/>
      <c r="C132" s="36"/>
      <c r="D132" s="30"/>
      <c r="E132" s="30"/>
      <c r="F132" s="36"/>
      <c r="G132" s="39"/>
      <c r="H132" s="62" t="s">
        <v>79</v>
      </c>
    </row>
    <row r="133" spans="1:8" hidden="1" x14ac:dyDescent="0.2">
      <c r="A133" s="42"/>
      <c r="B133" s="42"/>
      <c r="C133" s="42"/>
      <c r="D133" s="42"/>
      <c r="E133" s="42"/>
      <c r="F133" s="42"/>
      <c r="G133" s="42"/>
      <c r="H133" s="42"/>
    </row>
    <row r="134" spans="1:8" hidden="1" x14ac:dyDescent="0.2">
      <c r="A134" s="64" t="s">
        <v>818</v>
      </c>
      <c r="B134" s="42"/>
      <c r="C134" s="42"/>
      <c r="D134" s="42"/>
      <c r="E134" s="42"/>
      <c r="F134" s="42"/>
      <c r="G134" s="42"/>
      <c r="H134" s="42"/>
    </row>
    <row r="135" spans="1:8" hidden="1" x14ac:dyDescent="0.2">
      <c r="A135" s="42"/>
      <c r="B135" s="42"/>
      <c r="C135" s="42"/>
      <c r="D135" s="42"/>
      <c r="E135" s="42"/>
      <c r="H135" s="45"/>
    </row>
    <row r="136" spans="1:8" hidden="1" x14ac:dyDescent="0.2">
      <c r="B136" s="556">
        <v>9</v>
      </c>
      <c r="C136" s="468" t="str">
        <f>IFERROR(INDEX(B$50:B$100,MATCH(B136,A$50:A$100,0)),"")</f>
        <v>Aigi Orro, Elmo Lageda, Kalle Orro</v>
      </c>
      <c r="E136" s="43">
        <v>9</v>
      </c>
      <c r="G136" s="81" t="str">
        <f>IF(C136="-",0,IF(C138="-",13,""))</f>
        <v/>
      </c>
      <c r="H136" s="42"/>
    </row>
    <row r="137" spans="1:8" ht="13.5" hidden="1" thickBot="1" x14ac:dyDescent="0.25">
      <c r="C137" s="570"/>
      <c r="D137" s="571"/>
      <c r="E137" s="572"/>
      <c r="F137" s="573"/>
      <c r="G137" s="47"/>
      <c r="H137" s="224" t="str">
        <f>IF(COUNT(G136,G138)=2,IF(G136&gt;G138,C136,C138),"")</f>
        <v/>
      </c>
    </row>
    <row r="138" spans="1:8" hidden="1" x14ac:dyDescent="0.2">
      <c r="B138" s="556">
        <v>10</v>
      </c>
      <c r="C138" s="127" t="str">
        <f>IFERROR(INDEX(B$50:B$100,MATCH(B138,A$50:A$100,0)),"")</f>
        <v>Jaan Sepp, Mait Metsla, Oskar Sepp</v>
      </c>
      <c r="D138" s="574"/>
      <c r="E138" s="575">
        <v>10</v>
      </c>
      <c r="F138" s="576"/>
      <c r="G138" s="63" t="str">
        <f>IF(C138="-",0,IF(C136="-",13,""))</f>
        <v/>
      </c>
      <c r="H138" s="62" t="s">
        <v>84</v>
      </c>
    </row>
    <row r="139" spans="1:8" hidden="1" x14ac:dyDescent="0.2">
      <c r="E139" s="43"/>
      <c r="F139" s="81"/>
      <c r="G139" s="51"/>
      <c r="H139" s="45"/>
    </row>
    <row r="140" spans="1:8" ht="13.5" hidden="1" thickBot="1" x14ac:dyDescent="0.25">
      <c r="H140" s="224" t="str">
        <f>IF(COUNT(G136,G138)=2,IF(G136&lt;G138,C136,C138),"")</f>
        <v/>
      </c>
    </row>
    <row r="141" spans="1:8" hidden="1" x14ac:dyDescent="0.2">
      <c r="H141" s="62" t="s">
        <v>85</v>
      </c>
    </row>
    <row r="142" spans="1:8" hidden="1" x14ac:dyDescent="0.2"/>
    <row r="143" spans="1:8" hidden="1" x14ac:dyDescent="0.2">
      <c r="E143" s="42"/>
    </row>
    <row r="144" spans="1:8" ht="13.5" hidden="1" thickBot="1" x14ac:dyDescent="0.25">
      <c r="G144" s="556">
        <v>11</v>
      </c>
      <c r="H144" s="224" t="str">
        <f>IFERROR(INDEX(B$50:B$100,MATCH(G144,A$50:A$100,0)),"")</f>
        <v>Katri Aavekukk, Külli Kariste, Urmo Auväärt</v>
      </c>
    </row>
    <row r="145" spans="1:12" hidden="1" x14ac:dyDescent="0.2">
      <c r="H145" s="62" t="s">
        <v>86</v>
      </c>
    </row>
    <row r="146" spans="1:12" hidden="1" x14ac:dyDescent="0.2"/>
    <row r="147" spans="1:12" x14ac:dyDescent="0.2">
      <c r="A147" s="60" t="s">
        <v>90</v>
      </c>
      <c r="B147" s="45"/>
      <c r="C147" s="35"/>
      <c r="D147" s="35"/>
      <c r="E147" s="35"/>
      <c r="F147" s="36"/>
      <c r="G147" s="37"/>
      <c r="H147" s="42"/>
      <c r="I147" s="42"/>
    </row>
    <row r="148" spans="1:12" x14ac:dyDescent="0.2">
      <c r="A148" s="42"/>
      <c r="B148" s="42"/>
      <c r="C148" s="42"/>
      <c r="D148" s="42"/>
      <c r="E148" s="42"/>
      <c r="F148" s="42"/>
      <c r="G148" s="42"/>
      <c r="H148" s="42"/>
      <c r="I148" s="42"/>
    </row>
    <row r="149" spans="1:12" x14ac:dyDescent="0.2">
      <c r="A149" s="61">
        <v>1</v>
      </c>
      <c r="B149" s="310" t="str">
        <f>IFERROR(INDEX(B$50:B$100,MATCH(A149,A$50:A$100,0)),"")</f>
        <v>Hardo Sokk, Heigo Kullang, Ivar Viljaste</v>
      </c>
      <c r="C149" s="81">
        <v>13</v>
      </c>
      <c r="G149" s="42"/>
      <c r="H149" s="42"/>
      <c r="I149" s="42"/>
      <c r="J149" s="42"/>
      <c r="K149" s="42"/>
      <c r="L149" s="42"/>
    </row>
    <row r="150" spans="1:12" x14ac:dyDescent="0.2">
      <c r="A150" s="43"/>
      <c r="B150" s="311"/>
      <c r="C150" s="552" t="str">
        <f>IF(COUNT(C149,C151)=2,IF(C149&gt;C151,B149,B151),"")</f>
        <v>Hardo Sokk, Heigo Kullang, Ivar Viljaste</v>
      </c>
      <c r="G150" s="42"/>
      <c r="H150" s="81">
        <v>6</v>
      </c>
      <c r="I150" s="42"/>
      <c r="J150" s="42"/>
      <c r="K150" s="42"/>
      <c r="L150" s="42"/>
    </row>
    <row r="151" spans="1:12" x14ac:dyDescent="0.2">
      <c r="A151" s="43">
        <v>8</v>
      </c>
      <c r="B151" s="312" t="str">
        <f>IFERROR(INDEX(B$50:B$100,MATCH(A151,A$50:A$100,0)),"")</f>
        <v>Alar Sinimäe, Kadri Veljend, Marko Ode</v>
      </c>
      <c r="C151" s="768">
        <v>7</v>
      </c>
      <c r="D151" s="571"/>
      <c r="E151" s="571"/>
      <c r="F151" s="571"/>
      <c r="G151" s="345"/>
      <c r="H151" s="42"/>
      <c r="I151" s="42"/>
      <c r="J151" s="42"/>
      <c r="K151" s="42"/>
      <c r="L151" s="42"/>
    </row>
    <row r="152" spans="1:12" x14ac:dyDescent="0.2">
      <c r="A152" s="43"/>
      <c r="B152" s="313"/>
      <c r="C152" s="45"/>
      <c r="D152" s="78"/>
      <c r="E152" s="78"/>
      <c r="F152" s="78"/>
      <c r="G152" s="46"/>
      <c r="H152" s="126" t="str">
        <f>IF(COUNT(H150,H154)=2,IF(H150&gt;H154,C150,C154),"")</f>
        <v>Arvi Palla, Kaarel Mikk, Mihkel Filipenko</v>
      </c>
      <c r="I152" s="81">
        <v>13</v>
      </c>
      <c r="J152" s="42"/>
      <c r="K152" s="42"/>
    </row>
    <row r="153" spans="1:12" x14ac:dyDescent="0.2">
      <c r="A153" s="43">
        <v>4</v>
      </c>
      <c r="B153" s="310" t="str">
        <f>IFERROR(INDEX(B$50:B$100,MATCH(A153,A$50:A$100,0)),"")</f>
        <v>Arvi Palla, Kaarel Mikk, Mihkel Filipenko</v>
      </c>
      <c r="C153" s="51">
        <v>13</v>
      </c>
      <c r="D153" s="78"/>
      <c r="E153" s="78"/>
      <c r="F153" s="78"/>
      <c r="G153" s="46"/>
      <c r="H153" s="769"/>
      <c r="I153" s="42"/>
      <c r="J153" s="42"/>
      <c r="K153" s="42"/>
    </row>
    <row r="154" spans="1:12" x14ac:dyDescent="0.2">
      <c r="A154" s="43"/>
      <c r="B154" s="311"/>
      <c r="C154" s="126" t="str">
        <f>IF(COUNT(C153,C155)=2,IF(C153&gt;C155,B153,B155),"")</f>
        <v>Arvi Palla, Kaarel Mikk, Mihkel Filipenko</v>
      </c>
      <c r="D154" s="574"/>
      <c r="E154" s="574"/>
      <c r="F154" s="574"/>
      <c r="G154" s="50"/>
      <c r="H154" s="770">
        <v>13</v>
      </c>
      <c r="I154" s="42"/>
      <c r="J154" s="42"/>
      <c r="K154" s="42"/>
    </row>
    <row r="155" spans="1:12" x14ac:dyDescent="0.2">
      <c r="A155" s="43">
        <v>5</v>
      </c>
      <c r="B155" s="312" t="str">
        <f>IFERROR(INDEX(B$50:B$100,MATCH(A155,A$50:A$100,0)),"")</f>
        <v>Aivar Sein, Mare Kingissepp, Marge Mägi</v>
      </c>
      <c r="C155" s="63">
        <v>2</v>
      </c>
      <c r="G155" s="42"/>
      <c r="H155" s="46"/>
      <c r="I155" s="42"/>
      <c r="J155" s="42"/>
      <c r="K155" s="42"/>
    </row>
    <row r="156" spans="1:12" ht="13.5" thickBot="1" x14ac:dyDescent="0.25">
      <c r="A156" s="52"/>
      <c r="B156" s="313"/>
      <c r="C156" s="42"/>
      <c r="G156" s="42"/>
      <c r="H156" s="46"/>
      <c r="I156" s="42"/>
      <c r="J156" s="224" t="str">
        <f>IF(COUNT(I152,I160)=2,IF(I152&gt;I160,H152,H160),"")</f>
        <v>Arvi Palla, Kaarel Mikk, Mihkel Filipenko</v>
      </c>
      <c r="K156" s="42"/>
    </row>
    <row r="157" spans="1:12" x14ac:dyDescent="0.2">
      <c r="A157" s="61">
        <v>3</v>
      </c>
      <c r="B157" s="310" t="str">
        <f>IFERROR(INDEX(B$50:B$100,MATCH(A157,A$50:A$100,0)),"")</f>
        <v>Egert Kingissepp, Kevin Sten Liik, Silver Kingissepp</v>
      </c>
      <c r="C157" s="81">
        <v>10</v>
      </c>
      <c r="G157" s="42"/>
      <c r="H157" s="46"/>
      <c r="I157" s="49"/>
      <c r="J157" s="62" t="s">
        <v>277</v>
      </c>
      <c r="K157" s="49"/>
    </row>
    <row r="158" spans="1:12" x14ac:dyDescent="0.2">
      <c r="A158" s="43"/>
      <c r="B158" s="311"/>
      <c r="C158" s="552" t="str">
        <f>IF(COUNT(C157,C159)=2,IF(C157&gt;C159,B157,B159),"")</f>
        <v>Andrus Treiman, Ingar Mäesalu, Meelis Münt</v>
      </c>
      <c r="G158" s="42"/>
      <c r="H158" s="68">
        <v>6</v>
      </c>
      <c r="I158" s="45"/>
      <c r="J158" s="42"/>
      <c r="K158" s="42"/>
    </row>
    <row r="159" spans="1:12" x14ac:dyDescent="0.2">
      <c r="A159" s="43">
        <v>6</v>
      </c>
      <c r="B159" s="312" t="str">
        <f>IFERROR(INDEX(B$50:B$100,MATCH(A159,A$50:A$100,0)),"")</f>
        <v>Andrus Treiman, Ingar Mäesalu, Meelis Münt</v>
      </c>
      <c r="C159" s="768">
        <v>13</v>
      </c>
      <c r="D159" s="571"/>
      <c r="E159" s="571"/>
      <c r="F159" s="571"/>
      <c r="G159" s="345"/>
      <c r="H159" s="46"/>
      <c r="I159" s="45"/>
      <c r="J159" s="42"/>
      <c r="K159" s="42"/>
    </row>
    <row r="160" spans="1:12" x14ac:dyDescent="0.2">
      <c r="A160" s="43"/>
      <c r="B160" s="313"/>
      <c r="C160" s="45"/>
      <c r="D160" s="78"/>
      <c r="E160" s="78"/>
      <c r="F160" s="78"/>
      <c r="G160" s="46"/>
      <c r="H160" s="771" t="str">
        <f>IF(COUNT(H158,H162)=2,IF(H158&gt;H162,C158,C162),"")</f>
        <v>Eve Oidsalu, Kalju Olmre, Thibaut Sergeï Mathon</v>
      </c>
      <c r="I160" s="51">
        <v>6</v>
      </c>
      <c r="J160" s="42"/>
      <c r="K160" s="42"/>
    </row>
    <row r="161" spans="1:11" ht="13.5" thickBot="1" x14ac:dyDescent="0.25">
      <c r="A161" s="43">
        <v>2</v>
      </c>
      <c r="B161" s="310" t="str">
        <f>IFERROR(INDEX(B$50:B$100,MATCH(A161,A$50:A$100,0)),"")</f>
        <v>Eve Oidsalu, Kalju Olmre, Thibaut Sergeï Mathon</v>
      </c>
      <c r="C161" s="51">
        <v>13</v>
      </c>
      <c r="D161" s="78"/>
      <c r="E161" s="78"/>
      <c r="F161" s="78"/>
      <c r="G161" s="46"/>
      <c r="H161" s="343"/>
      <c r="I161" s="45"/>
      <c r="J161" s="224" t="str">
        <f>IF(COUNT(I152,I160)=2,IF(I152&lt;I160,H152,H160),"")</f>
        <v>Eve Oidsalu, Kalju Olmre, Thibaut Sergeï Mathon</v>
      </c>
      <c r="K161" s="47"/>
    </row>
    <row r="162" spans="1:11" x14ac:dyDescent="0.2">
      <c r="A162" s="43"/>
      <c r="B162" s="311"/>
      <c r="C162" s="126" t="str">
        <f>IF(COUNT(C161,C163)=2,IF(C161&gt;C163,B161,B163),"")</f>
        <v>Eve Oidsalu, Kalju Olmre, Thibaut Sergeï Mathon</v>
      </c>
      <c r="D162" s="574"/>
      <c r="E162" s="574"/>
      <c r="F162" s="574"/>
      <c r="G162" s="50"/>
      <c r="H162" s="63">
        <v>13</v>
      </c>
      <c r="I162" s="45"/>
      <c r="J162" s="62" t="s">
        <v>278</v>
      </c>
      <c r="K162" s="45"/>
    </row>
    <row r="163" spans="1:11" x14ac:dyDescent="0.2">
      <c r="A163" s="43">
        <v>7</v>
      </c>
      <c r="B163" s="312" t="str">
        <f>IFERROR(INDEX(B$50:B$100,MATCH(A163,A$50:A$100,0)),"")</f>
        <v>Janek Kiisk, Marek Lehis, Margo Peebo</v>
      </c>
      <c r="C163" s="63">
        <v>9</v>
      </c>
      <c r="G163" s="42"/>
      <c r="H163" s="45"/>
      <c r="I163" s="45"/>
      <c r="J163" s="42"/>
      <c r="K163" s="42"/>
    </row>
    <row r="164" spans="1:11" x14ac:dyDescent="0.2">
      <c r="A164" s="52"/>
      <c r="B164" s="313"/>
      <c r="C164" s="42"/>
      <c r="G164" s="42"/>
      <c r="H164" s="468" t="str">
        <f>IF(COUNT(H150,H154)=2,IF(H150&lt;H154,C150,C154),"")</f>
        <v>Hardo Sokk, Heigo Kullang, Ivar Viljaste</v>
      </c>
      <c r="I164" s="81">
        <v>12</v>
      </c>
      <c r="J164" s="42"/>
      <c r="K164" s="42"/>
    </row>
    <row r="165" spans="1:11" ht="13.5" thickBot="1" x14ac:dyDescent="0.25">
      <c r="A165" s="42"/>
      <c r="B165" s="42"/>
      <c r="C165" s="42"/>
      <c r="G165" s="42"/>
      <c r="H165" s="345"/>
      <c r="I165" s="47"/>
      <c r="J165" s="224" t="str">
        <f>IF(COUNT(I164,I166)=2,IF(I164&gt;I166,H164,H166),"")</f>
        <v>Andrus Treiman, Ingar Mäesalu, Meelis Münt</v>
      </c>
      <c r="K165" s="47"/>
    </row>
    <row r="166" spans="1:11" x14ac:dyDescent="0.2">
      <c r="A166" s="42"/>
      <c r="B166" s="42"/>
      <c r="C166" s="42"/>
      <c r="G166" s="42"/>
      <c r="H166" s="323" t="str">
        <f>IF(COUNT(H158,H162)=2,IF(H158&lt;H162,C158,C162),"")</f>
        <v>Andrus Treiman, Ingar Mäesalu, Meelis Münt</v>
      </c>
      <c r="I166" s="51">
        <v>13</v>
      </c>
      <c r="J166" s="53" t="s">
        <v>279</v>
      </c>
      <c r="K166" s="45"/>
    </row>
    <row r="167" spans="1:11" x14ac:dyDescent="0.2">
      <c r="A167" s="42"/>
      <c r="B167" s="42"/>
      <c r="C167" s="42"/>
      <c r="G167" s="42"/>
      <c r="H167" s="42"/>
      <c r="I167" s="42"/>
      <c r="J167" s="45"/>
      <c r="K167" s="45"/>
    </row>
    <row r="168" spans="1:11" ht="13.5" thickBot="1" x14ac:dyDescent="0.25">
      <c r="A168" s="42"/>
      <c r="B168" s="42"/>
      <c r="C168" s="42"/>
      <c r="G168" s="42"/>
      <c r="H168" s="45"/>
      <c r="I168" s="42"/>
      <c r="J168" s="224" t="str">
        <f>IF(COUNT(I164,I166)=2,IF(I164&lt;I166,H164,H166),"")</f>
        <v>Hardo Sokk, Heigo Kullang, Ivar Viljaste</v>
      </c>
      <c r="K168" s="47"/>
    </row>
    <row r="169" spans="1:11" x14ac:dyDescent="0.2">
      <c r="A169" s="42"/>
      <c r="B169" s="42"/>
      <c r="C169" s="42"/>
      <c r="G169" s="42"/>
      <c r="H169" s="42"/>
      <c r="I169" s="42"/>
      <c r="J169" s="52" t="s">
        <v>75</v>
      </c>
      <c r="K169" s="42"/>
    </row>
    <row r="170" spans="1:11" x14ac:dyDescent="0.2">
      <c r="A170" s="64" t="s">
        <v>95</v>
      </c>
      <c r="B170" s="42"/>
      <c r="C170" s="42"/>
      <c r="G170" s="42"/>
      <c r="H170" s="42"/>
      <c r="I170" s="45"/>
      <c r="J170" s="45"/>
      <c r="K170" s="42"/>
    </row>
    <row r="171" spans="1:11" x14ac:dyDescent="0.2">
      <c r="A171" s="42"/>
      <c r="B171" s="42"/>
      <c r="C171" s="468" t="str">
        <f>IF(COUNT(C149,C151)=2,IF(C149&lt;C151,B149,B151),"")</f>
        <v>Alar Sinimäe, Kadri Veljend, Marko Ode</v>
      </c>
      <c r="G171" s="42"/>
      <c r="H171" s="81">
        <v>11</v>
      </c>
      <c r="I171" s="81"/>
      <c r="J171" s="42"/>
      <c r="K171" s="42"/>
    </row>
    <row r="172" spans="1:11" x14ac:dyDescent="0.2">
      <c r="A172" s="42"/>
      <c r="B172" s="42"/>
      <c r="C172" s="570"/>
      <c r="D172" s="571"/>
      <c r="E172" s="571"/>
      <c r="F172" s="571"/>
      <c r="G172" s="554"/>
      <c r="H172" s="126" t="str">
        <f>IF(COUNT(H171,H173)=2,IF(H171&gt;H173,C171,C173),"")</f>
        <v>Aivar Sein, Mare Kingissepp, Marge Mägi</v>
      </c>
      <c r="I172" s="81">
        <v>5</v>
      </c>
      <c r="J172" s="42"/>
      <c r="K172" s="42"/>
    </row>
    <row r="173" spans="1:11" x14ac:dyDescent="0.2">
      <c r="A173" s="42"/>
      <c r="B173" s="42"/>
      <c r="C173" s="127" t="str">
        <f>IF(COUNT(C153,C155)=2,IF(C153&lt;C155,B153,B155),"")</f>
        <v>Aivar Sein, Mare Kingissepp, Marge Mägi</v>
      </c>
      <c r="D173" s="574"/>
      <c r="E173" s="574"/>
      <c r="F173" s="574"/>
      <c r="G173" s="67"/>
      <c r="H173" s="773">
        <v>13</v>
      </c>
      <c r="I173" s="81"/>
      <c r="J173" s="42"/>
      <c r="K173" s="42"/>
    </row>
    <row r="174" spans="1:11" ht="13.5" thickBot="1" x14ac:dyDescent="0.25">
      <c r="A174" s="42"/>
      <c r="B174" s="42"/>
      <c r="C174" s="81"/>
      <c r="G174" s="81"/>
      <c r="H174" s="68"/>
      <c r="I174" s="81"/>
      <c r="J174" s="224" t="str">
        <f>IF(COUNT(I172,I176)=2,IF(I172&gt;I176,H172,H176),"")</f>
        <v>Janek Kiisk, Marek Lehis, Margo Peebo</v>
      </c>
      <c r="K174" s="42"/>
    </row>
    <row r="175" spans="1:11" x14ac:dyDescent="0.2">
      <c r="A175" s="42"/>
      <c r="B175" s="42"/>
      <c r="C175" s="468" t="str">
        <f>IF(COUNT(C157,C159)=2,IF(C157&lt;C159,B157,B159),"")</f>
        <v>Egert Kingissepp, Kevin Sten Liik, Silver Kingissepp</v>
      </c>
      <c r="G175" s="81"/>
      <c r="H175" s="68">
        <v>8</v>
      </c>
      <c r="I175" s="772"/>
      <c r="J175" s="62" t="s">
        <v>76</v>
      </c>
      <c r="K175" s="49"/>
    </row>
    <row r="176" spans="1:11" x14ac:dyDescent="0.2">
      <c r="A176" s="42"/>
      <c r="B176" s="42"/>
      <c r="C176" s="570"/>
      <c r="D176" s="571"/>
      <c r="E176" s="571"/>
      <c r="F176" s="571"/>
      <c r="G176" s="554"/>
      <c r="H176" s="771" t="str">
        <f>IF(COUNT(H175,H177)=2,IF(H175&gt;H177,C175,C177),"")</f>
        <v>Janek Kiisk, Marek Lehis, Margo Peebo</v>
      </c>
      <c r="I176" s="51">
        <v>13</v>
      </c>
      <c r="J176" s="42"/>
      <c r="K176" s="42"/>
    </row>
    <row r="177" spans="1:11" ht="13.5" thickBot="1" x14ac:dyDescent="0.25">
      <c r="A177" s="42"/>
      <c r="B177" s="42"/>
      <c r="C177" s="127" t="str">
        <f>IF(COUNT(C161,C163)=2,IF(C161&lt;C163,B161,B163),"")</f>
        <v>Janek Kiisk, Marek Lehis, Margo Peebo</v>
      </c>
      <c r="D177" s="574"/>
      <c r="E177" s="574"/>
      <c r="F177" s="574"/>
      <c r="G177" s="67"/>
      <c r="H177" s="63">
        <v>13</v>
      </c>
      <c r="I177" s="51"/>
      <c r="J177" s="224" t="str">
        <f>IF(COUNT(I172,I176)=2,IF(I172&lt;I176,H172,H176),"")</f>
        <v>Aivar Sein, Mare Kingissepp, Marge Mägi</v>
      </c>
      <c r="K177" s="47"/>
    </row>
    <row r="178" spans="1:11" x14ac:dyDescent="0.2">
      <c r="A178" s="42"/>
      <c r="B178" s="42"/>
      <c r="C178" s="81"/>
      <c r="G178" s="81"/>
      <c r="H178" s="81"/>
      <c r="I178" s="51"/>
      <c r="J178" s="62" t="s">
        <v>77</v>
      </c>
      <c r="K178" s="45"/>
    </row>
    <row r="179" spans="1:11" x14ac:dyDescent="0.2">
      <c r="A179" s="42"/>
      <c r="B179" s="42"/>
      <c r="C179" s="81"/>
      <c r="G179" s="51"/>
      <c r="H179" s="468" t="str">
        <f>IF(COUNT(H171,H173)=2,IF(H171&lt;H173,C171,C173),"")</f>
        <v>Alar Sinimäe, Kadri Veljend, Marko Ode</v>
      </c>
      <c r="I179" s="81">
        <v>13</v>
      </c>
      <c r="J179" s="45"/>
      <c r="K179" s="45"/>
    </row>
    <row r="180" spans="1:11" ht="13.5" thickBot="1" x14ac:dyDescent="0.25">
      <c r="A180" s="42"/>
      <c r="B180" s="42"/>
      <c r="C180" s="81"/>
      <c r="G180" s="51"/>
      <c r="H180" s="345"/>
      <c r="I180" s="47"/>
      <c r="J180" s="224" t="str">
        <f>IF(COUNT(I179,I181)=2,IF(I179&gt;I181,H179,H181),"")</f>
        <v>Alar Sinimäe, Kadri Veljend, Marko Ode</v>
      </c>
      <c r="K180" s="47"/>
    </row>
    <row r="181" spans="1:11" x14ac:dyDescent="0.2">
      <c r="A181" s="42"/>
      <c r="B181" s="42"/>
      <c r="C181" s="81"/>
      <c r="G181" s="51"/>
      <c r="H181" s="323" t="str">
        <f>IF(COUNT(H175,H177)=2,IF(H175&lt;H177,C175,C177),"")</f>
        <v>Egert Kingissepp, Kevin Sten Liik, Silver Kingissepp</v>
      </c>
      <c r="I181" s="51">
        <v>3</v>
      </c>
      <c r="J181" s="53" t="s">
        <v>78</v>
      </c>
      <c r="K181" s="45"/>
    </row>
    <row r="182" spans="1:11" x14ac:dyDescent="0.2">
      <c r="A182" s="42"/>
      <c r="B182" s="42"/>
      <c r="C182" s="42"/>
      <c r="G182" s="45"/>
      <c r="H182" s="42"/>
      <c r="I182" s="42"/>
      <c r="J182" s="45"/>
      <c r="K182" s="45"/>
    </row>
    <row r="183" spans="1:11" ht="13.5" thickBot="1" x14ac:dyDescent="0.25">
      <c r="A183" s="42"/>
      <c r="B183" s="42"/>
      <c r="C183" s="42"/>
      <c r="G183" s="42"/>
      <c r="H183" s="45"/>
      <c r="I183" s="42"/>
      <c r="J183" s="47" t="str">
        <f>IF(COUNT(I179,I181)=2,IF(I179&lt;I181,H179,H181),"")</f>
        <v>Egert Kingissepp, Kevin Sten Liik, Silver Kingissepp</v>
      </c>
      <c r="K183" s="47"/>
    </row>
    <row r="184" spans="1:11" x14ac:dyDescent="0.2">
      <c r="A184" s="42"/>
      <c r="B184" s="42"/>
      <c r="C184" s="42"/>
      <c r="G184" s="42"/>
      <c r="H184" s="45"/>
      <c r="I184" s="42"/>
      <c r="J184" s="53" t="s">
        <v>79</v>
      </c>
      <c r="K184" s="42"/>
    </row>
    <row r="186" spans="1:11" ht="13.5" thickBot="1" x14ac:dyDescent="0.25">
      <c r="I186" s="785">
        <v>9</v>
      </c>
      <c r="J186" s="224" t="str">
        <f>IFERROR(INDEX(B$50:B$100,MATCH(I186,A$50:A$100,0)),"")</f>
        <v>Aigi Orro, Elmo Lageda, Kalle Orro</v>
      </c>
      <c r="K186" s="783"/>
    </row>
    <row r="187" spans="1:11" x14ac:dyDescent="0.2">
      <c r="I187" s="786"/>
      <c r="J187" s="62" t="s">
        <v>84</v>
      </c>
      <c r="K187" s="784"/>
    </row>
    <row r="188" spans="1:11" x14ac:dyDescent="0.2">
      <c r="I188" s="786"/>
    </row>
    <row r="189" spans="1:11" ht="13.5" thickBot="1" x14ac:dyDescent="0.25">
      <c r="I189" s="785">
        <v>10</v>
      </c>
      <c r="J189" s="224" t="str">
        <f>IFERROR(INDEX(B$50:B$100,MATCH(I189,A$50:A$100,0)),"")</f>
        <v>Jaan Sepp, Mait Metsla, Oskar Sepp</v>
      </c>
      <c r="K189" s="783"/>
    </row>
    <row r="190" spans="1:11" x14ac:dyDescent="0.2">
      <c r="I190" s="786"/>
      <c r="J190" s="62" t="s">
        <v>85</v>
      </c>
      <c r="K190" s="784"/>
    </row>
    <row r="191" spans="1:11" x14ac:dyDescent="0.2">
      <c r="I191" s="786"/>
    </row>
    <row r="192" spans="1:11" ht="13.5" thickBot="1" x14ac:dyDescent="0.25">
      <c r="I192" s="785">
        <v>11</v>
      </c>
      <c r="J192" s="224" t="str">
        <f>IFERROR(INDEX(B$50:B$100,MATCH(I192,A$50:A$100,0)),"")</f>
        <v>Katri Aavekukk, Külli Kariste, Urmo Auväärt</v>
      </c>
      <c r="K192" s="783"/>
    </row>
    <row r="193" spans="9:11" x14ac:dyDescent="0.2">
      <c r="I193" s="786"/>
      <c r="J193" s="62" t="s">
        <v>86</v>
      </c>
      <c r="K193" s="784"/>
    </row>
    <row r="194" spans="9:11" x14ac:dyDescent="0.2">
      <c r="I194" s="786"/>
    </row>
    <row r="195" spans="9:11" ht="13.5" thickBot="1" x14ac:dyDescent="0.25">
      <c r="I195" s="785">
        <v>12</v>
      </c>
      <c r="J195" s="224" t="str">
        <f>IFERROR(INDEX(B$50:B$100,MATCH(I195,A$50:A$100,0)),"")</f>
        <v>Kadri Arunurm, Sirje Viljaste, Triin Gretel Tauk</v>
      </c>
      <c r="K195" s="783"/>
    </row>
    <row r="196" spans="9:11" x14ac:dyDescent="0.2">
      <c r="I196" s="786"/>
      <c r="J196" s="62" t="s">
        <v>886</v>
      </c>
      <c r="K196" s="784"/>
    </row>
    <row r="197" spans="9:11" x14ac:dyDescent="0.2">
      <c r="I197" s="786"/>
    </row>
    <row r="198" spans="9:11" ht="13.5" thickBot="1" x14ac:dyDescent="0.25">
      <c r="I198" s="785">
        <v>13</v>
      </c>
      <c r="J198" s="224" t="str">
        <f>IFERROR(INDEX(B$50:B$100,MATCH(I198,A$50:A$100,0)),"")</f>
        <v>Maive Sein, Maris Rõõm, Varje Reede</v>
      </c>
      <c r="K198" s="783"/>
    </row>
    <row r="199" spans="9:11" x14ac:dyDescent="0.2">
      <c r="J199" s="62" t="s">
        <v>887</v>
      </c>
      <c r="K199" s="784"/>
    </row>
    <row r="201" spans="9:11" hidden="1" x14ac:dyDescent="0.2"/>
    <row r="202" spans="9:11" hidden="1" x14ac:dyDescent="0.2"/>
    <row r="203" spans="9:11" hidden="1" x14ac:dyDescent="0.2"/>
    <row r="204" spans="9:11" hidden="1" x14ac:dyDescent="0.2"/>
    <row r="205" spans="9:11" hidden="1" x14ac:dyDescent="0.2"/>
    <row r="206" spans="9:11" hidden="1" x14ac:dyDescent="0.2"/>
    <row r="207" spans="9:11" hidden="1" x14ac:dyDescent="0.2"/>
    <row r="208" spans="9:11"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C299" s="347" t="s">
        <v>577</v>
      </c>
    </row>
    <row r="300" spans="1:3" x14ac:dyDescent="0.2">
      <c r="A300" s="54">
        <v>1</v>
      </c>
      <c r="B300" s="129" t="str">
        <f t="shared" ref="B300:B312" si="24">IFERROR(INDEX(J$100:J$300,MATCH(A300&amp;". koht",J$101:J$301,0)),"")</f>
        <v>Arvi Palla, Kaarel Mikk, Mihkel Filipenko</v>
      </c>
      <c r="C300" s="347">
        <v>25</v>
      </c>
    </row>
    <row r="301" spans="1:3" x14ac:dyDescent="0.2">
      <c r="A301" s="54">
        <v>2</v>
      </c>
      <c r="B301" s="56" t="str">
        <f t="shared" si="24"/>
        <v>Eve Oidsalu, Kalju Olmre, Thibaut Sergeï Mathon</v>
      </c>
      <c r="C301" s="347">
        <v>20</v>
      </c>
    </row>
    <row r="302" spans="1:3" x14ac:dyDescent="0.2">
      <c r="A302" s="54">
        <v>3</v>
      </c>
      <c r="B302" s="57" t="str">
        <f t="shared" si="24"/>
        <v>Andrus Treiman, Ingar Mäesalu, Meelis Münt</v>
      </c>
      <c r="C302" s="347">
        <v>16</v>
      </c>
    </row>
    <row r="303" spans="1:3" x14ac:dyDescent="0.2">
      <c r="A303" s="54">
        <v>4</v>
      </c>
      <c r="B303" s="58" t="str">
        <f t="shared" si="24"/>
        <v>Hardo Sokk, Heigo Kullang, Ivar Viljaste</v>
      </c>
      <c r="C303" s="347">
        <v>12</v>
      </c>
    </row>
    <row r="304" spans="1:3" x14ac:dyDescent="0.2">
      <c r="A304" s="54">
        <v>5</v>
      </c>
      <c r="B304" s="58" t="str">
        <f t="shared" si="24"/>
        <v>Janek Kiisk, Marek Lehis, Margo Peebo</v>
      </c>
      <c r="C304" s="347">
        <v>9</v>
      </c>
    </row>
    <row r="305" spans="1:3" x14ac:dyDescent="0.2">
      <c r="A305" s="54">
        <v>6</v>
      </c>
      <c r="B305" s="58" t="str">
        <f t="shared" si="24"/>
        <v>Aivar Sein, Mare Kingissepp, Marge Mägi</v>
      </c>
      <c r="C305" s="347">
        <v>7</v>
      </c>
    </row>
    <row r="306" spans="1:3" x14ac:dyDescent="0.2">
      <c r="A306" s="54">
        <v>7</v>
      </c>
      <c r="B306" s="58" t="str">
        <f t="shared" si="24"/>
        <v>Alar Sinimäe, Kadri Veljend, Marko Ode</v>
      </c>
      <c r="C306" s="347">
        <v>5</v>
      </c>
    </row>
    <row r="307" spans="1:3" x14ac:dyDescent="0.2">
      <c r="A307" s="54">
        <v>8</v>
      </c>
      <c r="B307" s="58" t="str">
        <f t="shared" si="24"/>
        <v>Egert Kingissepp, Kevin Sten Liik, Silver Kingissepp</v>
      </c>
      <c r="C307" s="347">
        <v>4</v>
      </c>
    </row>
    <row r="308" spans="1:3" x14ac:dyDescent="0.2">
      <c r="A308" s="54">
        <v>9</v>
      </c>
      <c r="B308" s="58" t="str">
        <f t="shared" si="24"/>
        <v>Aigi Orro, Elmo Lageda, Kalle Orro</v>
      </c>
      <c r="C308" s="347">
        <v>2</v>
      </c>
    </row>
    <row r="309" spans="1:3" x14ac:dyDescent="0.2">
      <c r="A309" s="54">
        <v>10</v>
      </c>
      <c r="B309" s="58" t="str">
        <f t="shared" si="24"/>
        <v>Jaan Sepp, Mait Metsla, Oskar Sepp</v>
      </c>
      <c r="C309" s="347">
        <v>2</v>
      </c>
    </row>
    <row r="310" spans="1:3" x14ac:dyDescent="0.2">
      <c r="A310" s="54">
        <v>11</v>
      </c>
      <c r="B310" s="58" t="str">
        <f t="shared" si="24"/>
        <v>Katri Aavekukk, Külli Kariste, Urmo Auväärt</v>
      </c>
      <c r="C310" s="347">
        <v>2</v>
      </c>
    </row>
    <row r="311" spans="1:3" x14ac:dyDescent="0.2">
      <c r="A311" s="54">
        <v>12</v>
      </c>
      <c r="B311" s="58" t="str">
        <f t="shared" si="24"/>
        <v>Kadri Arunurm, Sirje Viljaste, Triin Gretel Tauk</v>
      </c>
      <c r="C311" s="347">
        <v>2</v>
      </c>
    </row>
    <row r="312" spans="1:3" x14ac:dyDescent="0.2">
      <c r="A312" s="54">
        <v>13</v>
      </c>
      <c r="B312" s="58" t="str">
        <f t="shared" si="24"/>
        <v>Maive Sein, Maris Rõõm, Varje Reede</v>
      </c>
      <c r="C312" s="347">
        <v>2</v>
      </c>
    </row>
  </sheetData>
  <mergeCells count="15">
    <mergeCell ref="D65:E65"/>
    <mergeCell ref="D66:E66"/>
    <mergeCell ref="D67:E67"/>
    <mergeCell ref="D68:E68"/>
    <mergeCell ref="D60:E60"/>
    <mergeCell ref="D59:E59"/>
    <mergeCell ref="D61:E61"/>
    <mergeCell ref="D62:E62"/>
    <mergeCell ref="D64:E64"/>
    <mergeCell ref="D52:E52"/>
    <mergeCell ref="D53:E53"/>
    <mergeCell ref="D54:E54"/>
    <mergeCell ref="D55:E55"/>
    <mergeCell ref="D56:E56"/>
    <mergeCell ref="D57:E57"/>
  </mergeCells>
  <conditionalFormatting sqref="B300:B312">
    <cfRule type="containsBlanks" dxfId="684" priority="66">
      <formula>LEN(TRIM(B300))=0</formula>
    </cfRule>
    <cfRule type="duplicateValues" dxfId="683" priority="68"/>
  </conditionalFormatting>
  <conditionalFormatting sqref="A102:A108">
    <cfRule type="cellIs" dxfId="682" priority="65" operator="equal">
      <formula>"-"</formula>
    </cfRule>
    <cfRule type="duplicateValues" dxfId="681" priority="67"/>
  </conditionalFormatting>
  <conditionalFormatting sqref="A119:A125">
    <cfRule type="cellIs" dxfId="680" priority="63" operator="equal">
      <formula>"-"</formula>
    </cfRule>
    <cfRule type="duplicateValues" dxfId="679" priority="64"/>
  </conditionalFormatting>
  <conditionalFormatting sqref="E136:E139">
    <cfRule type="cellIs" dxfId="678" priority="69" operator="equal">
      <formula>"-"</formula>
    </cfRule>
    <cfRule type="duplicateValues" dxfId="677" priority="70"/>
  </conditionalFormatting>
  <conditionalFormatting sqref="D7:F40">
    <cfRule type="cellIs" dxfId="676" priority="46" operator="equal">
      <formula>13</formula>
    </cfRule>
  </conditionalFormatting>
  <conditionalFormatting sqref="G136 G138">
    <cfRule type="containsBlanks" dxfId="675" priority="29">
      <formula>LEN(TRIM(G136))=0</formula>
    </cfRule>
  </conditionalFormatting>
  <conditionalFormatting sqref="C102 C104">
    <cfRule type="aboveAverage" dxfId="674" priority="42"/>
  </conditionalFormatting>
  <conditionalFormatting sqref="C106 C108">
    <cfRule type="aboveAverage" dxfId="673" priority="41"/>
  </conditionalFormatting>
  <conditionalFormatting sqref="C102 C104 C106 C108">
    <cfRule type="containsBlanks" dxfId="672" priority="40">
      <formula>LEN(TRIM(C102))=0</formula>
    </cfRule>
  </conditionalFormatting>
  <conditionalFormatting sqref="C119 C121">
    <cfRule type="aboveAverage" dxfId="671" priority="39"/>
  </conditionalFormatting>
  <conditionalFormatting sqref="C123 C125">
    <cfRule type="aboveAverage" dxfId="670" priority="38"/>
  </conditionalFormatting>
  <conditionalFormatting sqref="C119 C121 C123 C125">
    <cfRule type="containsBlanks" dxfId="669" priority="37">
      <formula>LEN(TRIM(C119))=0</formula>
    </cfRule>
  </conditionalFormatting>
  <conditionalFormatting sqref="G103 G107">
    <cfRule type="aboveAverage" dxfId="668" priority="36"/>
  </conditionalFormatting>
  <conditionalFormatting sqref="G110 G112">
    <cfRule type="aboveAverage" dxfId="667" priority="35"/>
  </conditionalFormatting>
  <conditionalFormatting sqref="G103 G107 G110 G112">
    <cfRule type="containsBlanks" dxfId="666" priority="34">
      <formula>LEN(TRIM(G103))=0</formula>
    </cfRule>
  </conditionalFormatting>
  <conditionalFormatting sqref="G120 G124">
    <cfRule type="aboveAverage" dxfId="665" priority="33"/>
  </conditionalFormatting>
  <conditionalFormatting sqref="G127 G129">
    <cfRule type="aboveAverage" dxfId="664" priority="32"/>
  </conditionalFormatting>
  <conditionalFormatting sqref="G120 G124 G127 G129">
    <cfRule type="containsBlanks" dxfId="663" priority="31">
      <formula>LEN(TRIM(G120))=0</formula>
    </cfRule>
  </conditionalFormatting>
  <conditionalFormatting sqref="G136 G138">
    <cfRule type="aboveAverage" dxfId="662" priority="30"/>
  </conditionalFormatting>
  <conditionalFormatting sqref="T7:T40">
    <cfRule type="expression" dxfId="661" priority="21">
      <formula>AND(U7="",COUNTIF(T7,"*,*")=0)</formula>
    </cfRule>
  </conditionalFormatting>
  <conditionalFormatting sqref="V7:V40">
    <cfRule type="expression" dxfId="660" priority="20">
      <formula>AND(W7="",COUNTIF(V7,"*,*")=0)</formula>
    </cfRule>
  </conditionalFormatting>
  <conditionalFormatting sqref="P7:P40">
    <cfRule type="expression" dxfId="659" priority="19">
      <formula>AND(Q7="",COUNTIF(P7,"*,*")=0)</formula>
    </cfRule>
  </conditionalFormatting>
  <conditionalFormatting sqref="R7:R40">
    <cfRule type="expression" dxfId="658" priority="17">
      <formula>AND(S7="",FIND(",",R7))</formula>
    </cfRule>
    <cfRule type="expression" dxfId="657" priority="22">
      <formula>AND(S7="",COUNTIF(R7,"*,*")=0)</formula>
    </cfRule>
  </conditionalFormatting>
  <conditionalFormatting sqref="N7:N40">
    <cfRule type="expression" dxfId="656" priority="18">
      <formula>AND(O7="",COUNTIF(N7,"*,*")=0)</formula>
    </cfRule>
  </conditionalFormatting>
  <conditionalFormatting sqref="A149:A163">
    <cfRule type="cellIs" dxfId="655" priority="1" operator="equal">
      <formula>"-"</formula>
    </cfRule>
    <cfRule type="duplicateValues" dxfId="654" priority="16"/>
  </conditionalFormatting>
  <conditionalFormatting sqref="H171 H173">
    <cfRule type="aboveAverage" dxfId="653" priority="15"/>
  </conditionalFormatting>
  <conditionalFormatting sqref="H175 H177">
    <cfRule type="aboveAverage" dxfId="652" priority="14"/>
  </conditionalFormatting>
  <conditionalFormatting sqref="I172 I176">
    <cfRule type="aboveAverage" dxfId="651" priority="13"/>
  </conditionalFormatting>
  <conditionalFormatting sqref="I179 I181">
    <cfRule type="aboveAverage" dxfId="650" priority="12"/>
  </conditionalFormatting>
  <conditionalFormatting sqref="H171 H173 H175 H177 I172 I176 I179 I181">
    <cfRule type="containsBlanks" dxfId="649" priority="11">
      <formula>LEN(TRIM(H171))=0</formula>
    </cfRule>
  </conditionalFormatting>
  <conditionalFormatting sqref="C149 C151">
    <cfRule type="aboveAverage" dxfId="648" priority="10"/>
  </conditionalFormatting>
  <conditionalFormatting sqref="C153 C155">
    <cfRule type="aboveAverage" dxfId="647" priority="9"/>
  </conditionalFormatting>
  <conditionalFormatting sqref="H150 H154">
    <cfRule type="aboveAverage" dxfId="646" priority="8"/>
  </conditionalFormatting>
  <conditionalFormatting sqref="C157 C159">
    <cfRule type="aboveAverage" dxfId="645" priority="7"/>
  </conditionalFormatting>
  <conditionalFormatting sqref="C161 C163">
    <cfRule type="aboveAverage" dxfId="644" priority="6"/>
  </conditionalFormatting>
  <conditionalFormatting sqref="H158 H162">
    <cfRule type="aboveAverage" dxfId="643" priority="5"/>
  </conditionalFormatting>
  <conditionalFormatting sqref="I152 I160">
    <cfRule type="aboveAverage" dxfId="642" priority="4"/>
  </conditionalFormatting>
  <conditionalFormatting sqref="I164 I166">
    <cfRule type="aboveAverage" dxfId="641" priority="3"/>
  </conditionalFormatting>
  <conditionalFormatting sqref="C149 C151 C153 C155 C157 C159 C161 C163 H150 H154 H158 H162 I152 I160 I164 I166">
    <cfRule type="containsBlanks" dxfId="640" priority="2">
      <formula>LEN(TRIM(C149))=0</formula>
    </cfRule>
  </conditionalFormatting>
  <pageMargins left="0.31496062992125984" right="0.31496062992125984" top="0.78740157480314965" bottom="0.31496062992125984" header="0.59055118110236227" footer="0"/>
  <pageSetup paperSize="9" fitToHeight="0" orientation="landscape" verticalDpi="1200" r:id="rId1"/>
  <headerFooter>
    <oddHeader>&amp;R&amp;"Arial,Regular"&amp;9Page &amp;P of &amp;N</oddHeader>
  </headerFooter>
  <rowBreaks count="4" manualBreakCount="4">
    <brk id="40" max="24" man="1"/>
    <brk id="68" max="24" man="1"/>
    <brk id="184" max="24" man="1"/>
    <brk id="315"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72"/>
  <sheetViews>
    <sheetView showGridLines="0" showRowColHeaders="0" zoomScaleNormal="100" workbookViewId="0">
      <pane ySplit="2" topLeftCell="A3" activePane="bottomLeft" state="frozen"/>
      <selection activeCell="I1" sqref="I1"/>
      <selection pane="bottomLeft" activeCell="L1" sqref="L1"/>
    </sheetView>
  </sheetViews>
  <sheetFormatPr defaultRowHeight="12.75" x14ac:dyDescent="0.2"/>
  <cols>
    <col min="1" max="1" width="5.42578125" style="79" customWidth="1"/>
    <col min="2" max="2" width="15.5703125" style="79" bestFit="1" customWidth="1"/>
    <col min="3" max="4" width="7.85546875" style="79" customWidth="1"/>
    <col min="5" max="6" width="7.5703125" style="79" customWidth="1"/>
    <col min="7" max="8" width="3.5703125" style="79" customWidth="1"/>
    <col min="9" max="12" width="7.5703125" style="79" customWidth="1"/>
    <col min="13" max="14" width="7.7109375" style="79" customWidth="1"/>
    <col min="15" max="15" width="21" style="79" customWidth="1"/>
    <col min="16" max="16" width="7.42578125" style="79" bestFit="1" customWidth="1"/>
    <col min="17" max="17" width="6.7109375" style="79" bestFit="1" customWidth="1"/>
    <col min="18" max="18" width="7.28515625" style="79" bestFit="1" customWidth="1"/>
    <col min="19" max="19" width="6.85546875" style="78" bestFit="1" customWidth="1"/>
    <col min="20" max="20" width="7.5703125" style="79" bestFit="1" customWidth="1"/>
    <col min="21" max="21" width="5.7109375" style="79" bestFit="1" customWidth="1"/>
    <col min="22" max="16384" width="9.140625" style="79"/>
  </cols>
  <sheetData>
    <row r="1" spans="1:23" x14ac:dyDescent="0.2">
      <c r="A1" s="72" t="str">
        <f>UPPER((Kalend!E35)&amp;" - "&amp;(Kalend!C35)&amp;" - "&amp;(Kalend!D35))</f>
        <v>NALJA - NALJATURNIIR - LOOSIDUO</v>
      </c>
      <c r="G1" s="41" t="str">
        <f>HYPERLINK("#'Kalend'!I1","Kalender")</f>
        <v>Kalender</v>
      </c>
      <c r="J1" s="41" t="str">
        <f>HYPERLINK("#Üldreiting!W1","Reiting")</f>
        <v>Reiting</v>
      </c>
    </row>
    <row r="2" spans="1:23" x14ac:dyDescent="0.2">
      <c r="A2" s="79" t="str">
        <f>"Toimumisaeg: "&amp;(Kalend!A35)&amp;" kell "&amp;(Kalend!B35)</f>
        <v>Toimumisaeg: L, 01.04.2018 kell 10:00</v>
      </c>
    </row>
    <row r="3" spans="1:23" x14ac:dyDescent="0.2">
      <c r="A3" s="79" t="str">
        <f>"Toimumiskoht: "&amp;(Kalend!F35)</f>
        <v>Toimumiskoht: Tallinn, Algi 38</v>
      </c>
    </row>
    <row r="4" spans="1:23" x14ac:dyDescent="0.2">
      <c r="A4" s="79" t="str">
        <f>"Korraldaja: "&amp;(Kalend!G35)</f>
        <v>Korraldaja: EPKL</v>
      </c>
      <c r="O4" s="811"/>
    </row>
    <row r="5" spans="1:23" x14ac:dyDescent="0.2">
      <c r="A5" s="78"/>
      <c r="S5" s="79"/>
    </row>
    <row r="6" spans="1:23" s="412" customFormat="1" x14ac:dyDescent="0.2">
      <c r="A6" s="812" t="s">
        <v>910</v>
      </c>
      <c r="B6" s="812"/>
      <c r="C6" s="812"/>
      <c r="D6" s="812"/>
      <c r="H6" s="78"/>
      <c r="I6" s="78"/>
      <c r="J6" s="78"/>
      <c r="K6" s="78"/>
      <c r="L6" s="78"/>
      <c r="M6" s="78"/>
      <c r="N6" s="78"/>
      <c r="O6" s="79"/>
      <c r="P6" s="78"/>
      <c r="Q6" s="78"/>
      <c r="R6" s="78"/>
      <c r="S6" s="78"/>
      <c r="T6" s="78"/>
      <c r="U6" s="78"/>
      <c r="V6" s="78"/>
      <c r="W6" s="78"/>
    </row>
    <row r="7" spans="1:23" s="30" customFormat="1" x14ac:dyDescent="0.2">
      <c r="A7" s="836"/>
      <c r="B7" s="820" t="s">
        <v>53</v>
      </c>
      <c r="C7" s="827" t="s">
        <v>918</v>
      </c>
      <c r="D7" s="828"/>
      <c r="E7" s="831"/>
      <c r="F7" s="814"/>
      <c r="G7" s="840">
        <v>13</v>
      </c>
      <c r="H7" s="840">
        <v>2</v>
      </c>
      <c r="I7" s="830" t="s">
        <v>145</v>
      </c>
      <c r="J7" s="814"/>
      <c r="K7" s="830" t="s">
        <v>38</v>
      </c>
      <c r="L7" s="814"/>
      <c r="M7" s="830"/>
      <c r="N7" s="829"/>
      <c r="O7" s="79"/>
      <c r="P7" s="79"/>
      <c r="Q7" s="79"/>
      <c r="R7" s="79"/>
      <c r="S7" s="79"/>
      <c r="T7" s="79"/>
      <c r="U7" s="79"/>
      <c r="V7" s="79"/>
      <c r="W7" s="79"/>
    </row>
    <row r="8" spans="1:23" s="30" customFormat="1" x14ac:dyDescent="0.2">
      <c r="A8" s="836"/>
      <c r="B8" s="820" t="s">
        <v>190</v>
      </c>
      <c r="C8" s="827" t="s">
        <v>41</v>
      </c>
      <c r="D8" s="828"/>
      <c r="E8" s="831"/>
      <c r="F8" s="814"/>
      <c r="G8" s="840">
        <v>13</v>
      </c>
      <c r="H8" s="840">
        <v>9</v>
      </c>
      <c r="I8" s="830" t="s">
        <v>26</v>
      </c>
      <c r="J8" s="814"/>
      <c r="K8" s="830" t="s">
        <v>924</v>
      </c>
      <c r="L8" s="814"/>
      <c r="M8" s="830"/>
      <c r="N8" s="829"/>
      <c r="O8" s="79"/>
      <c r="P8" s="79"/>
      <c r="Q8" s="79"/>
      <c r="R8" s="79"/>
      <c r="S8" s="79"/>
      <c r="T8" s="79"/>
      <c r="U8" s="79"/>
      <c r="V8" s="79"/>
      <c r="W8" s="79"/>
    </row>
    <row r="9" spans="1:23" s="30" customFormat="1" x14ac:dyDescent="0.2">
      <c r="A9" s="836"/>
      <c r="B9" s="820" t="s">
        <v>48</v>
      </c>
      <c r="C9" s="827" t="s">
        <v>49</v>
      </c>
      <c r="D9" s="828"/>
      <c r="E9" s="831"/>
      <c r="F9" s="814"/>
      <c r="G9" s="840">
        <v>13</v>
      </c>
      <c r="H9" s="840">
        <v>4</v>
      </c>
      <c r="I9" s="830" t="s">
        <v>46</v>
      </c>
      <c r="J9" s="814"/>
      <c r="K9" s="830" t="s">
        <v>206</v>
      </c>
      <c r="L9" s="814"/>
      <c r="M9" s="830"/>
      <c r="N9" s="829"/>
      <c r="O9" s="79"/>
      <c r="P9" s="79"/>
      <c r="Q9" s="79"/>
      <c r="R9" s="79"/>
      <c r="S9" s="79"/>
      <c r="T9" s="79"/>
      <c r="U9" s="79"/>
      <c r="V9" s="79"/>
      <c r="W9" s="79"/>
    </row>
    <row r="10" spans="1:23" s="30" customFormat="1" x14ac:dyDescent="0.2">
      <c r="A10" s="836"/>
      <c r="B10" s="820" t="s">
        <v>143</v>
      </c>
      <c r="C10" s="827" t="s">
        <v>224</v>
      </c>
      <c r="D10" s="828"/>
      <c r="E10" s="831"/>
      <c r="F10" s="814"/>
      <c r="G10" s="840">
        <v>13</v>
      </c>
      <c r="H10" s="840">
        <v>8</v>
      </c>
      <c r="I10" s="830" t="s">
        <v>37</v>
      </c>
      <c r="J10" s="814"/>
      <c r="K10" s="830" t="s">
        <v>30</v>
      </c>
      <c r="L10" s="814"/>
      <c r="M10" s="830"/>
      <c r="N10" s="829"/>
      <c r="O10" s="79"/>
      <c r="P10" s="79"/>
      <c r="Q10" s="79"/>
      <c r="R10" s="79"/>
      <c r="S10" s="79"/>
      <c r="T10" s="79"/>
      <c r="U10" s="79"/>
      <c r="V10" s="79"/>
      <c r="W10" s="79"/>
    </row>
    <row r="11" spans="1:23" s="30" customFormat="1" x14ac:dyDescent="0.2">
      <c r="A11" s="836"/>
      <c r="B11" s="820" t="s">
        <v>21</v>
      </c>
      <c r="C11" s="827" t="s">
        <v>32</v>
      </c>
      <c r="D11" s="814"/>
      <c r="E11" s="827" t="s">
        <v>146</v>
      </c>
      <c r="F11" s="814"/>
      <c r="G11" s="840">
        <v>13</v>
      </c>
      <c r="H11" s="840">
        <v>12</v>
      </c>
      <c r="I11" s="830" t="s">
        <v>35</v>
      </c>
      <c r="J11" s="814"/>
      <c r="K11" s="830" t="s">
        <v>249</v>
      </c>
      <c r="L11" s="814"/>
      <c r="M11" s="830" t="s">
        <v>920</v>
      </c>
      <c r="N11" s="829"/>
      <c r="O11" s="79"/>
      <c r="P11" s="79"/>
      <c r="Q11" s="79"/>
      <c r="R11" s="79"/>
      <c r="S11" s="79"/>
      <c r="T11" s="79"/>
      <c r="U11" s="79"/>
      <c r="V11" s="79"/>
      <c r="W11" s="79"/>
    </row>
    <row r="12" spans="1:23" s="30" customFormat="1" x14ac:dyDescent="0.2">
      <c r="A12" s="836"/>
      <c r="B12" s="820" t="s">
        <v>202</v>
      </c>
      <c r="C12" s="827" t="s">
        <v>40</v>
      </c>
      <c r="D12" s="814"/>
      <c r="E12" s="827" t="s">
        <v>140</v>
      </c>
      <c r="F12" s="814"/>
      <c r="G12" s="840">
        <v>10</v>
      </c>
      <c r="H12" s="840">
        <v>13</v>
      </c>
      <c r="I12" s="830" t="s">
        <v>217</v>
      </c>
      <c r="J12" s="814"/>
      <c r="K12" s="830" t="s">
        <v>36</v>
      </c>
      <c r="L12" s="814"/>
      <c r="M12" s="830" t="s">
        <v>23</v>
      </c>
      <c r="N12" s="829"/>
      <c r="O12" s="79"/>
      <c r="P12" s="79"/>
      <c r="Q12" s="79"/>
      <c r="R12" s="79"/>
      <c r="S12" s="79"/>
      <c r="T12" s="79"/>
      <c r="U12" s="79"/>
      <c r="V12" s="79"/>
      <c r="W12" s="79"/>
    </row>
    <row r="13" spans="1:23" s="412" customFormat="1" x14ac:dyDescent="0.2">
      <c r="A13" s="812" t="s">
        <v>911</v>
      </c>
      <c r="B13" s="812"/>
      <c r="C13" s="812"/>
      <c r="D13" s="812"/>
      <c r="H13" s="527"/>
      <c r="I13" s="527"/>
      <c r="J13" s="527"/>
      <c r="K13" s="527"/>
      <c r="L13" s="78"/>
      <c r="M13" s="527"/>
      <c r="N13" s="527"/>
      <c r="O13" s="79"/>
      <c r="P13" s="78"/>
      <c r="Q13" s="78"/>
      <c r="R13" s="78"/>
      <c r="S13" s="78"/>
      <c r="T13" s="78"/>
      <c r="U13" s="78"/>
      <c r="V13" s="78"/>
      <c r="W13" s="78"/>
    </row>
    <row r="14" spans="1:23" s="30" customFormat="1" x14ac:dyDescent="0.2">
      <c r="A14" s="836"/>
      <c r="B14" s="820" t="s">
        <v>145</v>
      </c>
      <c r="C14" s="827" t="s">
        <v>41</v>
      </c>
      <c r="D14" s="814"/>
      <c r="E14" s="827" t="s">
        <v>224</v>
      </c>
      <c r="F14" s="814"/>
      <c r="G14" s="839">
        <v>13</v>
      </c>
      <c r="H14" s="839">
        <v>3</v>
      </c>
      <c r="I14" s="831" t="s">
        <v>35</v>
      </c>
      <c r="J14" s="814"/>
      <c r="K14" s="830" t="s">
        <v>924</v>
      </c>
      <c r="L14" s="814"/>
      <c r="M14" s="830" t="s">
        <v>206</v>
      </c>
      <c r="N14" s="829"/>
      <c r="O14" s="79"/>
      <c r="P14" s="79"/>
      <c r="Q14" s="79"/>
      <c r="R14" s="79"/>
      <c r="S14" s="79"/>
      <c r="T14" s="79"/>
      <c r="U14" s="79"/>
      <c r="V14" s="79"/>
      <c r="W14" s="79"/>
    </row>
    <row r="15" spans="1:23" s="30" customFormat="1" x14ac:dyDescent="0.2">
      <c r="A15" s="836"/>
      <c r="B15" s="820" t="s">
        <v>38</v>
      </c>
      <c r="C15" s="827" t="s">
        <v>46</v>
      </c>
      <c r="D15" s="814"/>
      <c r="E15" s="827" t="s">
        <v>30</v>
      </c>
      <c r="F15" s="814"/>
      <c r="G15" s="839">
        <v>0</v>
      </c>
      <c r="H15" s="839">
        <v>13</v>
      </c>
      <c r="I15" s="831" t="s">
        <v>217</v>
      </c>
      <c r="J15" s="814"/>
      <c r="K15" s="830" t="s">
        <v>37</v>
      </c>
      <c r="L15" s="814"/>
      <c r="M15" s="830" t="s">
        <v>920</v>
      </c>
      <c r="N15" s="829"/>
      <c r="O15" s="79"/>
      <c r="P15" s="79"/>
      <c r="Q15" s="79"/>
      <c r="R15" s="79"/>
      <c r="S15" s="79"/>
      <c r="T15" s="79"/>
      <c r="U15" s="79"/>
      <c r="V15" s="79"/>
      <c r="W15" s="79"/>
    </row>
    <row r="16" spans="1:23" s="30" customFormat="1" x14ac:dyDescent="0.2">
      <c r="A16" s="836"/>
      <c r="B16" s="820" t="s">
        <v>53</v>
      </c>
      <c r="C16" s="827" t="s">
        <v>36</v>
      </c>
      <c r="D16" s="814"/>
      <c r="E16" s="827"/>
      <c r="F16" s="814"/>
      <c r="G16" s="839">
        <v>13</v>
      </c>
      <c r="H16" s="839">
        <v>12</v>
      </c>
      <c r="I16" s="831" t="s">
        <v>190</v>
      </c>
      <c r="J16" s="814"/>
      <c r="K16" s="830" t="s">
        <v>40</v>
      </c>
      <c r="L16" s="814"/>
      <c r="M16" s="830"/>
      <c r="N16" s="829"/>
      <c r="O16" s="79"/>
      <c r="P16" s="79"/>
      <c r="Q16" s="79"/>
      <c r="R16" s="79"/>
      <c r="S16" s="79"/>
      <c r="T16" s="79"/>
      <c r="U16" s="79"/>
      <c r="V16" s="79"/>
      <c r="W16" s="79"/>
    </row>
    <row r="17" spans="1:23" s="30" customFormat="1" x14ac:dyDescent="0.2">
      <c r="A17" s="836"/>
      <c r="B17" s="820" t="s">
        <v>26</v>
      </c>
      <c r="C17" s="827" t="s">
        <v>49</v>
      </c>
      <c r="D17" s="814"/>
      <c r="E17" s="827"/>
      <c r="F17" s="814"/>
      <c r="G17" s="839">
        <v>0</v>
      </c>
      <c r="H17" s="839">
        <v>13</v>
      </c>
      <c r="I17" s="831" t="s">
        <v>21</v>
      </c>
      <c r="J17" s="814"/>
      <c r="K17" s="830" t="s">
        <v>143</v>
      </c>
      <c r="L17" s="814"/>
      <c r="M17" s="830"/>
      <c r="N17" s="829"/>
      <c r="O17" s="79"/>
      <c r="P17" s="79"/>
      <c r="Q17" s="79"/>
      <c r="R17" s="79"/>
      <c r="S17" s="79"/>
      <c r="T17" s="79"/>
      <c r="U17" s="79"/>
      <c r="V17" s="79"/>
      <c r="W17" s="79"/>
    </row>
    <row r="18" spans="1:23" s="30" customFormat="1" x14ac:dyDescent="0.2">
      <c r="A18" s="836"/>
      <c r="B18" s="820" t="s">
        <v>202</v>
      </c>
      <c r="C18" s="827" t="s">
        <v>32</v>
      </c>
      <c r="D18" s="814"/>
      <c r="E18" s="827"/>
      <c r="F18" s="814"/>
      <c r="G18" s="839">
        <v>12</v>
      </c>
      <c r="H18" s="839">
        <v>13</v>
      </c>
      <c r="I18" s="831" t="s">
        <v>48</v>
      </c>
      <c r="J18" s="814"/>
      <c r="K18" s="830" t="s">
        <v>146</v>
      </c>
      <c r="L18" s="814"/>
      <c r="M18" s="833"/>
      <c r="N18" s="834"/>
      <c r="O18" s="79"/>
      <c r="P18" s="79"/>
      <c r="Q18" s="79"/>
      <c r="R18" s="79"/>
      <c r="S18" s="79"/>
      <c r="T18" s="79"/>
      <c r="U18" s="79"/>
      <c r="V18" s="79"/>
      <c r="W18" s="79"/>
    </row>
    <row r="19" spans="1:23" s="30" customFormat="1" x14ac:dyDescent="0.2">
      <c r="A19" s="836"/>
      <c r="B19" s="820" t="s">
        <v>918</v>
      </c>
      <c r="C19" s="827" t="s">
        <v>23</v>
      </c>
      <c r="D19" s="814"/>
      <c r="E19" s="827"/>
      <c r="F19" s="814"/>
      <c r="G19" s="839">
        <v>13</v>
      </c>
      <c r="H19" s="839">
        <v>1</v>
      </c>
      <c r="I19" s="831" t="s">
        <v>249</v>
      </c>
      <c r="J19" s="814"/>
      <c r="K19" s="830" t="s">
        <v>140</v>
      </c>
      <c r="L19" s="814"/>
      <c r="M19" s="830"/>
      <c r="N19" s="829"/>
      <c r="O19" s="79"/>
      <c r="P19" s="79"/>
      <c r="Q19" s="79"/>
      <c r="R19" s="79"/>
      <c r="S19" s="79"/>
      <c r="T19" s="79"/>
      <c r="U19" s="79"/>
      <c r="V19" s="79"/>
      <c r="W19" s="79"/>
    </row>
    <row r="20" spans="1:23" s="412" customFormat="1" x14ac:dyDescent="0.2">
      <c r="A20" s="812" t="s">
        <v>912</v>
      </c>
      <c r="B20" s="812"/>
      <c r="C20" s="812"/>
      <c r="E20" s="812"/>
      <c r="G20" s="35"/>
      <c r="H20" s="35"/>
      <c r="I20" s="527"/>
      <c r="J20" s="527"/>
      <c r="K20" s="527"/>
      <c r="L20" s="78"/>
      <c r="M20" s="527"/>
      <c r="N20" s="527"/>
      <c r="O20" s="79"/>
      <c r="P20" s="78"/>
      <c r="Q20" s="78"/>
      <c r="R20" s="78"/>
      <c r="S20" s="78"/>
      <c r="T20" s="78"/>
      <c r="U20" s="78"/>
      <c r="V20" s="78"/>
      <c r="W20" s="78"/>
    </row>
    <row r="21" spans="1:23" x14ac:dyDescent="0.2">
      <c r="A21" s="836"/>
      <c r="B21" s="820" t="s">
        <v>41</v>
      </c>
      <c r="C21" s="827" t="s">
        <v>224</v>
      </c>
      <c r="D21" s="829"/>
      <c r="E21" s="827" t="s">
        <v>206</v>
      </c>
      <c r="F21" s="829"/>
      <c r="G21" s="838">
        <v>10</v>
      </c>
      <c r="H21" s="838">
        <v>13</v>
      </c>
      <c r="I21" s="830" t="s">
        <v>21</v>
      </c>
      <c r="J21" s="829"/>
      <c r="K21" s="830" t="s">
        <v>38</v>
      </c>
      <c r="L21" s="829"/>
      <c r="M21" s="830" t="s">
        <v>918</v>
      </c>
      <c r="N21" s="829"/>
      <c r="S21" s="79"/>
    </row>
    <row r="22" spans="1:23" x14ac:dyDescent="0.2">
      <c r="A22" s="836"/>
      <c r="B22" s="820" t="s">
        <v>53</v>
      </c>
      <c r="C22" s="827" t="s">
        <v>190</v>
      </c>
      <c r="D22" s="829"/>
      <c r="E22" s="827" t="s">
        <v>30</v>
      </c>
      <c r="F22" s="829"/>
      <c r="G22" s="838">
        <v>13</v>
      </c>
      <c r="H22" s="838">
        <v>0</v>
      </c>
      <c r="I22" s="830" t="s">
        <v>143</v>
      </c>
      <c r="J22" s="829"/>
      <c r="K22" s="830" t="s">
        <v>37</v>
      </c>
      <c r="L22" s="829"/>
      <c r="M22" s="830" t="s">
        <v>40</v>
      </c>
      <c r="N22" s="834"/>
      <c r="S22" s="79"/>
    </row>
    <row r="23" spans="1:23" x14ac:dyDescent="0.2">
      <c r="A23" s="836"/>
      <c r="B23" s="820" t="s">
        <v>32</v>
      </c>
      <c r="C23" s="827" t="s">
        <v>146</v>
      </c>
      <c r="D23" s="829"/>
      <c r="E23" s="827"/>
      <c r="F23" s="829"/>
      <c r="G23" s="838">
        <v>13</v>
      </c>
      <c r="H23" s="838">
        <v>3</v>
      </c>
      <c r="I23" s="830" t="s">
        <v>36</v>
      </c>
      <c r="J23" s="829"/>
      <c r="K23" s="830" t="s">
        <v>249</v>
      </c>
      <c r="L23" s="829"/>
      <c r="M23" s="833"/>
      <c r="N23" s="834"/>
      <c r="S23" s="79"/>
    </row>
    <row r="24" spans="1:23" x14ac:dyDescent="0.2">
      <c r="A24" s="836"/>
      <c r="B24" s="820" t="s">
        <v>26</v>
      </c>
      <c r="C24" s="827" t="s">
        <v>920</v>
      </c>
      <c r="D24" s="829"/>
      <c r="E24" s="827"/>
      <c r="F24" s="829"/>
      <c r="G24" s="838">
        <v>9</v>
      </c>
      <c r="H24" s="838">
        <v>13</v>
      </c>
      <c r="I24" s="830" t="s">
        <v>217</v>
      </c>
      <c r="J24" s="829"/>
      <c r="K24" s="830" t="s">
        <v>23</v>
      </c>
      <c r="L24" s="829"/>
      <c r="M24" s="833"/>
      <c r="N24" s="834"/>
      <c r="S24" s="79"/>
    </row>
    <row r="25" spans="1:23" x14ac:dyDescent="0.2">
      <c r="A25" s="836"/>
      <c r="B25" s="820" t="s">
        <v>202</v>
      </c>
      <c r="C25" s="827" t="s">
        <v>49</v>
      </c>
      <c r="D25" s="829"/>
      <c r="E25" s="827"/>
      <c r="F25" s="829"/>
      <c r="G25" s="838">
        <v>13</v>
      </c>
      <c r="H25" s="838">
        <v>9</v>
      </c>
      <c r="I25" s="830" t="s">
        <v>145</v>
      </c>
      <c r="J25" s="829"/>
      <c r="K25" s="830" t="s">
        <v>48</v>
      </c>
      <c r="L25" s="829"/>
      <c r="M25" s="830"/>
      <c r="N25" s="829"/>
      <c r="S25" s="79"/>
    </row>
    <row r="26" spans="1:23" x14ac:dyDescent="0.2">
      <c r="A26" s="836"/>
      <c r="B26" s="820" t="s">
        <v>35</v>
      </c>
      <c r="C26" s="827" t="s">
        <v>140</v>
      </c>
      <c r="D26" s="829"/>
      <c r="E26" s="827"/>
      <c r="F26" s="829"/>
      <c r="G26" s="838">
        <v>4</v>
      </c>
      <c r="H26" s="838">
        <v>13</v>
      </c>
      <c r="I26" s="830" t="s">
        <v>46</v>
      </c>
      <c r="J26" s="829"/>
      <c r="K26" s="830" t="s">
        <v>924</v>
      </c>
      <c r="L26" s="829"/>
      <c r="M26" s="830"/>
      <c r="N26" s="829"/>
      <c r="S26" s="79"/>
    </row>
    <row r="27" spans="1:23" s="78" customFormat="1" x14ac:dyDescent="0.2">
      <c r="A27" s="812" t="s">
        <v>913</v>
      </c>
      <c r="B27" s="812"/>
      <c r="C27" s="812"/>
      <c r="D27" s="812"/>
      <c r="M27" s="527"/>
      <c r="N27" s="527"/>
      <c r="O27" s="79"/>
    </row>
    <row r="28" spans="1:23" x14ac:dyDescent="0.2">
      <c r="A28" s="837"/>
      <c r="B28" s="524" t="s">
        <v>46</v>
      </c>
      <c r="C28" s="813" t="s">
        <v>36</v>
      </c>
      <c r="D28" s="815"/>
      <c r="E28" s="813" t="s">
        <v>143</v>
      </c>
      <c r="F28" s="815"/>
      <c r="G28" s="838">
        <v>9</v>
      </c>
      <c r="H28" s="838">
        <v>13</v>
      </c>
      <c r="I28" s="832" t="s">
        <v>202</v>
      </c>
      <c r="J28" s="815"/>
      <c r="K28" s="830" t="s">
        <v>146</v>
      </c>
      <c r="L28" s="815"/>
      <c r="M28" s="830" t="s">
        <v>35</v>
      </c>
      <c r="N28" s="835"/>
      <c r="S28" s="79"/>
    </row>
    <row r="29" spans="1:23" x14ac:dyDescent="0.2">
      <c r="A29" s="837"/>
      <c r="B29" s="524" t="s">
        <v>26</v>
      </c>
      <c r="C29" s="813" t="s">
        <v>206</v>
      </c>
      <c r="D29" s="815"/>
      <c r="E29" s="813" t="s">
        <v>140</v>
      </c>
      <c r="F29" s="815"/>
      <c r="G29" s="838">
        <v>13</v>
      </c>
      <c r="H29" s="838">
        <v>5</v>
      </c>
      <c r="I29" s="832" t="s">
        <v>37</v>
      </c>
      <c r="J29" s="815"/>
      <c r="K29" s="830" t="s">
        <v>217</v>
      </c>
      <c r="L29" s="815"/>
      <c r="M29" s="830" t="s">
        <v>924</v>
      </c>
      <c r="N29" s="835"/>
      <c r="S29" s="79"/>
    </row>
    <row r="30" spans="1:23" x14ac:dyDescent="0.2">
      <c r="A30" s="837"/>
      <c r="B30" s="524" t="s">
        <v>249</v>
      </c>
      <c r="C30" s="813" t="s">
        <v>49</v>
      </c>
      <c r="D30" s="815"/>
      <c r="E30" s="813"/>
      <c r="F30" s="815"/>
      <c r="G30" s="838">
        <v>13</v>
      </c>
      <c r="H30" s="838">
        <v>2</v>
      </c>
      <c r="I30" s="832" t="s">
        <v>41</v>
      </c>
      <c r="J30" s="815"/>
      <c r="K30" s="830" t="s">
        <v>38</v>
      </c>
      <c r="L30" s="815"/>
      <c r="M30" s="830"/>
      <c r="N30" s="835"/>
      <c r="S30" s="79"/>
    </row>
    <row r="31" spans="1:23" x14ac:dyDescent="0.2">
      <c r="A31" s="837"/>
      <c r="B31" s="524" t="s">
        <v>48</v>
      </c>
      <c r="C31" s="813" t="s">
        <v>918</v>
      </c>
      <c r="D31" s="815"/>
      <c r="E31" s="813"/>
      <c r="F31" s="815"/>
      <c r="G31" s="838">
        <v>13</v>
      </c>
      <c r="H31" s="838">
        <v>8</v>
      </c>
      <c r="I31" s="832" t="s">
        <v>190</v>
      </c>
      <c r="J31" s="815"/>
      <c r="K31" s="830" t="s">
        <v>23</v>
      </c>
      <c r="L31" s="815"/>
      <c r="M31" s="830"/>
      <c r="N31" s="835"/>
      <c r="S31" s="79"/>
    </row>
    <row r="32" spans="1:23" x14ac:dyDescent="0.2">
      <c r="A32" s="837"/>
      <c r="B32" s="524" t="s">
        <v>21</v>
      </c>
      <c r="C32" s="813" t="s">
        <v>40</v>
      </c>
      <c r="D32" s="815"/>
      <c r="E32" s="813"/>
      <c r="F32" s="815"/>
      <c r="G32" s="838">
        <v>9</v>
      </c>
      <c r="H32" s="838">
        <v>13</v>
      </c>
      <c r="I32" s="832" t="s">
        <v>32</v>
      </c>
      <c r="J32" s="815"/>
      <c r="K32" s="830" t="s">
        <v>920</v>
      </c>
      <c r="L32" s="815"/>
      <c r="M32" s="830"/>
      <c r="N32" s="835"/>
      <c r="S32" s="79"/>
    </row>
    <row r="33" spans="1:19" x14ac:dyDescent="0.2">
      <c r="A33" s="837"/>
      <c r="B33" s="524" t="s">
        <v>53</v>
      </c>
      <c r="C33" s="813" t="s">
        <v>145</v>
      </c>
      <c r="D33" s="815"/>
      <c r="E33" s="813"/>
      <c r="F33" s="815"/>
      <c r="G33" s="838">
        <v>4</v>
      </c>
      <c r="H33" s="838">
        <v>13</v>
      </c>
      <c r="I33" s="832" t="s">
        <v>224</v>
      </c>
      <c r="J33" s="815"/>
      <c r="K33" s="830" t="s">
        <v>30</v>
      </c>
      <c r="L33" s="815"/>
      <c r="M33" s="830"/>
      <c r="N33" s="835"/>
      <c r="S33" s="79"/>
    </row>
    <row r="34" spans="1:19" s="78" customFormat="1" x14ac:dyDescent="0.2">
      <c r="A34" s="812" t="s">
        <v>914</v>
      </c>
      <c r="B34" s="812"/>
      <c r="C34" s="812"/>
      <c r="D34" s="812"/>
      <c r="H34" s="527"/>
      <c r="I34" s="527"/>
      <c r="J34" s="527"/>
      <c r="K34" s="527"/>
      <c r="N34" s="527"/>
      <c r="O34" s="79"/>
    </row>
    <row r="35" spans="1:19" x14ac:dyDescent="0.2">
      <c r="A35" s="837"/>
      <c r="B35" s="524" t="s">
        <v>26</v>
      </c>
      <c r="C35" s="813" t="s">
        <v>35</v>
      </c>
      <c r="D35" s="815"/>
      <c r="E35" s="813" t="s">
        <v>37</v>
      </c>
      <c r="F35" s="815"/>
      <c r="G35" s="838">
        <v>3</v>
      </c>
      <c r="H35" s="838">
        <v>13</v>
      </c>
      <c r="I35" s="832" t="s">
        <v>217</v>
      </c>
      <c r="J35" s="815"/>
      <c r="K35" s="830" t="s">
        <v>40</v>
      </c>
      <c r="L35" s="829"/>
      <c r="M35" s="830" t="s">
        <v>140</v>
      </c>
      <c r="N35" s="829"/>
      <c r="S35" s="79"/>
    </row>
    <row r="36" spans="1:19" x14ac:dyDescent="0.2">
      <c r="A36" s="837"/>
      <c r="B36" s="524" t="s">
        <v>48</v>
      </c>
      <c r="C36" s="813" t="s">
        <v>46</v>
      </c>
      <c r="D36" s="815"/>
      <c r="E36" s="813" t="s">
        <v>32</v>
      </c>
      <c r="F36" s="815"/>
      <c r="G36" s="838">
        <v>13</v>
      </c>
      <c r="H36" s="838">
        <v>11</v>
      </c>
      <c r="I36" s="832" t="s">
        <v>21</v>
      </c>
      <c r="J36" s="815"/>
      <c r="K36" s="830" t="s">
        <v>202</v>
      </c>
      <c r="L36" s="829"/>
      <c r="M36" s="830" t="s">
        <v>146</v>
      </c>
      <c r="N36" s="829"/>
      <c r="S36" s="79"/>
    </row>
    <row r="37" spans="1:19" x14ac:dyDescent="0.2">
      <c r="A37" s="837"/>
      <c r="B37" s="524" t="s">
        <v>190</v>
      </c>
      <c r="C37" s="813" t="s">
        <v>30</v>
      </c>
      <c r="D37" s="815"/>
      <c r="E37" s="813"/>
      <c r="F37" s="815"/>
      <c r="G37" s="838">
        <v>4</v>
      </c>
      <c r="H37" s="838">
        <v>13</v>
      </c>
      <c r="I37" s="832" t="s">
        <v>919</v>
      </c>
      <c r="J37" s="815"/>
      <c r="K37" s="830" t="s">
        <v>36</v>
      </c>
      <c r="L37" s="829"/>
      <c r="M37" s="830"/>
      <c r="N37" s="829"/>
      <c r="S37" s="79"/>
    </row>
    <row r="38" spans="1:19" x14ac:dyDescent="0.2">
      <c r="A38" s="837"/>
      <c r="B38" s="524" t="s">
        <v>41</v>
      </c>
      <c r="C38" s="813" t="s">
        <v>249</v>
      </c>
      <c r="D38" s="815"/>
      <c r="E38" s="813"/>
      <c r="F38" s="815"/>
      <c r="G38" s="838">
        <v>3</v>
      </c>
      <c r="H38" s="838">
        <v>13</v>
      </c>
      <c r="I38" s="832" t="s">
        <v>49</v>
      </c>
      <c r="J38" s="815"/>
      <c r="K38" s="830" t="s">
        <v>206</v>
      </c>
      <c r="L38" s="829"/>
      <c r="M38" s="830"/>
      <c r="N38" s="829"/>
      <c r="S38" s="79"/>
    </row>
    <row r="39" spans="1:19" x14ac:dyDescent="0.2">
      <c r="A39" s="837"/>
      <c r="B39" s="524" t="s">
        <v>53</v>
      </c>
      <c r="C39" s="813" t="s">
        <v>143</v>
      </c>
      <c r="D39" s="815"/>
      <c r="E39" s="813"/>
      <c r="F39" s="815"/>
      <c r="G39" s="838">
        <v>13</v>
      </c>
      <c r="H39" s="838">
        <v>11</v>
      </c>
      <c r="I39" s="832" t="s">
        <v>924</v>
      </c>
      <c r="J39" s="815"/>
      <c r="K39" s="830" t="s">
        <v>23</v>
      </c>
      <c r="L39" s="829"/>
      <c r="M39" s="830"/>
      <c r="N39" s="829"/>
      <c r="S39" s="79"/>
    </row>
    <row r="40" spans="1:19" x14ac:dyDescent="0.2">
      <c r="A40" s="837"/>
      <c r="B40" s="524" t="s">
        <v>145</v>
      </c>
      <c r="C40" s="813" t="s">
        <v>918</v>
      </c>
      <c r="D40" s="815"/>
      <c r="E40" s="813"/>
      <c r="F40" s="815"/>
      <c r="G40" s="838">
        <v>6</v>
      </c>
      <c r="H40" s="838">
        <v>13</v>
      </c>
      <c r="I40" s="832" t="s">
        <v>224</v>
      </c>
      <c r="J40" s="815"/>
      <c r="K40" s="830" t="s">
        <v>920</v>
      </c>
      <c r="L40" s="829"/>
      <c r="M40" s="830"/>
      <c r="N40" s="829"/>
      <c r="S40" s="79"/>
    </row>
    <row r="41" spans="1:19" x14ac:dyDescent="0.2">
      <c r="A41" s="78"/>
      <c r="B41" s="377"/>
      <c r="C41" s="377"/>
      <c r="E41" s="377"/>
      <c r="F41" s="377"/>
      <c r="G41" s="377"/>
      <c r="H41" s="377"/>
      <c r="I41" s="78"/>
      <c r="J41" s="78"/>
      <c r="K41" s="78"/>
      <c r="L41" s="78"/>
      <c r="M41" s="78"/>
      <c r="N41" s="78"/>
      <c r="S41" s="79"/>
    </row>
    <row r="42" spans="1:19" x14ac:dyDescent="0.2">
      <c r="A42" s="816" t="s">
        <v>915</v>
      </c>
      <c r="S42" s="79"/>
    </row>
    <row r="44" spans="1:19" x14ac:dyDescent="0.2">
      <c r="A44" s="817"/>
      <c r="B44" s="817"/>
      <c r="C44" s="537" t="s">
        <v>910</v>
      </c>
      <c r="D44" s="537" t="s">
        <v>911</v>
      </c>
      <c r="E44" s="537" t="s">
        <v>912</v>
      </c>
      <c r="F44" s="537" t="s">
        <v>913</v>
      </c>
      <c r="G44" s="931" t="s">
        <v>914</v>
      </c>
      <c r="H44" s="931"/>
      <c r="I44" s="818" t="s">
        <v>916</v>
      </c>
      <c r="J44" s="537" t="s">
        <v>917</v>
      </c>
    </row>
    <row r="45" spans="1:19" x14ac:dyDescent="0.2">
      <c r="A45" s="822">
        <v>1</v>
      </c>
      <c r="B45" s="823" t="s">
        <v>32</v>
      </c>
      <c r="C45" s="520">
        <v>13</v>
      </c>
      <c r="D45" s="520">
        <v>12</v>
      </c>
      <c r="E45" s="520">
        <v>13</v>
      </c>
      <c r="F45" s="821">
        <v>13</v>
      </c>
      <c r="G45" s="930">
        <v>13</v>
      </c>
      <c r="H45" s="930"/>
      <c r="I45" s="818">
        <f>SUM(C45:H45)</f>
        <v>64</v>
      </c>
      <c r="J45" s="520">
        <f>COUNTIF(C45:H45,"=13")</f>
        <v>4</v>
      </c>
    </row>
    <row r="46" spans="1:19" x14ac:dyDescent="0.2">
      <c r="A46" s="822">
        <v>2</v>
      </c>
      <c r="B46" s="819" t="s">
        <v>146</v>
      </c>
      <c r="C46" s="520">
        <v>13</v>
      </c>
      <c r="D46" s="520">
        <v>13</v>
      </c>
      <c r="E46" s="520">
        <v>13</v>
      </c>
      <c r="F46" s="821">
        <v>13</v>
      </c>
      <c r="G46" s="930">
        <v>11</v>
      </c>
      <c r="H46" s="930"/>
      <c r="I46" s="818">
        <f t="shared" ref="I46:I72" si="0">SUM(C46:H46)</f>
        <v>63</v>
      </c>
      <c r="J46" s="520">
        <f t="shared" ref="J46:J72" si="1">COUNTIF(C46:H46,"=13")</f>
        <v>4</v>
      </c>
    </row>
    <row r="47" spans="1:19" x14ac:dyDescent="0.2">
      <c r="A47" s="822">
        <v>3</v>
      </c>
      <c r="B47" s="824" t="s">
        <v>224</v>
      </c>
      <c r="C47" s="520">
        <v>13</v>
      </c>
      <c r="D47" s="520">
        <v>13</v>
      </c>
      <c r="E47" s="520">
        <v>10</v>
      </c>
      <c r="F47" s="821">
        <v>13</v>
      </c>
      <c r="G47" s="930">
        <v>13</v>
      </c>
      <c r="H47" s="930"/>
      <c r="I47" s="818">
        <f t="shared" si="0"/>
        <v>62</v>
      </c>
      <c r="J47" s="520">
        <f t="shared" si="1"/>
        <v>4</v>
      </c>
    </row>
    <row r="48" spans="1:19" x14ac:dyDescent="0.2">
      <c r="A48" s="822">
        <v>4</v>
      </c>
      <c r="B48" s="40" t="s">
        <v>48</v>
      </c>
      <c r="C48" s="520">
        <v>13</v>
      </c>
      <c r="D48" s="520">
        <v>13</v>
      </c>
      <c r="E48" s="520">
        <v>9</v>
      </c>
      <c r="F48" s="821">
        <v>13</v>
      </c>
      <c r="G48" s="930">
        <v>13</v>
      </c>
      <c r="H48" s="930"/>
      <c r="I48" s="818">
        <f t="shared" si="0"/>
        <v>61</v>
      </c>
      <c r="J48" s="520">
        <f t="shared" si="1"/>
        <v>4</v>
      </c>
    </row>
    <row r="49" spans="1:10" x14ac:dyDescent="0.2">
      <c r="A49" s="822">
        <v>5</v>
      </c>
      <c r="B49" s="40" t="s">
        <v>920</v>
      </c>
      <c r="C49" s="520">
        <v>12</v>
      </c>
      <c r="D49" s="520">
        <v>13</v>
      </c>
      <c r="E49" s="520">
        <v>9</v>
      </c>
      <c r="F49" s="821">
        <v>13</v>
      </c>
      <c r="G49" s="930">
        <v>13</v>
      </c>
      <c r="H49" s="930"/>
      <c r="I49" s="818">
        <f t="shared" si="0"/>
        <v>60</v>
      </c>
      <c r="J49" s="520">
        <f t="shared" si="1"/>
        <v>3</v>
      </c>
    </row>
    <row r="50" spans="1:10" x14ac:dyDescent="0.2">
      <c r="A50" s="825" t="s">
        <v>737</v>
      </c>
      <c r="B50" s="40" t="s">
        <v>21</v>
      </c>
      <c r="C50" s="520">
        <v>13</v>
      </c>
      <c r="D50" s="520">
        <v>13</v>
      </c>
      <c r="E50" s="520">
        <v>13</v>
      </c>
      <c r="F50" s="821">
        <v>9</v>
      </c>
      <c r="G50" s="930">
        <v>11</v>
      </c>
      <c r="H50" s="930"/>
      <c r="I50" s="818">
        <f t="shared" si="0"/>
        <v>59</v>
      </c>
      <c r="J50" s="520">
        <f t="shared" si="1"/>
        <v>3</v>
      </c>
    </row>
    <row r="51" spans="1:10" x14ac:dyDescent="0.2">
      <c r="A51" s="825" t="s">
        <v>737</v>
      </c>
      <c r="B51" s="40" t="s">
        <v>202</v>
      </c>
      <c r="C51" s="520">
        <v>10</v>
      </c>
      <c r="D51" s="520">
        <v>12</v>
      </c>
      <c r="E51" s="520">
        <v>13</v>
      </c>
      <c r="F51" s="821">
        <v>13</v>
      </c>
      <c r="G51" s="930">
        <v>11</v>
      </c>
      <c r="H51" s="930"/>
      <c r="I51" s="818">
        <f t="shared" si="0"/>
        <v>59</v>
      </c>
      <c r="J51" s="520">
        <f t="shared" si="1"/>
        <v>2</v>
      </c>
    </row>
    <row r="52" spans="1:10" x14ac:dyDescent="0.2">
      <c r="A52" s="825" t="s">
        <v>921</v>
      </c>
      <c r="B52" s="40" t="s">
        <v>23</v>
      </c>
      <c r="C52" s="520">
        <v>13</v>
      </c>
      <c r="D52" s="520">
        <v>13</v>
      </c>
      <c r="E52" s="520">
        <v>13</v>
      </c>
      <c r="F52" s="821">
        <v>8</v>
      </c>
      <c r="G52" s="930">
        <v>11</v>
      </c>
      <c r="H52" s="930"/>
      <c r="I52" s="818">
        <f t="shared" si="0"/>
        <v>58</v>
      </c>
      <c r="J52" s="520">
        <f t="shared" si="1"/>
        <v>3</v>
      </c>
    </row>
    <row r="53" spans="1:10" x14ac:dyDescent="0.2">
      <c r="A53" s="825" t="s">
        <v>921</v>
      </c>
      <c r="B53" s="40" t="s">
        <v>918</v>
      </c>
      <c r="C53" s="520">
        <v>13</v>
      </c>
      <c r="D53" s="520">
        <v>13</v>
      </c>
      <c r="E53" s="520">
        <v>13</v>
      </c>
      <c r="F53" s="821">
        <v>13</v>
      </c>
      <c r="G53" s="930">
        <v>6</v>
      </c>
      <c r="H53" s="930"/>
      <c r="I53" s="818">
        <f t="shared" si="0"/>
        <v>58</v>
      </c>
      <c r="J53" s="520">
        <f t="shared" si="1"/>
        <v>4</v>
      </c>
    </row>
    <row r="54" spans="1:10" x14ac:dyDescent="0.2">
      <c r="A54" s="825" t="s">
        <v>922</v>
      </c>
      <c r="B54" s="40" t="s">
        <v>53</v>
      </c>
      <c r="C54" s="520">
        <v>13</v>
      </c>
      <c r="D54" s="520">
        <v>13</v>
      </c>
      <c r="E54" s="520">
        <v>13</v>
      </c>
      <c r="F54" s="821">
        <v>5</v>
      </c>
      <c r="G54" s="930">
        <v>13</v>
      </c>
      <c r="H54" s="930"/>
      <c r="I54" s="818">
        <f t="shared" si="0"/>
        <v>57</v>
      </c>
      <c r="J54" s="520">
        <f t="shared" si="1"/>
        <v>4</v>
      </c>
    </row>
    <row r="55" spans="1:10" x14ac:dyDescent="0.2">
      <c r="A55" s="825" t="s">
        <v>922</v>
      </c>
      <c r="B55" s="40" t="s">
        <v>217</v>
      </c>
      <c r="C55" s="520">
        <v>13</v>
      </c>
      <c r="D55" s="520">
        <v>13</v>
      </c>
      <c r="E55" s="520">
        <v>13</v>
      </c>
      <c r="F55" s="821">
        <v>5</v>
      </c>
      <c r="G55" s="930">
        <v>13</v>
      </c>
      <c r="H55" s="930"/>
      <c r="I55" s="818">
        <f t="shared" si="0"/>
        <v>57</v>
      </c>
      <c r="J55" s="520">
        <f t="shared" si="1"/>
        <v>4</v>
      </c>
    </row>
    <row r="56" spans="1:10" x14ac:dyDescent="0.2">
      <c r="A56" s="822">
        <v>12</v>
      </c>
      <c r="B56" s="40" t="s">
        <v>49</v>
      </c>
      <c r="C56" s="520">
        <v>13</v>
      </c>
      <c r="D56" s="520">
        <v>0</v>
      </c>
      <c r="E56" s="520">
        <v>13</v>
      </c>
      <c r="F56" s="821">
        <v>13</v>
      </c>
      <c r="G56" s="930">
        <v>13</v>
      </c>
      <c r="H56" s="930"/>
      <c r="I56" s="818">
        <f t="shared" si="0"/>
        <v>52</v>
      </c>
      <c r="J56" s="520">
        <f t="shared" si="1"/>
        <v>4</v>
      </c>
    </row>
    <row r="57" spans="1:10" x14ac:dyDescent="0.2">
      <c r="A57" s="822">
        <v>13</v>
      </c>
      <c r="B57" s="826" t="s">
        <v>36</v>
      </c>
      <c r="C57" s="520">
        <v>13</v>
      </c>
      <c r="D57" s="520">
        <v>13</v>
      </c>
      <c r="E57" s="520">
        <v>3</v>
      </c>
      <c r="F57" s="821">
        <v>9</v>
      </c>
      <c r="G57" s="930">
        <v>13</v>
      </c>
      <c r="H57" s="930"/>
      <c r="I57" s="818">
        <f t="shared" si="0"/>
        <v>51</v>
      </c>
      <c r="J57" s="520">
        <f t="shared" si="1"/>
        <v>3</v>
      </c>
    </row>
    <row r="58" spans="1:10" x14ac:dyDescent="0.2">
      <c r="A58" s="822">
        <v>14</v>
      </c>
      <c r="B58" s="40" t="s">
        <v>190</v>
      </c>
      <c r="C58" s="520">
        <v>13</v>
      </c>
      <c r="D58" s="520">
        <v>12</v>
      </c>
      <c r="E58" s="520">
        <v>13</v>
      </c>
      <c r="F58" s="821">
        <v>8</v>
      </c>
      <c r="G58" s="930">
        <v>4</v>
      </c>
      <c r="H58" s="930"/>
      <c r="I58" s="818">
        <f t="shared" si="0"/>
        <v>50</v>
      </c>
      <c r="J58" s="520">
        <f t="shared" si="1"/>
        <v>2</v>
      </c>
    </row>
    <row r="59" spans="1:10" x14ac:dyDescent="0.2">
      <c r="A59" s="822">
        <v>15</v>
      </c>
      <c r="B59" s="40" t="s">
        <v>143</v>
      </c>
      <c r="C59" s="520">
        <v>13</v>
      </c>
      <c r="D59" s="520">
        <v>13</v>
      </c>
      <c r="E59" s="520">
        <v>0</v>
      </c>
      <c r="F59" s="821">
        <v>9</v>
      </c>
      <c r="G59" s="930">
        <v>13</v>
      </c>
      <c r="H59" s="930"/>
      <c r="I59" s="818">
        <f t="shared" si="0"/>
        <v>48</v>
      </c>
      <c r="J59" s="520">
        <f t="shared" si="1"/>
        <v>3</v>
      </c>
    </row>
    <row r="60" spans="1:10" x14ac:dyDescent="0.2">
      <c r="A60" s="822">
        <v>16</v>
      </c>
      <c r="B60" s="826" t="s">
        <v>40</v>
      </c>
      <c r="C60" s="520">
        <v>10</v>
      </c>
      <c r="D60" s="520">
        <v>12</v>
      </c>
      <c r="E60" s="520">
        <v>0</v>
      </c>
      <c r="F60" s="821">
        <v>9</v>
      </c>
      <c r="G60" s="930">
        <v>13</v>
      </c>
      <c r="H60" s="930"/>
      <c r="I60" s="818">
        <f t="shared" si="0"/>
        <v>44</v>
      </c>
      <c r="J60" s="520">
        <f t="shared" si="1"/>
        <v>1</v>
      </c>
    </row>
    <row r="61" spans="1:10" x14ac:dyDescent="0.2">
      <c r="A61" s="822">
        <v>17</v>
      </c>
      <c r="B61" s="40" t="s">
        <v>206</v>
      </c>
      <c r="C61" s="520">
        <v>4</v>
      </c>
      <c r="D61" s="520">
        <v>3</v>
      </c>
      <c r="E61" s="520">
        <v>10</v>
      </c>
      <c r="F61" s="821">
        <v>13</v>
      </c>
      <c r="G61" s="930">
        <v>13</v>
      </c>
      <c r="H61" s="930"/>
      <c r="I61" s="818">
        <f t="shared" si="0"/>
        <v>43</v>
      </c>
      <c r="J61" s="520">
        <f t="shared" si="1"/>
        <v>2</v>
      </c>
    </row>
    <row r="62" spans="1:10" x14ac:dyDescent="0.2">
      <c r="A62" s="822" t="s">
        <v>923</v>
      </c>
      <c r="B62" s="826" t="s">
        <v>41</v>
      </c>
      <c r="C62" s="520">
        <v>13</v>
      </c>
      <c r="D62" s="520">
        <v>13</v>
      </c>
      <c r="E62" s="520">
        <v>10</v>
      </c>
      <c r="F62" s="821">
        <v>2</v>
      </c>
      <c r="G62" s="930">
        <v>3</v>
      </c>
      <c r="H62" s="930"/>
      <c r="I62" s="818">
        <f t="shared" si="0"/>
        <v>41</v>
      </c>
      <c r="J62" s="520">
        <f t="shared" si="1"/>
        <v>2</v>
      </c>
    </row>
    <row r="63" spans="1:10" x14ac:dyDescent="0.2">
      <c r="A63" s="822" t="s">
        <v>923</v>
      </c>
      <c r="B63" s="40" t="s">
        <v>924</v>
      </c>
      <c r="C63" s="520">
        <v>9</v>
      </c>
      <c r="D63" s="520">
        <v>3</v>
      </c>
      <c r="E63" s="520">
        <v>13</v>
      </c>
      <c r="F63" s="821">
        <v>5</v>
      </c>
      <c r="G63" s="930">
        <v>11</v>
      </c>
      <c r="H63" s="930"/>
      <c r="I63" s="818">
        <f t="shared" si="0"/>
        <v>41</v>
      </c>
      <c r="J63" s="520">
        <f t="shared" si="1"/>
        <v>1</v>
      </c>
    </row>
    <row r="64" spans="1:10" x14ac:dyDescent="0.2">
      <c r="A64" s="822" t="s">
        <v>923</v>
      </c>
      <c r="B64" s="40" t="s">
        <v>140</v>
      </c>
      <c r="C64" s="520">
        <v>10</v>
      </c>
      <c r="D64" s="520">
        <v>1</v>
      </c>
      <c r="E64" s="520">
        <v>4</v>
      </c>
      <c r="F64" s="821">
        <v>13</v>
      </c>
      <c r="G64" s="930">
        <v>13</v>
      </c>
      <c r="H64" s="930"/>
      <c r="I64" s="818">
        <f t="shared" si="0"/>
        <v>41</v>
      </c>
      <c r="J64" s="520">
        <f t="shared" si="1"/>
        <v>2</v>
      </c>
    </row>
    <row r="65" spans="1:10" x14ac:dyDescent="0.2">
      <c r="A65" s="822">
        <v>21</v>
      </c>
      <c r="B65" s="40" t="s">
        <v>46</v>
      </c>
      <c r="C65" s="520">
        <v>4</v>
      </c>
      <c r="D65" s="520">
        <v>0</v>
      </c>
      <c r="E65" s="520">
        <v>13</v>
      </c>
      <c r="F65" s="821">
        <v>9</v>
      </c>
      <c r="G65" s="930">
        <v>13</v>
      </c>
      <c r="H65" s="930"/>
      <c r="I65" s="818">
        <f t="shared" si="0"/>
        <v>39</v>
      </c>
      <c r="J65" s="520">
        <f t="shared" si="1"/>
        <v>2</v>
      </c>
    </row>
    <row r="66" spans="1:10" x14ac:dyDescent="0.2">
      <c r="A66" s="822">
        <v>22</v>
      </c>
      <c r="B66" s="826" t="s">
        <v>30</v>
      </c>
      <c r="C66" s="520">
        <v>8</v>
      </c>
      <c r="D66" s="520">
        <v>0</v>
      </c>
      <c r="E66" s="520">
        <v>13</v>
      </c>
      <c r="F66" s="821">
        <v>13</v>
      </c>
      <c r="G66" s="930">
        <v>4</v>
      </c>
      <c r="H66" s="930"/>
      <c r="I66" s="818">
        <f t="shared" si="0"/>
        <v>38</v>
      </c>
      <c r="J66" s="520">
        <f t="shared" si="1"/>
        <v>2</v>
      </c>
    </row>
    <row r="67" spans="1:10" x14ac:dyDescent="0.2">
      <c r="A67" s="822" t="s">
        <v>925</v>
      </c>
      <c r="B67" s="40" t="s">
        <v>35</v>
      </c>
      <c r="C67" s="520">
        <v>12</v>
      </c>
      <c r="D67" s="520">
        <v>3</v>
      </c>
      <c r="E67" s="520">
        <v>4</v>
      </c>
      <c r="F67" s="821">
        <v>13</v>
      </c>
      <c r="G67" s="930">
        <v>3</v>
      </c>
      <c r="H67" s="930"/>
      <c r="I67" s="818">
        <f t="shared" si="0"/>
        <v>35</v>
      </c>
      <c r="J67" s="520">
        <f t="shared" si="1"/>
        <v>1</v>
      </c>
    </row>
    <row r="68" spans="1:10" x14ac:dyDescent="0.2">
      <c r="A68" s="822" t="s">
        <v>925</v>
      </c>
      <c r="B68" s="826" t="s">
        <v>145</v>
      </c>
      <c r="C68" s="520">
        <v>2</v>
      </c>
      <c r="D68" s="520">
        <v>13</v>
      </c>
      <c r="E68" s="520">
        <v>9</v>
      </c>
      <c r="F68" s="821">
        <v>5</v>
      </c>
      <c r="G68" s="930">
        <v>6</v>
      </c>
      <c r="H68" s="930"/>
      <c r="I68" s="818">
        <f t="shared" si="0"/>
        <v>35</v>
      </c>
      <c r="J68" s="520">
        <f t="shared" si="1"/>
        <v>1</v>
      </c>
    </row>
    <row r="69" spans="1:10" x14ac:dyDescent="0.2">
      <c r="A69" s="822">
        <v>25</v>
      </c>
      <c r="B69" s="826" t="s">
        <v>26</v>
      </c>
      <c r="C69" s="520">
        <v>9</v>
      </c>
      <c r="D69" s="520">
        <v>0</v>
      </c>
      <c r="E69" s="520">
        <v>9</v>
      </c>
      <c r="F69" s="821">
        <v>13</v>
      </c>
      <c r="G69" s="930">
        <v>3</v>
      </c>
      <c r="H69" s="930"/>
      <c r="I69" s="818">
        <f t="shared" si="0"/>
        <v>34</v>
      </c>
      <c r="J69" s="520">
        <f t="shared" si="1"/>
        <v>1</v>
      </c>
    </row>
    <row r="70" spans="1:10" x14ac:dyDescent="0.2">
      <c r="A70" s="822">
        <v>26</v>
      </c>
      <c r="B70" s="826" t="s">
        <v>249</v>
      </c>
      <c r="C70" s="520">
        <v>12</v>
      </c>
      <c r="D70" s="520">
        <v>1</v>
      </c>
      <c r="E70" s="520">
        <v>3</v>
      </c>
      <c r="F70" s="821">
        <v>13</v>
      </c>
      <c r="G70" s="930">
        <v>3</v>
      </c>
      <c r="H70" s="930"/>
      <c r="I70" s="818">
        <f t="shared" si="0"/>
        <v>32</v>
      </c>
      <c r="J70" s="520">
        <f t="shared" si="1"/>
        <v>1</v>
      </c>
    </row>
    <row r="71" spans="1:10" x14ac:dyDescent="0.2">
      <c r="A71" s="822">
        <v>27</v>
      </c>
      <c r="B71" s="40" t="s">
        <v>38</v>
      </c>
      <c r="C71" s="520">
        <v>2</v>
      </c>
      <c r="D71" s="520">
        <v>0</v>
      </c>
      <c r="E71" s="520">
        <v>13</v>
      </c>
      <c r="F71" s="821">
        <v>2</v>
      </c>
      <c r="G71" s="930">
        <v>13</v>
      </c>
      <c r="H71" s="930"/>
      <c r="I71" s="818">
        <f t="shared" si="0"/>
        <v>30</v>
      </c>
      <c r="J71" s="520">
        <f t="shared" si="1"/>
        <v>2</v>
      </c>
    </row>
    <row r="72" spans="1:10" x14ac:dyDescent="0.2">
      <c r="A72" s="822">
        <v>28</v>
      </c>
      <c r="B72" s="40" t="s">
        <v>37</v>
      </c>
      <c r="C72" s="520">
        <v>8</v>
      </c>
      <c r="D72" s="520">
        <v>13</v>
      </c>
      <c r="E72" s="520">
        <v>0</v>
      </c>
      <c r="F72" s="821">
        <v>5</v>
      </c>
      <c r="G72" s="930">
        <v>3</v>
      </c>
      <c r="H72" s="930"/>
      <c r="I72" s="818">
        <f t="shared" si="0"/>
        <v>29</v>
      </c>
      <c r="J72" s="520">
        <f t="shared" si="1"/>
        <v>1</v>
      </c>
    </row>
  </sheetData>
  <mergeCells count="29">
    <mergeCell ref="G68:H68"/>
    <mergeCell ref="G69:H69"/>
    <mergeCell ref="G70:H70"/>
    <mergeCell ref="G71:H71"/>
    <mergeCell ref="G72:H72"/>
    <mergeCell ref="G67:H67"/>
    <mergeCell ref="G56:H56"/>
    <mergeCell ref="G57:H57"/>
    <mergeCell ref="G58:H58"/>
    <mergeCell ref="G59:H59"/>
    <mergeCell ref="G60:H60"/>
    <mergeCell ref="G61:H61"/>
    <mergeCell ref="G62:H62"/>
    <mergeCell ref="G63:H63"/>
    <mergeCell ref="G64:H64"/>
    <mergeCell ref="G65:H65"/>
    <mergeCell ref="G66:H66"/>
    <mergeCell ref="G55:H55"/>
    <mergeCell ref="G44:H44"/>
    <mergeCell ref="G45:H45"/>
    <mergeCell ref="G46:H46"/>
    <mergeCell ref="G47:H47"/>
    <mergeCell ref="G48:H48"/>
    <mergeCell ref="G49:H49"/>
    <mergeCell ref="G50:H50"/>
    <mergeCell ref="G51:H51"/>
    <mergeCell ref="G52:H52"/>
    <mergeCell ref="G53:H53"/>
    <mergeCell ref="G54:H54"/>
  </mergeCells>
  <conditionalFormatting sqref="J45:J72">
    <cfRule type="top10" dxfId="639" priority="3" rank="1"/>
  </conditionalFormatting>
  <conditionalFormatting sqref="C45:H72">
    <cfRule type="cellIs" dxfId="638" priority="2" operator="equal">
      <formula>13</formula>
    </cfRule>
  </conditionalFormatting>
  <conditionalFormatting sqref="G7:H40">
    <cfRule type="cellIs" dxfId="637" priority="1" operator="equal">
      <formula>13</formula>
    </cfRule>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27"/>
  <sheetViews>
    <sheetView showGridLines="0" showRowColHeaders="0" zoomScaleNormal="100" workbookViewId="0">
      <pane ySplit="2" topLeftCell="A3" activePane="bottomLeft" state="frozen"/>
      <selection activeCell="G1" sqref="G1"/>
      <selection pane="bottomLeft" activeCell="J1" sqref="J1"/>
    </sheetView>
  </sheetViews>
  <sheetFormatPr defaultRowHeight="12.75" x14ac:dyDescent="0.2"/>
  <cols>
    <col min="1" max="1" width="3.5703125" style="79" customWidth="1"/>
    <col min="2" max="2" width="46.28515625" style="79" customWidth="1"/>
    <col min="3" max="10" width="4.7109375" style="79" customWidth="1"/>
    <col min="11" max="12" width="2.7109375" style="79" customWidth="1"/>
    <col min="13" max="16384" width="9.140625" style="79"/>
  </cols>
  <sheetData>
    <row r="1" spans="1:13" x14ac:dyDescent="0.2">
      <c r="A1" s="72" t="str">
        <f>UPPER((Kalend!E36)&amp;" - "&amp;(Kalend!C36)&amp;" - "&amp;(Kalend!D36))</f>
        <v>REG-FIN - REGIOONIDE KARIKA FINAAL - TRIO</v>
      </c>
      <c r="E1" s="41" t="str">
        <f>HYPERLINK("#'Kalend'!I1","Kalender")</f>
        <v>Kalender</v>
      </c>
      <c r="H1" s="41" t="str">
        <f>HYPERLINK("#Üldreiting!s1","Reiting")</f>
        <v>Reiting</v>
      </c>
    </row>
    <row r="2" spans="1:13" x14ac:dyDescent="0.2">
      <c r="A2" s="79" t="str">
        <f>"Toimumisaeg: "&amp;(Kalend!A36)&amp;" kell "&amp;(Kalend!B36)</f>
        <v>Toimumisaeg: L, 14.04.2018 kell 11:00</v>
      </c>
    </row>
    <row r="3" spans="1:13" x14ac:dyDescent="0.2">
      <c r="A3" s="79" t="str">
        <f>"Toimumiskoht: "&amp;(Kalend!F36)</f>
        <v>Toimumiskoht: Tallinn, Algi 38</v>
      </c>
    </row>
    <row r="4" spans="1:13" x14ac:dyDescent="0.2">
      <c r="A4" s="79" t="str">
        <f>"Korraldaja: "&amp;(Kalend!G36)</f>
        <v>Korraldaja: EPKL</v>
      </c>
    </row>
    <row r="5" spans="1:13" x14ac:dyDescent="0.2">
      <c r="A5"/>
      <c r="B5"/>
      <c r="C5"/>
      <c r="D5"/>
      <c r="E5"/>
      <c r="F5"/>
      <c r="G5"/>
      <c r="H5"/>
      <c r="I5"/>
      <c r="J5"/>
      <c r="K5"/>
      <c r="L5"/>
    </row>
    <row r="6" spans="1:13" s="30" customFormat="1" x14ac:dyDescent="0.2">
      <c r="A6" s="459"/>
      <c r="B6" s="459"/>
      <c r="C6" s="460">
        <v>1</v>
      </c>
      <c r="D6" s="460">
        <v>2</v>
      </c>
      <c r="E6" s="460">
        <v>3</v>
      </c>
      <c r="F6" s="460">
        <v>4</v>
      </c>
      <c r="G6" s="460">
        <v>5</v>
      </c>
      <c r="H6" s="460">
        <v>6</v>
      </c>
      <c r="I6" s="874" t="s">
        <v>713</v>
      </c>
      <c r="J6" s="875" t="s">
        <v>87</v>
      </c>
    </row>
    <row r="7" spans="1:13" s="30" customFormat="1" ht="25.5" x14ac:dyDescent="0.2">
      <c r="A7" s="466">
        <v>1</v>
      </c>
      <c r="B7" s="873" t="s">
        <v>929</v>
      </c>
      <c r="C7" s="469"/>
      <c r="D7" s="885">
        <v>1</v>
      </c>
      <c r="E7" s="885">
        <v>8</v>
      </c>
      <c r="F7" s="885">
        <v>1</v>
      </c>
      <c r="G7" s="885">
        <v>12</v>
      </c>
      <c r="H7" s="885">
        <v>13</v>
      </c>
      <c r="I7" s="876" t="s">
        <v>723</v>
      </c>
      <c r="J7" s="877">
        <v>6</v>
      </c>
      <c r="K7" s="892"/>
      <c r="M7" s="42"/>
    </row>
    <row r="8" spans="1:13" s="30" customFormat="1" ht="25.5" x14ac:dyDescent="0.2">
      <c r="A8" s="466">
        <v>2</v>
      </c>
      <c r="B8" s="873" t="s">
        <v>931</v>
      </c>
      <c r="C8" s="885">
        <v>13</v>
      </c>
      <c r="D8" s="469"/>
      <c r="E8" s="885">
        <v>11</v>
      </c>
      <c r="F8" s="885">
        <v>13</v>
      </c>
      <c r="G8" s="894">
        <v>11</v>
      </c>
      <c r="H8" s="885">
        <v>4</v>
      </c>
      <c r="I8" s="893" t="s">
        <v>724</v>
      </c>
      <c r="J8" s="877">
        <v>5</v>
      </c>
      <c r="K8" s="895" t="s">
        <v>605</v>
      </c>
      <c r="M8" s="42"/>
    </row>
    <row r="9" spans="1:13" s="30" customFormat="1" ht="25.5" x14ac:dyDescent="0.2">
      <c r="A9" s="466">
        <v>3</v>
      </c>
      <c r="B9" s="873" t="s">
        <v>930</v>
      </c>
      <c r="C9" s="885">
        <v>13</v>
      </c>
      <c r="D9" s="886">
        <v>13</v>
      </c>
      <c r="E9" s="469"/>
      <c r="F9" s="885">
        <v>5</v>
      </c>
      <c r="G9" s="885">
        <v>13</v>
      </c>
      <c r="H9" s="885">
        <v>13</v>
      </c>
      <c r="I9" s="876" t="s">
        <v>932</v>
      </c>
      <c r="J9" s="877">
        <v>1</v>
      </c>
      <c r="K9" s="892"/>
      <c r="M9" s="42"/>
    </row>
    <row r="10" spans="1:13" s="30" customFormat="1" ht="25.5" x14ac:dyDescent="0.2">
      <c r="A10" s="466">
        <v>4</v>
      </c>
      <c r="B10" s="873" t="s">
        <v>928</v>
      </c>
      <c r="C10" s="885">
        <v>13</v>
      </c>
      <c r="D10" s="886">
        <v>10</v>
      </c>
      <c r="E10" s="885">
        <v>13</v>
      </c>
      <c r="F10" s="469"/>
      <c r="G10" s="885">
        <v>13</v>
      </c>
      <c r="H10" s="888">
        <v>7</v>
      </c>
      <c r="I10" s="890" t="s">
        <v>933</v>
      </c>
      <c r="J10" s="877">
        <v>3</v>
      </c>
      <c r="K10" s="896" t="s">
        <v>605</v>
      </c>
      <c r="M10" s="42"/>
    </row>
    <row r="11" spans="1:13" ht="25.5" x14ac:dyDescent="0.2">
      <c r="A11" s="466">
        <v>5</v>
      </c>
      <c r="B11" s="873" t="s">
        <v>934</v>
      </c>
      <c r="C11" s="885">
        <v>13</v>
      </c>
      <c r="D11" s="894">
        <v>13</v>
      </c>
      <c r="E11" s="885">
        <v>0</v>
      </c>
      <c r="F11" s="885">
        <v>6</v>
      </c>
      <c r="G11" s="469"/>
      <c r="H11" s="885">
        <v>12</v>
      </c>
      <c r="I11" s="893" t="s">
        <v>724</v>
      </c>
      <c r="J11" s="877">
        <v>4</v>
      </c>
      <c r="K11" s="895" t="s">
        <v>758</v>
      </c>
      <c r="L11" s="30"/>
      <c r="M11" s="42"/>
    </row>
    <row r="12" spans="1:13" s="30" customFormat="1" ht="25.5" x14ac:dyDescent="0.2">
      <c r="A12" s="466">
        <v>6</v>
      </c>
      <c r="B12" s="873" t="s">
        <v>927</v>
      </c>
      <c r="C12" s="887">
        <v>6</v>
      </c>
      <c r="D12" s="887">
        <v>13</v>
      </c>
      <c r="E12" s="887">
        <v>7</v>
      </c>
      <c r="F12" s="889">
        <v>13</v>
      </c>
      <c r="G12" s="887">
        <v>13</v>
      </c>
      <c r="H12" s="473"/>
      <c r="I12" s="891" t="s">
        <v>933</v>
      </c>
      <c r="J12" s="877">
        <v>2</v>
      </c>
      <c r="K12" s="896" t="s">
        <v>758</v>
      </c>
      <c r="M12" s="42"/>
    </row>
    <row r="13" spans="1:13" s="30" customFormat="1" x14ac:dyDescent="0.2">
      <c r="J13" s="79"/>
      <c r="K13" s="79"/>
      <c r="L13" s="79"/>
    </row>
    <row r="14" spans="1:13" s="30" customFormat="1" x14ac:dyDescent="0.2">
      <c r="B14" s="463" t="s">
        <v>714</v>
      </c>
      <c r="C14" s="900" t="s">
        <v>715</v>
      </c>
      <c r="D14" s="39" t="s">
        <v>716</v>
      </c>
      <c r="E14" s="39" t="s">
        <v>717</v>
      </c>
      <c r="J14" s="79"/>
      <c r="K14" s="79"/>
      <c r="L14" s="79"/>
    </row>
    <row r="15" spans="1:13" s="30" customFormat="1" x14ac:dyDescent="0.2">
      <c r="B15" s="463" t="s">
        <v>718</v>
      </c>
      <c r="C15" s="900" t="s">
        <v>719</v>
      </c>
      <c r="D15" s="900" t="s">
        <v>720</v>
      </c>
      <c r="E15" s="39" t="s">
        <v>721</v>
      </c>
      <c r="J15" s="79"/>
      <c r="K15" s="79"/>
      <c r="L15" s="79"/>
    </row>
    <row r="16" spans="1:13" x14ac:dyDescent="0.2">
      <c r="A16" s="30"/>
      <c r="B16" s="463" t="s">
        <v>722</v>
      </c>
      <c r="C16" s="900" t="s">
        <v>723</v>
      </c>
      <c r="D16" s="39" t="s">
        <v>724</v>
      </c>
      <c r="E16" s="900" t="s">
        <v>725</v>
      </c>
      <c r="F16" s="30"/>
      <c r="G16" s="30"/>
      <c r="H16" s="30"/>
      <c r="I16" s="30"/>
      <c r="M16" s="30"/>
    </row>
    <row r="17" spans="1:12" s="30" customFormat="1" ht="11.25" customHeight="1" x14ac:dyDescent="0.2">
      <c r="B17" s="463" t="s">
        <v>726</v>
      </c>
      <c r="C17" s="900" t="s">
        <v>727</v>
      </c>
      <c r="D17" s="39" t="s">
        <v>728</v>
      </c>
      <c r="E17" s="39" t="s">
        <v>729</v>
      </c>
      <c r="J17" s="79"/>
      <c r="K17" s="79"/>
      <c r="L17" s="79"/>
    </row>
    <row r="18" spans="1:12" s="30" customFormat="1" x14ac:dyDescent="0.2">
      <c r="B18" s="463" t="s">
        <v>730</v>
      </c>
      <c r="C18" s="900" t="s">
        <v>731</v>
      </c>
      <c r="D18" s="39" t="s">
        <v>732</v>
      </c>
      <c r="E18" s="39" t="s">
        <v>733</v>
      </c>
      <c r="J18" s="79"/>
      <c r="K18" s="79"/>
      <c r="L18" s="79"/>
    </row>
    <row r="19" spans="1:12" s="30" customFormat="1" x14ac:dyDescent="0.2"/>
    <row r="20" spans="1:12" s="42" customFormat="1" x14ac:dyDescent="0.2">
      <c r="H20" s="45"/>
      <c r="I20" s="45"/>
    </row>
    <row r="21" spans="1:12" s="42" customFormat="1" x14ac:dyDescent="0.2">
      <c r="F21" s="45"/>
      <c r="G21" s="79"/>
      <c r="H21" s="79"/>
      <c r="I21" s="79"/>
      <c r="J21" s="79"/>
    </row>
    <row r="22" spans="1:12" s="42" customFormat="1" ht="25.5" customHeight="1" x14ac:dyDescent="0.2">
      <c r="A22" s="511">
        <v>1</v>
      </c>
      <c r="B22" s="897" t="s">
        <v>930</v>
      </c>
      <c r="G22" s="79"/>
      <c r="H22" s="79"/>
      <c r="I22" s="79"/>
      <c r="J22" s="79"/>
    </row>
    <row r="23" spans="1:12" ht="25.5" customHeight="1" x14ac:dyDescent="0.2">
      <c r="A23" s="511">
        <v>2</v>
      </c>
      <c r="B23" s="898" t="s">
        <v>927</v>
      </c>
    </row>
    <row r="24" spans="1:12" ht="25.5" customHeight="1" x14ac:dyDescent="0.2">
      <c r="A24" s="511">
        <v>3</v>
      </c>
      <c r="B24" s="899" t="s">
        <v>928</v>
      </c>
    </row>
    <row r="25" spans="1:12" ht="25.5" customHeight="1" x14ac:dyDescent="0.2">
      <c r="A25" s="511">
        <v>4</v>
      </c>
      <c r="B25" s="873" t="s">
        <v>934</v>
      </c>
    </row>
    <row r="26" spans="1:12" ht="25.5" customHeight="1" x14ac:dyDescent="0.2">
      <c r="A26" s="511">
        <v>5</v>
      </c>
      <c r="B26" s="873" t="s">
        <v>931</v>
      </c>
    </row>
    <row r="27" spans="1:12" ht="25.5" customHeight="1" x14ac:dyDescent="0.2">
      <c r="A27" s="511">
        <v>6</v>
      </c>
      <c r="B27" s="873" t="s">
        <v>929</v>
      </c>
    </row>
  </sheetData>
  <conditionalFormatting sqref="J7:J12">
    <cfRule type="expression" dxfId="636" priority="23">
      <formula>FIND(2,J7,1)</formula>
    </cfRule>
    <cfRule type="expression" dxfId="635" priority="24">
      <formula>FIND(1,J7,1)</formula>
    </cfRule>
  </conditionalFormatting>
  <conditionalFormatting sqref="I7">
    <cfRule type="aboveAverage" dxfId="634" priority="7387"/>
  </conditionalFormatting>
  <conditionalFormatting sqref="I8">
    <cfRule type="aboveAverage" dxfId="633" priority="7388"/>
  </conditionalFormatting>
  <conditionalFormatting sqref="I9">
    <cfRule type="aboveAverage" dxfId="632" priority="7389"/>
  </conditionalFormatting>
  <conditionalFormatting sqref="I10">
    <cfRule type="aboveAverage" dxfId="631" priority="7390"/>
  </conditionalFormatting>
  <conditionalFormatting sqref="I11">
    <cfRule type="aboveAverage" dxfId="630" priority="7391"/>
  </conditionalFormatting>
  <conditionalFormatting sqref="I12">
    <cfRule type="aboveAverage" dxfId="629" priority="7392"/>
  </conditionalFormatting>
  <conditionalFormatting sqref="C7:H12">
    <cfRule type="cellIs" dxfId="628" priority="1" operator="equal">
      <formula>13</formula>
    </cfRule>
  </conditionalFormatting>
  <pageMargins left="0.78740157480314965" right="0.39370078740157483" top="0.78740157480314965" bottom="0.31496062992125984" header="0.59055118110236227" footer="0"/>
  <pageSetup paperSize="9" scale="99" fitToHeight="0" orientation="portrait" verticalDpi="1200" r:id="rId1"/>
  <headerFooter>
    <oddHeader>&amp;R&amp;"Arial,Regular"&amp;9Page &amp;P of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C49"/>
  <sheetViews>
    <sheetView showGridLines="0" showRowColHeaders="0" workbookViewId="0">
      <pane ySplit="2" topLeftCell="A3" activePane="bottomLeft" state="frozen"/>
      <selection pane="bottomLeft" activeCell="G1" sqref="G1"/>
    </sheetView>
  </sheetViews>
  <sheetFormatPr defaultColWidth="9.140625" defaultRowHeight="12.75" x14ac:dyDescent="0.2"/>
  <cols>
    <col min="1" max="1" width="9.140625" style="84" customWidth="1"/>
    <col min="2" max="2" width="15" style="84" bestFit="1" customWidth="1"/>
    <col min="3" max="3" width="16" style="84" bestFit="1" customWidth="1"/>
    <col min="4" max="16384" width="9.140625" style="84"/>
  </cols>
  <sheetData>
    <row r="1" spans="1:2" x14ac:dyDescent="0.2">
      <c r="A1" s="75" t="s">
        <v>273</v>
      </c>
    </row>
    <row r="3" spans="1:2" x14ac:dyDescent="0.2">
      <c r="A3" s="84" t="s">
        <v>258</v>
      </c>
    </row>
    <row r="5" spans="1:2" x14ac:dyDescent="0.2">
      <c r="A5" s="84" t="s">
        <v>259</v>
      </c>
    </row>
    <row r="7" spans="1:2" x14ac:dyDescent="0.2">
      <c r="A7" s="84" t="s">
        <v>97</v>
      </c>
    </row>
    <row r="8" spans="1:2" x14ac:dyDescent="0.2">
      <c r="B8" s="84" t="s">
        <v>260</v>
      </c>
    </row>
    <row r="9" spans="1:2" x14ac:dyDescent="0.2">
      <c r="B9" s="84" t="s">
        <v>261</v>
      </c>
    </row>
    <row r="10" spans="1:2" x14ac:dyDescent="0.2">
      <c r="B10" s="84" t="s">
        <v>262</v>
      </c>
    </row>
    <row r="11" spans="1:2" x14ac:dyDescent="0.2">
      <c r="B11" s="84" t="s">
        <v>263</v>
      </c>
    </row>
    <row r="12" spans="1:2" x14ac:dyDescent="0.2">
      <c r="B12" s="84" t="s">
        <v>264</v>
      </c>
    </row>
    <row r="14" spans="1:2" x14ac:dyDescent="0.2">
      <c r="A14" s="84" t="s">
        <v>98</v>
      </c>
    </row>
    <row r="15" spans="1:2" x14ac:dyDescent="0.2">
      <c r="B15" s="84" t="s">
        <v>265</v>
      </c>
    </row>
    <row r="16" spans="1:2" x14ac:dyDescent="0.2">
      <c r="B16" s="84" t="s">
        <v>266</v>
      </c>
    </row>
    <row r="17" spans="1:3" x14ac:dyDescent="0.2">
      <c r="B17" s="84" t="s">
        <v>267</v>
      </c>
    </row>
    <row r="18" spans="1:3" x14ac:dyDescent="0.2">
      <c r="B18" s="84" t="s">
        <v>268</v>
      </c>
    </row>
    <row r="19" spans="1:3" x14ac:dyDescent="0.2">
      <c r="B19" s="84" t="s">
        <v>269</v>
      </c>
    </row>
    <row r="20" spans="1:3" x14ac:dyDescent="0.2">
      <c r="B20" s="84" t="s">
        <v>270</v>
      </c>
    </row>
    <row r="22" spans="1:3" x14ac:dyDescent="0.2">
      <c r="A22" s="84" t="s">
        <v>107</v>
      </c>
    </row>
    <row r="23" spans="1:3" x14ac:dyDescent="0.2">
      <c r="A23" s="84" t="s">
        <v>108</v>
      </c>
    </row>
    <row r="25" spans="1:3" s="70" customFormat="1" x14ac:dyDescent="0.2">
      <c r="A25" s="70" t="s">
        <v>109</v>
      </c>
    </row>
    <row r="26" spans="1:3" s="70" customFormat="1" x14ac:dyDescent="0.2">
      <c r="A26" s="295" t="s">
        <v>19</v>
      </c>
      <c r="B26" s="295" t="s">
        <v>221</v>
      </c>
      <c r="C26" s="295" t="s">
        <v>222</v>
      </c>
    </row>
    <row r="27" spans="1:3" s="70" customFormat="1" x14ac:dyDescent="0.2">
      <c r="A27" s="85" t="s">
        <v>64</v>
      </c>
      <c r="B27" s="85">
        <v>25</v>
      </c>
      <c r="C27" s="85">
        <v>20</v>
      </c>
    </row>
    <row r="28" spans="1:3" s="70" customFormat="1" x14ac:dyDescent="0.2">
      <c r="A28" s="85" t="s">
        <v>65</v>
      </c>
      <c r="B28" s="85">
        <v>20</v>
      </c>
      <c r="C28" s="85">
        <v>16</v>
      </c>
    </row>
    <row r="29" spans="1:3" s="70" customFormat="1" x14ac:dyDescent="0.2">
      <c r="A29" s="85" t="s">
        <v>66</v>
      </c>
      <c r="B29" s="85">
        <v>16</v>
      </c>
      <c r="C29" s="85">
        <v>12</v>
      </c>
    </row>
    <row r="30" spans="1:3" s="70" customFormat="1" x14ac:dyDescent="0.2">
      <c r="A30" s="85" t="s">
        <v>110</v>
      </c>
      <c r="B30" s="85">
        <v>12</v>
      </c>
      <c r="C30" s="85">
        <v>9</v>
      </c>
    </row>
    <row r="31" spans="1:3" s="70" customFormat="1" x14ac:dyDescent="0.2">
      <c r="A31" s="85" t="s">
        <v>111</v>
      </c>
      <c r="B31" s="85">
        <v>9</v>
      </c>
      <c r="C31" s="85">
        <v>7</v>
      </c>
    </row>
    <row r="32" spans="1:3" s="70" customFormat="1" x14ac:dyDescent="0.2">
      <c r="A32" s="85" t="s">
        <v>112</v>
      </c>
      <c r="B32" s="85">
        <v>7</v>
      </c>
      <c r="C32" s="85">
        <v>5</v>
      </c>
    </row>
    <row r="33" spans="1:3" s="70" customFormat="1" x14ac:dyDescent="0.2">
      <c r="A33" s="85" t="s">
        <v>105</v>
      </c>
      <c r="B33" s="85">
        <v>5</v>
      </c>
      <c r="C33" s="85">
        <v>4</v>
      </c>
    </row>
    <row r="34" spans="1:3" s="70" customFormat="1" x14ac:dyDescent="0.2">
      <c r="A34" s="85" t="s">
        <v>106</v>
      </c>
      <c r="B34" s="85">
        <v>4</v>
      </c>
      <c r="C34" s="85">
        <v>3</v>
      </c>
    </row>
    <row r="35" spans="1:3" s="70" customFormat="1" x14ac:dyDescent="0.2">
      <c r="A35" s="295" t="s">
        <v>223</v>
      </c>
      <c r="B35" s="85">
        <v>2</v>
      </c>
      <c r="C35" s="85">
        <v>1</v>
      </c>
    </row>
    <row r="36" spans="1:3" s="70" customFormat="1" x14ac:dyDescent="0.2">
      <c r="A36" s="308"/>
      <c r="B36" s="5"/>
      <c r="C36" s="5"/>
    </row>
    <row r="37" spans="1:3" x14ac:dyDescent="0.2">
      <c r="A37" s="84" t="s">
        <v>271</v>
      </c>
    </row>
    <row r="38" spans="1:3" x14ac:dyDescent="0.2">
      <c r="A38" s="84" t="s">
        <v>99</v>
      </c>
    </row>
    <row r="40" spans="1:3" x14ac:dyDescent="0.2">
      <c r="A40" s="84" t="s">
        <v>100</v>
      </c>
    </row>
    <row r="41" spans="1:3" x14ac:dyDescent="0.2">
      <c r="A41" s="84" t="s">
        <v>101</v>
      </c>
    </row>
    <row r="42" spans="1:3" x14ac:dyDescent="0.2">
      <c r="A42" s="84" t="s">
        <v>272</v>
      </c>
    </row>
    <row r="44" spans="1:3" x14ac:dyDescent="0.2">
      <c r="A44" s="84" t="s">
        <v>113</v>
      </c>
    </row>
    <row r="45" spans="1:3" x14ac:dyDescent="0.2">
      <c r="A45" s="84" t="s">
        <v>114</v>
      </c>
    </row>
    <row r="46" spans="1:3" x14ac:dyDescent="0.2">
      <c r="A46" s="84" t="s">
        <v>115</v>
      </c>
    </row>
    <row r="47" spans="1:3" x14ac:dyDescent="0.2">
      <c r="A47" s="84" t="s">
        <v>116</v>
      </c>
    </row>
    <row r="49" spans="1:1" x14ac:dyDescent="0.2">
      <c r="A49" s="84" t="s">
        <v>117</v>
      </c>
    </row>
  </sheetData>
  <pageMargins left="0.78740157480314965" right="0.78740157480314965" top="0.78740157480314965" bottom="0.39370078740157483" header="0.59055118110236227" footer="0"/>
  <pageSetup paperSize="9" fitToHeight="0" orientation="portrait" r:id="rId1"/>
  <headerFooter>
    <oddHeader>&amp;R&amp;9Page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166"/>
  <sheetViews>
    <sheetView showGridLines="0" showRowColHeaders="0" zoomScaleNormal="100" workbookViewId="0">
      <pane ySplit="2" topLeftCell="A3" activePane="bottomLeft" state="frozen"/>
      <selection activeCell="B1" sqref="B1"/>
      <selection pane="bottomLeft" activeCell="B1" sqref="B1"/>
    </sheetView>
  </sheetViews>
  <sheetFormatPr defaultColWidth="9.140625" defaultRowHeight="12.75" x14ac:dyDescent="0.2"/>
  <cols>
    <col min="1" max="1" width="83.5703125" style="86" customWidth="1"/>
    <col min="2" max="16384" width="9.140625" style="86"/>
  </cols>
  <sheetData>
    <row r="1" spans="1:1" x14ac:dyDescent="0.2">
      <c r="A1" s="318" t="s">
        <v>529</v>
      </c>
    </row>
    <row r="3" spans="1:1" x14ac:dyDescent="0.2">
      <c r="A3" s="86" t="s">
        <v>385</v>
      </c>
    </row>
    <row r="5" spans="1:1" x14ac:dyDescent="0.2">
      <c r="A5" s="86" t="s">
        <v>386</v>
      </c>
    </row>
    <row r="6" spans="1:1" ht="25.5" x14ac:dyDescent="0.2">
      <c r="A6" s="86" t="s">
        <v>387</v>
      </c>
    </row>
    <row r="7" spans="1:1" ht="25.5" x14ac:dyDescent="0.2">
      <c r="A7" s="86" t="s">
        <v>388</v>
      </c>
    </row>
    <row r="8" spans="1:1" x14ac:dyDescent="0.2">
      <c r="A8" s="86" t="s">
        <v>389</v>
      </c>
    </row>
    <row r="9" spans="1:1" x14ac:dyDescent="0.2">
      <c r="A9" s="86" t="s">
        <v>390</v>
      </c>
    </row>
    <row r="10" spans="1:1" ht="38.25" x14ac:dyDescent="0.2">
      <c r="A10" s="86" t="s">
        <v>391</v>
      </c>
    </row>
    <row r="12" spans="1:1" x14ac:dyDescent="0.2">
      <c r="A12" s="86" t="s">
        <v>392</v>
      </c>
    </row>
    <row r="13" spans="1:1" ht="51" x14ac:dyDescent="0.2">
      <c r="A13" s="86" t="s">
        <v>393</v>
      </c>
    </row>
    <row r="14" spans="1:1" ht="38.25" x14ac:dyDescent="0.2">
      <c r="A14" s="86" t="s">
        <v>394</v>
      </c>
    </row>
    <row r="16" spans="1:1" x14ac:dyDescent="0.2">
      <c r="A16" s="86" t="s">
        <v>395</v>
      </c>
    </row>
    <row r="17" spans="1:1" ht="25.5" x14ac:dyDescent="0.2">
      <c r="A17" s="86" t="s">
        <v>396</v>
      </c>
    </row>
    <row r="18" spans="1:1" ht="38.25" x14ac:dyDescent="0.2">
      <c r="A18" s="86" t="s">
        <v>397</v>
      </c>
    </row>
    <row r="19" spans="1:1" ht="25.5" x14ac:dyDescent="0.2">
      <c r="A19" s="86" t="s">
        <v>398</v>
      </c>
    </row>
    <row r="20" spans="1:1" ht="25.5" x14ac:dyDescent="0.2">
      <c r="A20" s="86" t="s">
        <v>399</v>
      </c>
    </row>
    <row r="21" spans="1:1" ht="25.5" x14ac:dyDescent="0.2">
      <c r="A21" s="86" t="s">
        <v>400</v>
      </c>
    </row>
    <row r="23" spans="1:1" x14ac:dyDescent="0.2">
      <c r="A23" s="86" t="s">
        <v>401</v>
      </c>
    </row>
    <row r="24" spans="1:1" ht="25.5" x14ac:dyDescent="0.2">
      <c r="A24" s="86" t="s">
        <v>402</v>
      </c>
    </row>
    <row r="25" spans="1:1" ht="38.25" x14ac:dyDescent="0.2">
      <c r="A25" s="86" t="s">
        <v>403</v>
      </c>
    </row>
    <row r="26" spans="1:1" ht="38.25" x14ac:dyDescent="0.2">
      <c r="A26" s="86" t="s">
        <v>404</v>
      </c>
    </row>
    <row r="27" spans="1:1" ht="63.75" x14ac:dyDescent="0.2">
      <c r="A27" s="86" t="s">
        <v>405</v>
      </c>
    </row>
    <row r="28" spans="1:1" x14ac:dyDescent="0.2">
      <c r="A28" s="86" t="s">
        <v>406</v>
      </c>
    </row>
    <row r="29" spans="1:1" x14ac:dyDescent="0.2">
      <c r="A29" s="86" t="s">
        <v>407</v>
      </c>
    </row>
    <row r="30" spans="1:1" x14ac:dyDescent="0.2">
      <c r="A30" s="86" t="s">
        <v>408</v>
      </c>
    </row>
    <row r="31" spans="1:1" ht="63.75" x14ac:dyDescent="0.2">
      <c r="A31" s="86" t="s">
        <v>409</v>
      </c>
    </row>
    <row r="32" spans="1:1" ht="25.5" x14ac:dyDescent="0.2">
      <c r="A32" s="86" t="s">
        <v>410</v>
      </c>
    </row>
    <row r="33" spans="1:1" x14ac:dyDescent="0.2">
      <c r="A33" s="86" t="s">
        <v>411</v>
      </c>
    </row>
    <row r="34" spans="1:1" ht="25.5" x14ac:dyDescent="0.2">
      <c r="A34" s="86" t="s">
        <v>412</v>
      </c>
    </row>
    <row r="35" spans="1:1" ht="38.25" x14ac:dyDescent="0.2">
      <c r="A35" s="86" t="s">
        <v>413</v>
      </c>
    </row>
    <row r="36" spans="1:1" x14ac:dyDescent="0.2">
      <c r="A36" s="86" t="s">
        <v>414</v>
      </c>
    </row>
    <row r="38" spans="1:1" x14ac:dyDescent="0.2">
      <c r="A38" s="86" t="s">
        <v>415</v>
      </c>
    </row>
    <row r="39" spans="1:1" x14ac:dyDescent="0.2">
      <c r="A39" s="86" t="s">
        <v>416</v>
      </c>
    </row>
    <row r="40" spans="1:1" ht="38.25" x14ac:dyDescent="0.2">
      <c r="A40" s="86" t="s">
        <v>417</v>
      </c>
    </row>
    <row r="41" spans="1:1" ht="25.5" x14ac:dyDescent="0.2">
      <c r="A41" s="86" t="s">
        <v>418</v>
      </c>
    </row>
    <row r="43" spans="1:1" x14ac:dyDescent="0.2">
      <c r="A43" s="86" t="s">
        <v>419</v>
      </c>
    </row>
    <row r="44" spans="1:1" x14ac:dyDescent="0.2">
      <c r="A44" s="86" t="s">
        <v>420</v>
      </c>
    </row>
    <row r="45" spans="1:1" ht="38.25" x14ac:dyDescent="0.2">
      <c r="A45" s="86" t="s">
        <v>421</v>
      </c>
    </row>
    <row r="46" spans="1:1" x14ac:dyDescent="0.2">
      <c r="A46" s="86" t="s">
        <v>422</v>
      </c>
    </row>
    <row r="47" spans="1:1" ht="25.5" x14ac:dyDescent="0.2">
      <c r="A47" s="86" t="s">
        <v>423</v>
      </c>
    </row>
    <row r="48" spans="1:1" ht="25.5" x14ac:dyDescent="0.2">
      <c r="A48" s="86" t="s">
        <v>424</v>
      </c>
    </row>
    <row r="50" spans="1:1" x14ac:dyDescent="0.2">
      <c r="A50" s="86" t="s">
        <v>425</v>
      </c>
    </row>
    <row r="51" spans="1:1" ht="63.75" x14ac:dyDescent="0.2">
      <c r="A51" s="86" t="s">
        <v>426</v>
      </c>
    </row>
    <row r="52" spans="1:1" x14ac:dyDescent="0.2">
      <c r="A52" s="86" t="s">
        <v>427</v>
      </c>
    </row>
    <row r="54" spans="1:1" x14ac:dyDescent="0.2">
      <c r="A54" s="86" t="s">
        <v>428</v>
      </c>
    </row>
    <row r="55" spans="1:1" ht="38.25" x14ac:dyDescent="0.2">
      <c r="A55" s="86" t="s">
        <v>429</v>
      </c>
    </row>
    <row r="56" spans="1:1" x14ac:dyDescent="0.2">
      <c r="A56" s="86" t="s">
        <v>430</v>
      </c>
    </row>
    <row r="57" spans="1:1" ht="38.25" x14ac:dyDescent="0.2">
      <c r="A57" s="86" t="s">
        <v>431</v>
      </c>
    </row>
    <row r="59" spans="1:1" x14ac:dyDescent="0.2">
      <c r="A59" s="86" t="s">
        <v>432</v>
      </c>
    </row>
    <row r="60" spans="1:1" ht="38.25" x14ac:dyDescent="0.2">
      <c r="A60" s="86" t="s">
        <v>433</v>
      </c>
    </row>
    <row r="61" spans="1:1" x14ac:dyDescent="0.2">
      <c r="A61" s="86" t="s">
        <v>434</v>
      </c>
    </row>
    <row r="62" spans="1:1" x14ac:dyDescent="0.2">
      <c r="A62" s="86" t="s">
        <v>435</v>
      </c>
    </row>
    <row r="63" spans="1:1" x14ac:dyDescent="0.2">
      <c r="A63" s="86" t="s">
        <v>436</v>
      </c>
    </row>
    <row r="64" spans="1:1" x14ac:dyDescent="0.2">
      <c r="A64" s="86" t="s">
        <v>437</v>
      </c>
    </row>
    <row r="65" spans="1:1" x14ac:dyDescent="0.2">
      <c r="A65" s="86" t="s">
        <v>438</v>
      </c>
    </row>
    <row r="66" spans="1:1" x14ac:dyDescent="0.2">
      <c r="A66" s="86" t="s">
        <v>439</v>
      </c>
    </row>
    <row r="67" spans="1:1" x14ac:dyDescent="0.2">
      <c r="A67" s="86" t="s">
        <v>440</v>
      </c>
    </row>
    <row r="68" spans="1:1" ht="25.5" x14ac:dyDescent="0.2">
      <c r="A68" s="86" t="s">
        <v>441</v>
      </c>
    </row>
    <row r="69" spans="1:1" x14ac:dyDescent="0.2">
      <c r="A69" s="86" t="s">
        <v>442</v>
      </c>
    </row>
    <row r="70" spans="1:1" x14ac:dyDescent="0.2">
      <c r="A70" s="86" t="s">
        <v>443</v>
      </c>
    </row>
    <row r="71" spans="1:1" x14ac:dyDescent="0.2">
      <c r="A71" s="86" t="s">
        <v>444</v>
      </c>
    </row>
    <row r="72" spans="1:1" x14ac:dyDescent="0.2">
      <c r="A72" s="86" t="s">
        <v>445</v>
      </c>
    </row>
    <row r="73" spans="1:1" x14ac:dyDescent="0.2">
      <c r="A73" s="86" t="s">
        <v>446</v>
      </c>
    </row>
    <row r="74" spans="1:1" x14ac:dyDescent="0.2">
      <c r="A74" s="86" t="s">
        <v>447</v>
      </c>
    </row>
    <row r="75" spans="1:1" x14ac:dyDescent="0.2">
      <c r="A75" s="86" t="s">
        <v>448</v>
      </c>
    </row>
    <row r="77" spans="1:1" x14ac:dyDescent="0.2">
      <c r="A77" s="86" t="s">
        <v>449</v>
      </c>
    </row>
    <row r="78" spans="1:1" ht="51" x14ac:dyDescent="0.2">
      <c r="A78" s="86" t="s">
        <v>450</v>
      </c>
    </row>
    <row r="79" spans="1:1" x14ac:dyDescent="0.2">
      <c r="A79" s="86" t="s">
        <v>451</v>
      </c>
    </row>
    <row r="81" spans="1:1" x14ac:dyDescent="0.2">
      <c r="A81" s="86" t="s">
        <v>452</v>
      </c>
    </row>
    <row r="82" spans="1:1" x14ac:dyDescent="0.2">
      <c r="A82" s="86" t="s">
        <v>453</v>
      </c>
    </row>
    <row r="83" spans="1:1" ht="63.75" x14ac:dyDescent="0.2">
      <c r="A83" s="86" t="s">
        <v>454</v>
      </c>
    </row>
    <row r="85" spans="1:1" x14ac:dyDescent="0.2">
      <c r="A85" s="86" t="s">
        <v>455</v>
      </c>
    </row>
    <row r="86" spans="1:1" ht="38.25" x14ac:dyDescent="0.2">
      <c r="A86" s="86" t="s">
        <v>456</v>
      </c>
    </row>
    <row r="88" spans="1:1" x14ac:dyDescent="0.2">
      <c r="A88" s="86" t="s">
        <v>457</v>
      </c>
    </row>
    <row r="89" spans="1:1" ht="38.25" x14ac:dyDescent="0.2">
      <c r="A89" s="86" t="s">
        <v>458</v>
      </c>
    </row>
    <row r="90" spans="1:1" ht="38.25" x14ac:dyDescent="0.2">
      <c r="A90" s="86" t="s">
        <v>459</v>
      </c>
    </row>
    <row r="91" spans="1:1" ht="63.75" x14ac:dyDescent="0.2">
      <c r="A91" s="86" t="s">
        <v>460</v>
      </c>
    </row>
    <row r="93" spans="1:1" x14ac:dyDescent="0.2">
      <c r="A93" s="86" t="s">
        <v>461</v>
      </c>
    </row>
    <row r="94" spans="1:1" x14ac:dyDescent="0.2">
      <c r="A94" s="86" t="s">
        <v>462</v>
      </c>
    </row>
    <row r="95" spans="1:1" ht="38.25" x14ac:dyDescent="0.2">
      <c r="A95" s="86" t="s">
        <v>463</v>
      </c>
    </row>
    <row r="96" spans="1:1" ht="25.5" x14ac:dyDescent="0.2">
      <c r="A96" s="86" t="s">
        <v>464</v>
      </c>
    </row>
    <row r="97" spans="1:1" ht="25.5" x14ac:dyDescent="0.2">
      <c r="A97" s="86" t="s">
        <v>465</v>
      </c>
    </row>
    <row r="98" spans="1:1" ht="25.5" x14ac:dyDescent="0.2">
      <c r="A98" s="86" t="s">
        <v>466</v>
      </c>
    </row>
    <row r="100" spans="1:1" x14ac:dyDescent="0.2">
      <c r="A100" s="86" t="s">
        <v>467</v>
      </c>
    </row>
    <row r="101" spans="1:1" ht="51" x14ac:dyDescent="0.2">
      <c r="A101" s="86" t="s">
        <v>468</v>
      </c>
    </row>
    <row r="102" spans="1:1" x14ac:dyDescent="0.2">
      <c r="A102" s="86" t="s">
        <v>469</v>
      </c>
    </row>
    <row r="103" spans="1:1" x14ac:dyDescent="0.2">
      <c r="A103" s="86" t="s">
        <v>470</v>
      </c>
    </row>
    <row r="104" spans="1:1" x14ac:dyDescent="0.2">
      <c r="A104" s="86" t="s">
        <v>471</v>
      </c>
    </row>
    <row r="105" spans="1:1" ht="25.5" x14ac:dyDescent="0.2">
      <c r="A105" s="86" t="s">
        <v>472</v>
      </c>
    </row>
    <row r="106" spans="1:1" x14ac:dyDescent="0.2">
      <c r="A106" s="86" t="s">
        <v>473</v>
      </c>
    </row>
    <row r="107" spans="1:1" ht="25.5" x14ac:dyDescent="0.2">
      <c r="A107" s="86" t="s">
        <v>474</v>
      </c>
    </row>
    <row r="108" spans="1:1" ht="25.5" x14ac:dyDescent="0.2">
      <c r="A108" s="86" t="s">
        <v>475</v>
      </c>
    </row>
    <row r="109" spans="1:1" ht="25.5" x14ac:dyDescent="0.2">
      <c r="A109" s="86" t="s">
        <v>476</v>
      </c>
    </row>
    <row r="110" spans="1:1" ht="89.25" x14ac:dyDescent="0.2">
      <c r="A110" s="86" t="s">
        <v>477</v>
      </c>
    </row>
    <row r="111" spans="1:1" ht="25.5" x14ac:dyDescent="0.2">
      <c r="A111" s="86" t="s">
        <v>478</v>
      </c>
    </row>
    <row r="112" spans="1:1" ht="63.75" x14ac:dyDescent="0.2">
      <c r="A112" s="86" t="s">
        <v>479</v>
      </c>
    </row>
    <row r="113" spans="1:1" ht="51" x14ac:dyDescent="0.2">
      <c r="A113" s="86" t="s">
        <v>480</v>
      </c>
    </row>
    <row r="114" spans="1:1" ht="38.25" x14ac:dyDescent="0.2">
      <c r="A114" s="86" t="s">
        <v>481</v>
      </c>
    </row>
    <row r="115" spans="1:1" ht="76.5" x14ac:dyDescent="0.2">
      <c r="A115" s="86" t="s">
        <v>482</v>
      </c>
    </row>
    <row r="116" spans="1:1" ht="38.25" x14ac:dyDescent="0.2">
      <c r="A116" s="86" t="s">
        <v>483</v>
      </c>
    </row>
    <row r="118" spans="1:1" ht="25.5" x14ac:dyDescent="0.2">
      <c r="A118" s="86" t="s">
        <v>484</v>
      </c>
    </row>
    <row r="119" spans="1:1" x14ac:dyDescent="0.2">
      <c r="A119" s="86" t="s">
        <v>485</v>
      </c>
    </row>
    <row r="120" spans="1:1" ht="25.5" x14ac:dyDescent="0.2">
      <c r="A120" s="86" t="s">
        <v>486</v>
      </c>
    </row>
    <row r="121" spans="1:1" x14ac:dyDescent="0.2">
      <c r="A121" s="86" t="s">
        <v>487</v>
      </c>
    </row>
    <row r="122" spans="1:1" ht="25.5" x14ac:dyDescent="0.2">
      <c r="A122" s="86" t="s">
        <v>488</v>
      </c>
    </row>
    <row r="123" spans="1:1" ht="25.5" x14ac:dyDescent="0.2">
      <c r="A123" s="86" t="s">
        <v>489</v>
      </c>
    </row>
    <row r="124" spans="1:1" ht="25.5" x14ac:dyDescent="0.2">
      <c r="A124" s="86" t="s">
        <v>490</v>
      </c>
    </row>
    <row r="125" spans="1:1" x14ac:dyDescent="0.2">
      <c r="A125" s="86" t="s">
        <v>491</v>
      </c>
    </row>
    <row r="126" spans="1:1" ht="25.5" x14ac:dyDescent="0.2">
      <c r="A126" s="86" t="s">
        <v>492</v>
      </c>
    </row>
    <row r="127" spans="1:1" ht="25.5" x14ac:dyDescent="0.2">
      <c r="A127" s="86" t="s">
        <v>493</v>
      </c>
    </row>
    <row r="128" spans="1:1" ht="25.5" x14ac:dyDescent="0.2">
      <c r="A128" s="86" t="s">
        <v>494</v>
      </c>
    </row>
    <row r="130" spans="1:1" ht="63.75" x14ac:dyDescent="0.2">
      <c r="A130" s="86" t="s">
        <v>495</v>
      </c>
    </row>
    <row r="131" spans="1:1" ht="63.75" x14ac:dyDescent="0.2">
      <c r="A131" s="86" t="s">
        <v>496</v>
      </c>
    </row>
    <row r="132" spans="1:1" ht="38.25" x14ac:dyDescent="0.2">
      <c r="A132" s="86" t="s">
        <v>497</v>
      </c>
    </row>
    <row r="133" spans="1:1" x14ac:dyDescent="0.2">
      <c r="A133" s="86" t="s">
        <v>498</v>
      </c>
    </row>
    <row r="135" spans="1:1" x14ac:dyDescent="0.2">
      <c r="A135" s="86" t="s">
        <v>499</v>
      </c>
    </row>
    <row r="136" spans="1:1" x14ac:dyDescent="0.2">
      <c r="A136" s="86" t="s">
        <v>500</v>
      </c>
    </row>
    <row r="137" spans="1:1" ht="38.25" x14ac:dyDescent="0.2">
      <c r="A137" s="86" t="s">
        <v>501</v>
      </c>
    </row>
    <row r="138" spans="1:1" ht="25.5" x14ac:dyDescent="0.2">
      <c r="A138" s="86" t="s">
        <v>502</v>
      </c>
    </row>
    <row r="140" spans="1:1" x14ac:dyDescent="0.2">
      <c r="A140" s="86" t="s">
        <v>503</v>
      </c>
    </row>
    <row r="141" spans="1:1" ht="63.75" x14ac:dyDescent="0.2">
      <c r="A141" s="86" t="s">
        <v>504</v>
      </c>
    </row>
    <row r="142" spans="1:1" x14ac:dyDescent="0.2">
      <c r="A142" s="86" t="s">
        <v>505</v>
      </c>
    </row>
    <row r="143" spans="1:1" x14ac:dyDescent="0.2">
      <c r="A143" s="86" t="s">
        <v>506</v>
      </c>
    </row>
    <row r="144" spans="1:1" x14ac:dyDescent="0.2">
      <c r="A144" s="86" t="s">
        <v>507</v>
      </c>
    </row>
    <row r="145" spans="1:1" ht="89.25" x14ac:dyDescent="0.2">
      <c r="A145" s="86" t="s">
        <v>508</v>
      </c>
    </row>
    <row r="146" spans="1:1" ht="76.5" x14ac:dyDescent="0.2">
      <c r="A146" s="86" t="s">
        <v>509</v>
      </c>
    </row>
    <row r="147" spans="1:1" ht="25.5" x14ac:dyDescent="0.2">
      <c r="A147" s="86" t="s">
        <v>510</v>
      </c>
    </row>
    <row r="148" spans="1:1" x14ac:dyDescent="0.2">
      <c r="A148" s="86" t="s">
        <v>511</v>
      </c>
    </row>
    <row r="149" spans="1:1" x14ac:dyDescent="0.2">
      <c r="A149" s="86" t="s">
        <v>512</v>
      </c>
    </row>
    <row r="150" spans="1:1" x14ac:dyDescent="0.2">
      <c r="A150" s="86" t="s">
        <v>513</v>
      </c>
    </row>
    <row r="151" spans="1:1" x14ac:dyDescent="0.2">
      <c r="A151" s="86" t="s">
        <v>514</v>
      </c>
    </row>
    <row r="152" spans="1:1" x14ac:dyDescent="0.2">
      <c r="A152" s="86" t="s">
        <v>515</v>
      </c>
    </row>
    <row r="153" spans="1:1" x14ac:dyDescent="0.2">
      <c r="A153" s="86" t="s">
        <v>516</v>
      </c>
    </row>
    <row r="154" spans="1:1" x14ac:dyDescent="0.2">
      <c r="A154" s="86" t="s">
        <v>517</v>
      </c>
    </row>
    <row r="155" spans="1:1" ht="38.25" x14ac:dyDescent="0.2">
      <c r="A155" s="86" t="s">
        <v>518</v>
      </c>
    </row>
    <row r="156" spans="1:1" x14ac:dyDescent="0.2">
      <c r="A156" s="86" t="s">
        <v>519</v>
      </c>
    </row>
    <row r="157" spans="1:1" ht="51" x14ac:dyDescent="0.2">
      <c r="A157" s="86" t="s">
        <v>520</v>
      </c>
    </row>
    <row r="158" spans="1:1" x14ac:dyDescent="0.2">
      <c r="A158" s="86" t="s">
        <v>521</v>
      </c>
    </row>
    <row r="159" spans="1:1" x14ac:dyDescent="0.2">
      <c r="A159" s="86" t="s">
        <v>522</v>
      </c>
    </row>
    <row r="160" spans="1:1" ht="38.25" x14ac:dyDescent="0.2">
      <c r="A160" s="86" t="s">
        <v>523</v>
      </c>
    </row>
    <row r="161" spans="1:1" ht="25.5" x14ac:dyDescent="0.2">
      <c r="A161" s="86" t="s">
        <v>524</v>
      </c>
    </row>
    <row r="162" spans="1:1" ht="25.5" x14ac:dyDescent="0.2">
      <c r="A162" s="86" t="s">
        <v>525</v>
      </c>
    </row>
    <row r="163" spans="1:1" ht="38.25" x14ac:dyDescent="0.2">
      <c r="A163" s="86" t="s">
        <v>526</v>
      </c>
    </row>
    <row r="164" spans="1:1" x14ac:dyDescent="0.2">
      <c r="A164" s="86" t="s">
        <v>527</v>
      </c>
    </row>
    <row r="166" spans="1:1" ht="25.5" x14ac:dyDescent="0.2">
      <c r="A166" s="86" t="s">
        <v>528</v>
      </c>
    </row>
  </sheetData>
  <pageMargins left="0.78740157480314965" right="0.78740157480314965" top="0.78740157480314965" bottom="0.39370078740157483" header="0.59055118110236227" footer="0"/>
  <pageSetup paperSize="9" fitToHeight="0" orientation="portrait" verticalDpi="0" r:id="rId1"/>
  <headerFooter>
    <oddHeader>&amp;R&amp;9Page &amp;P of &amp;N</oddHeader>
  </headerFooter>
  <rowBreaks count="4" manualBreakCount="4">
    <brk id="36" man="1"/>
    <brk id="79" man="1"/>
    <brk id="113" man="1"/>
    <brk id="14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72"/>
  <sheetViews>
    <sheetView showGridLines="0" showRowColHeaders="0" zoomScaleNormal="100" workbookViewId="0">
      <pane ySplit="2" topLeftCell="A3" activePane="bottomLeft" state="frozen"/>
      <selection activeCell="B1" sqref="B1"/>
      <selection pane="bottomLeft" activeCell="B1" sqref="B1"/>
    </sheetView>
  </sheetViews>
  <sheetFormatPr defaultRowHeight="12.75" x14ac:dyDescent="0.2"/>
  <cols>
    <col min="1" max="1" width="86.7109375" style="86" customWidth="1"/>
    <col min="2" max="16384" width="9.140625" style="86"/>
  </cols>
  <sheetData>
    <row r="1" spans="1:1" x14ac:dyDescent="0.2">
      <c r="A1" s="318" t="s">
        <v>384</v>
      </c>
    </row>
    <row r="3" spans="1:1" x14ac:dyDescent="0.2">
      <c r="A3" s="86" t="s">
        <v>310</v>
      </c>
    </row>
    <row r="5" spans="1:1" x14ac:dyDescent="0.2">
      <c r="A5" s="86" t="s">
        <v>118</v>
      </c>
    </row>
    <row r="6" spans="1:1" ht="25.5" x14ac:dyDescent="0.2">
      <c r="A6" s="86" t="s">
        <v>119</v>
      </c>
    </row>
    <row r="8" spans="1:1" x14ac:dyDescent="0.2">
      <c r="A8" s="86" t="s">
        <v>120</v>
      </c>
    </row>
    <row r="9" spans="1:1" x14ac:dyDescent="0.2">
      <c r="A9" s="86" t="s">
        <v>121</v>
      </c>
    </row>
    <row r="11" spans="1:1" x14ac:dyDescent="0.2">
      <c r="A11" s="86" t="s">
        <v>136</v>
      </c>
    </row>
    <row r="12" spans="1:1" ht="38.25" x14ac:dyDescent="0.2">
      <c r="A12" s="86" t="s">
        <v>311</v>
      </c>
    </row>
    <row r="14" spans="1:1" x14ac:dyDescent="0.2">
      <c r="A14" s="86" t="s">
        <v>122</v>
      </c>
    </row>
    <row r="15" spans="1:1" ht="25.5" x14ac:dyDescent="0.2">
      <c r="A15" s="86" t="s">
        <v>123</v>
      </c>
    </row>
    <row r="17" spans="1:1" x14ac:dyDescent="0.2">
      <c r="A17" s="86" t="s">
        <v>312</v>
      </c>
    </row>
    <row r="18" spans="1:1" x14ac:dyDescent="0.2">
      <c r="A18" s="86" t="s">
        <v>313</v>
      </c>
    </row>
    <row r="20" spans="1:1" x14ac:dyDescent="0.2">
      <c r="A20" s="86" t="s">
        <v>124</v>
      </c>
    </row>
    <row r="21" spans="1:1" x14ac:dyDescent="0.2">
      <c r="A21" s="86" t="s">
        <v>314</v>
      </c>
    </row>
    <row r="22" spans="1:1" x14ac:dyDescent="0.2">
      <c r="A22" s="86" t="s">
        <v>315</v>
      </c>
    </row>
    <row r="23" spans="1:1" x14ac:dyDescent="0.2">
      <c r="A23" s="86" t="s">
        <v>316</v>
      </c>
    </row>
    <row r="24" spans="1:1" x14ac:dyDescent="0.2">
      <c r="A24" s="86" t="s">
        <v>317</v>
      </c>
    </row>
    <row r="26" spans="1:1" x14ac:dyDescent="0.2">
      <c r="A26" s="86" t="s">
        <v>125</v>
      </c>
    </row>
    <row r="27" spans="1:1" x14ac:dyDescent="0.2">
      <c r="A27" s="86" t="s">
        <v>318</v>
      </c>
    </row>
    <row r="28" spans="1:1" x14ac:dyDescent="0.2">
      <c r="A28" s="86" t="s">
        <v>148</v>
      </c>
    </row>
    <row r="29" spans="1:1" x14ac:dyDescent="0.2">
      <c r="A29" s="86" t="s">
        <v>319</v>
      </c>
    </row>
    <row r="30" spans="1:1" x14ac:dyDescent="0.2">
      <c r="A30" s="86" t="s">
        <v>126</v>
      </c>
    </row>
    <row r="32" spans="1:1" x14ac:dyDescent="0.2">
      <c r="A32" s="86" t="s">
        <v>127</v>
      </c>
    </row>
    <row r="33" spans="1:1" x14ac:dyDescent="0.2">
      <c r="A33" s="86" t="s">
        <v>128</v>
      </c>
    </row>
    <row r="34" spans="1:1" x14ac:dyDescent="0.2">
      <c r="A34" s="86" t="s">
        <v>320</v>
      </c>
    </row>
    <row r="35" spans="1:1" x14ac:dyDescent="0.2">
      <c r="A35" s="86" t="s">
        <v>321</v>
      </c>
    </row>
    <row r="36" spans="1:1" ht="25.5" x14ac:dyDescent="0.2">
      <c r="A36" s="86" t="s">
        <v>322</v>
      </c>
    </row>
    <row r="37" spans="1:1" ht="38.25" x14ac:dyDescent="0.2">
      <c r="A37" s="86" t="s">
        <v>323</v>
      </c>
    </row>
    <row r="38" spans="1:1" ht="25.5" x14ac:dyDescent="0.2">
      <c r="A38" s="86" t="s">
        <v>324</v>
      </c>
    </row>
    <row r="40" spans="1:1" ht="25.5" x14ac:dyDescent="0.2">
      <c r="A40" s="86" t="s">
        <v>341</v>
      </c>
    </row>
    <row r="42" spans="1:1" x14ac:dyDescent="0.2">
      <c r="A42" s="86" t="s">
        <v>137</v>
      </c>
    </row>
    <row r="43" spans="1:1" x14ac:dyDescent="0.2">
      <c r="A43" s="86" t="s">
        <v>325</v>
      </c>
    </row>
    <row r="44" spans="1:1" x14ac:dyDescent="0.2">
      <c r="A44" s="86" t="s">
        <v>326</v>
      </c>
    </row>
    <row r="45" spans="1:1" x14ac:dyDescent="0.2">
      <c r="A45" s="86" t="s">
        <v>340</v>
      </c>
    </row>
    <row r="47" spans="1:1" ht="38.25" x14ac:dyDescent="0.2">
      <c r="A47" s="86" t="s">
        <v>129</v>
      </c>
    </row>
    <row r="49" spans="1:1" x14ac:dyDescent="0.2">
      <c r="A49" s="86" t="s">
        <v>130</v>
      </c>
    </row>
    <row r="50" spans="1:1" x14ac:dyDescent="0.2">
      <c r="A50" s="86" t="s">
        <v>327</v>
      </c>
    </row>
    <row r="51" spans="1:1" x14ac:dyDescent="0.2">
      <c r="A51" s="86" t="s">
        <v>328</v>
      </c>
    </row>
    <row r="52" spans="1:1" x14ac:dyDescent="0.2">
      <c r="A52" s="86" t="s">
        <v>329</v>
      </c>
    </row>
    <row r="53" spans="1:1" x14ac:dyDescent="0.2">
      <c r="A53" s="86" t="s">
        <v>131</v>
      </c>
    </row>
    <row r="55" spans="1:1" x14ac:dyDescent="0.2">
      <c r="A55" s="86" t="s">
        <v>132</v>
      </c>
    </row>
    <row r="56" spans="1:1" x14ac:dyDescent="0.2">
      <c r="A56" s="86" t="s">
        <v>330</v>
      </c>
    </row>
    <row r="57" spans="1:1" x14ac:dyDescent="0.2">
      <c r="A57" s="86" t="s">
        <v>331</v>
      </c>
    </row>
    <row r="58" spans="1:1" x14ac:dyDescent="0.2">
      <c r="A58" s="86" t="s">
        <v>332</v>
      </c>
    </row>
    <row r="59" spans="1:1" x14ac:dyDescent="0.2">
      <c r="A59" s="86" t="s">
        <v>333</v>
      </c>
    </row>
    <row r="60" spans="1:1" x14ac:dyDescent="0.2">
      <c r="A60" s="86" t="s">
        <v>334</v>
      </c>
    </row>
    <row r="61" spans="1:1" x14ac:dyDescent="0.2">
      <c r="A61" s="86" t="s">
        <v>335</v>
      </c>
    </row>
    <row r="62" spans="1:1" x14ac:dyDescent="0.2">
      <c r="A62" s="86" t="s">
        <v>336</v>
      </c>
    </row>
    <row r="63" spans="1:1" x14ac:dyDescent="0.2">
      <c r="A63" s="86" t="s">
        <v>337</v>
      </c>
    </row>
    <row r="64" spans="1:1" x14ac:dyDescent="0.2">
      <c r="A64" s="86" t="s">
        <v>338</v>
      </c>
    </row>
    <row r="66" spans="1:1" ht="25.5" x14ac:dyDescent="0.2">
      <c r="A66" s="86" t="s">
        <v>133</v>
      </c>
    </row>
    <row r="68" spans="1:1" x14ac:dyDescent="0.2">
      <c r="A68" s="86" t="s">
        <v>339</v>
      </c>
    </row>
    <row r="69" spans="1:1" ht="38.25" x14ac:dyDescent="0.2">
      <c r="A69" s="86" t="s">
        <v>342</v>
      </c>
    </row>
    <row r="71" spans="1:1" x14ac:dyDescent="0.2">
      <c r="A71" s="86" t="s">
        <v>134</v>
      </c>
    </row>
    <row r="72" spans="1:1" x14ac:dyDescent="0.2">
      <c r="A72" s="86" t="s">
        <v>135</v>
      </c>
    </row>
  </sheetData>
  <pageMargins left="0.78740157480314965" right="0.78740157480314965" top="0.78740157480314965" bottom="0.39370078740157483" header="0.59055118110236227" footer="0"/>
  <pageSetup paperSize="9" fitToHeight="0" orientation="portrait" verticalDpi="0" r:id="rId1"/>
  <headerFooter>
    <oddHeader>&amp;R&amp;9Page &amp;P of &amp;N</oddHeader>
  </headerFooter>
  <rowBreaks count="1" manualBreakCount="1">
    <brk id="3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44"/>
  <sheetViews>
    <sheetView showGridLines="0" showRowColHeaders="0" workbookViewId="0">
      <pane ySplit="2" topLeftCell="A3" activePane="bottomLeft" state="frozen"/>
      <selection pane="bottomLeft" activeCell="B1" sqref="B1"/>
    </sheetView>
  </sheetViews>
  <sheetFormatPr defaultRowHeight="12.75" x14ac:dyDescent="0.2"/>
  <cols>
    <col min="1" max="1" width="84" customWidth="1"/>
  </cols>
  <sheetData>
    <row r="1" spans="1:1" x14ac:dyDescent="0.2">
      <c r="A1" s="317" t="s">
        <v>383</v>
      </c>
    </row>
    <row r="2" spans="1:1" x14ac:dyDescent="0.2">
      <c r="A2" s="317"/>
    </row>
    <row r="3" spans="1:1" x14ac:dyDescent="0.2">
      <c r="A3" s="187" t="s">
        <v>343</v>
      </c>
    </row>
    <row r="4" spans="1:1" x14ac:dyDescent="0.2">
      <c r="A4" s="187"/>
    </row>
    <row r="5" spans="1:1" x14ac:dyDescent="0.2">
      <c r="A5" s="187" t="s">
        <v>300</v>
      </c>
    </row>
    <row r="6" spans="1:1" x14ac:dyDescent="0.2">
      <c r="A6" s="187"/>
    </row>
    <row r="7" spans="1:1" ht="25.5" x14ac:dyDescent="0.2">
      <c r="A7" s="187" t="s">
        <v>301</v>
      </c>
    </row>
    <row r="8" spans="1:1" x14ac:dyDescent="0.2">
      <c r="A8" s="187"/>
    </row>
    <row r="9" spans="1:1" x14ac:dyDescent="0.2">
      <c r="A9" s="187" t="s">
        <v>302</v>
      </c>
    </row>
    <row r="10" spans="1:1" x14ac:dyDescent="0.2">
      <c r="A10" s="187"/>
    </row>
    <row r="11" spans="1:1" x14ac:dyDescent="0.2">
      <c r="A11" s="187" t="s">
        <v>303</v>
      </c>
    </row>
    <row r="12" spans="1:1" x14ac:dyDescent="0.2">
      <c r="A12" s="187"/>
    </row>
    <row r="13" spans="1:1" x14ac:dyDescent="0.2">
      <c r="A13" s="187" t="s">
        <v>304</v>
      </c>
    </row>
    <row r="14" spans="1:1" x14ac:dyDescent="0.2">
      <c r="A14" s="187"/>
    </row>
    <row r="15" spans="1:1" ht="25.5" x14ac:dyDescent="0.2">
      <c r="A15" s="187" t="s">
        <v>305</v>
      </c>
    </row>
    <row r="16" spans="1:1" x14ac:dyDescent="0.2">
      <c r="A16" s="187"/>
    </row>
    <row r="17" spans="1:1" x14ac:dyDescent="0.2">
      <c r="A17" s="187" t="s">
        <v>306</v>
      </c>
    </row>
    <row r="18" spans="1:1" x14ac:dyDescent="0.2">
      <c r="A18" s="187"/>
    </row>
    <row r="19" spans="1:1" x14ac:dyDescent="0.2">
      <c r="A19" s="187" t="s">
        <v>307</v>
      </c>
    </row>
    <row r="20" spans="1:1" x14ac:dyDescent="0.2">
      <c r="A20" s="187"/>
    </row>
    <row r="21" spans="1:1" x14ac:dyDescent="0.2">
      <c r="A21" s="187" t="s">
        <v>308</v>
      </c>
    </row>
    <row r="22" spans="1:1" x14ac:dyDescent="0.2">
      <c r="A22" s="187"/>
    </row>
    <row r="23" spans="1:1" x14ac:dyDescent="0.2">
      <c r="A23" s="187" t="s">
        <v>309</v>
      </c>
    </row>
    <row r="24" spans="1:1" x14ac:dyDescent="0.2">
      <c r="A24" s="187"/>
    </row>
    <row r="25" spans="1:1" x14ac:dyDescent="0.2">
      <c r="A25" s="187"/>
    </row>
    <row r="26" spans="1:1" x14ac:dyDescent="0.2">
      <c r="A26" s="187"/>
    </row>
    <row r="27" spans="1:1" x14ac:dyDescent="0.2">
      <c r="A27" s="187"/>
    </row>
    <row r="28" spans="1:1" x14ac:dyDescent="0.2">
      <c r="A28" s="187"/>
    </row>
    <row r="29" spans="1:1" x14ac:dyDescent="0.2">
      <c r="A29" s="187"/>
    </row>
    <row r="30" spans="1:1" x14ac:dyDescent="0.2">
      <c r="A30" s="187"/>
    </row>
    <row r="31" spans="1:1" x14ac:dyDescent="0.2">
      <c r="A31" s="187"/>
    </row>
    <row r="32" spans="1:1" x14ac:dyDescent="0.2">
      <c r="A32" s="187"/>
    </row>
    <row r="33" spans="1:1" x14ac:dyDescent="0.2">
      <c r="A33" s="187"/>
    </row>
    <row r="34" spans="1:1" x14ac:dyDescent="0.2">
      <c r="A34" s="187"/>
    </row>
    <row r="35" spans="1:1" x14ac:dyDescent="0.2">
      <c r="A35" s="187"/>
    </row>
    <row r="36" spans="1:1" x14ac:dyDescent="0.2">
      <c r="A36" s="187"/>
    </row>
    <row r="37" spans="1:1" x14ac:dyDescent="0.2">
      <c r="A37" s="187"/>
    </row>
    <row r="38" spans="1:1" x14ac:dyDescent="0.2">
      <c r="A38" s="187"/>
    </row>
    <row r="39" spans="1:1" x14ac:dyDescent="0.2">
      <c r="A39" s="187"/>
    </row>
    <row r="40" spans="1:1" x14ac:dyDescent="0.2">
      <c r="A40" s="187"/>
    </row>
    <row r="41" spans="1:1" x14ac:dyDescent="0.2">
      <c r="A41" s="187"/>
    </row>
    <row r="42" spans="1:1" x14ac:dyDescent="0.2">
      <c r="A42" s="187"/>
    </row>
    <row r="43" spans="1:1" x14ac:dyDescent="0.2">
      <c r="A43" s="187"/>
    </row>
    <row r="44" spans="1:1" x14ac:dyDescent="0.2">
      <c r="A44" s="187"/>
    </row>
  </sheetData>
  <pageMargins left="0.78740157480314965" right="0.78740157480314965" top="0.78740157480314965" bottom="0.39370078740157483" header="0.59055118110236227" footer="0"/>
  <pageSetup paperSize="9" fitToHeight="0" orientation="portrait" verticalDpi="0" r:id="rId1"/>
  <headerFooter>
    <oddHeader>&amp;R&amp;9Page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60"/>
  <sheetViews>
    <sheetView showGridLines="0" showRowColHeaders="0" zoomScaleNormal="100" workbookViewId="0">
      <pane ySplit="2" topLeftCell="A3" activePane="bottomLeft" state="frozen"/>
      <selection activeCell="B1" sqref="B1"/>
      <selection pane="bottomLeft" activeCell="B1" sqref="B1"/>
    </sheetView>
  </sheetViews>
  <sheetFormatPr defaultRowHeight="12.75" x14ac:dyDescent="0.2"/>
  <cols>
    <col min="1" max="1" width="87" style="86" customWidth="1"/>
    <col min="2" max="16384" width="9.140625" style="86"/>
  </cols>
  <sheetData>
    <row r="1" spans="1:1" x14ac:dyDescent="0.2">
      <c r="A1" s="318" t="s">
        <v>382</v>
      </c>
    </row>
    <row r="3" spans="1:1" x14ac:dyDescent="0.2">
      <c r="A3" s="86" t="s">
        <v>344</v>
      </c>
    </row>
    <row r="5" spans="1:1" x14ac:dyDescent="0.2">
      <c r="A5" s="86" t="s">
        <v>345</v>
      </c>
    </row>
    <row r="6" spans="1:1" ht="25.5" x14ac:dyDescent="0.2">
      <c r="A6" s="86" t="s">
        <v>346</v>
      </c>
    </row>
    <row r="8" spans="1:1" x14ac:dyDescent="0.2">
      <c r="A8" s="86" t="s">
        <v>184</v>
      </c>
    </row>
    <row r="9" spans="1:1" ht="25.5" x14ac:dyDescent="0.2">
      <c r="A9" s="86" t="s">
        <v>347</v>
      </c>
    </row>
    <row r="10" spans="1:1" ht="25.5" x14ac:dyDescent="0.2">
      <c r="A10" s="86" t="s">
        <v>348</v>
      </c>
    </row>
    <row r="11" spans="1:1" ht="25.5" x14ac:dyDescent="0.2">
      <c r="A11" s="86" t="s">
        <v>349</v>
      </c>
    </row>
    <row r="12" spans="1:1" x14ac:dyDescent="0.2">
      <c r="A12" s="86" t="s">
        <v>350</v>
      </c>
    </row>
    <row r="13" spans="1:1" x14ac:dyDescent="0.2">
      <c r="A13" s="86" t="s">
        <v>351</v>
      </c>
    </row>
    <row r="15" spans="1:1" x14ac:dyDescent="0.2">
      <c r="A15" s="86" t="s">
        <v>185</v>
      </c>
    </row>
    <row r="16" spans="1:1" ht="38.25" x14ac:dyDescent="0.2">
      <c r="A16" s="86" t="s">
        <v>352</v>
      </c>
    </row>
    <row r="18" spans="1:1" x14ac:dyDescent="0.2">
      <c r="A18" s="86" t="s">
        <v>186</v>
      </c>
    </row>
    <row r="19" spans="1:1" ht="25.5" x14ac:dyDescent="0.2">
      <c r="A19" s="86" t="s">
        <v>353</v>
      </c>
    </row>
    <row r="21" spans="1:1" x14ac:dyDescent="0.2">
      <c r="A21" s="86" t="s">
        <v>354</v>
      </c>
    </row>
    <row r="22" spans="1:1" ht="25.5" x14ac:dyDescent="0.2">
      <c r="A22" s="86" t="s">
        <v>355</v>
      </c>
    </row>
    <row r="23" spans="1:1" ht="25.5" x14ac:dyDescent="0.2">
      <c r="A23" s="86" t="s">
        <v>356</v>
      </c>
    </row>
    <row r="25" spans="1:1" x14ac:dyDescent="0.2">
      <c r="A25" s="86" t="s">
        <v>357</v>
      </c>
    </row>
    <row r="26" spans="1:1" ht="38.25" x14ac:dyDescent="0.2">
      <c r="A26" s="86" t="s">
        <v>358</v>
      </c>
    </row>
    <row r="28" spans="1:1" ht="25.5" x14ac:dyDescent="0.2">
      <c r="A28" s="86" t="s">
        <v>359</v>
      </c>
    </row>
    <row r="30" spans="1:1" ht="25.5" x14ac:dyDescent="0.2">
      <c r="A30" s="86" t="s">
        <v>360</v>
      </c>
    </row>
    <row r="31" spans="1:1" x14ac:dyDescent="0.2">
      <c r="A31" s="86" t="s">
        <v>361</v>
      </c>
    </row>
    <row r="32" spans="1:1" x14ac:dyDescent="0.2">
      <c r="A32" s="86" t="s">
        <v>362</v>
      </c>
    </row>
    <row r="33" spans="1:1" x14ac:dyDescent="0.2">
      <c r="A33" s="86" t="s">
        <v>363</v>
      </c>
    </row>
    <row r="35" spans="1:1" ht="25.5" x14ac:dyDescent="0.2">
      <c r="A35" s="86" t="s">
        <v>364</v>
      </c>
    </row>
    <row r="37" spans="1:1" ht="38.25" x14ac:dyDescent="0.2">
      <c r="A37" s="86" t="s">
        <v>365</v>
      </c>
    </row>
    <row r="39" spans="1:1" ht="63.75" x14ac:dyDescent="0.2">
      <c r="A39" s="86" t="s">
        <v>381</v>
      </c>
    </row>
    <row r="41" spans="1:1" ht="76.5" x14ac:dyDescent="0.2">
      <c r="A41" s="86" t="s">
        <v>366</v>
      </c>
    </row>
    <row r="43" spans="1:1" x14ac:dyDescent="0.2">
      <c r="A43" s="86" t="s">
        <v>367</v>
      </c>
    </row>
    <row r="44" spans="1:1" x14ac:dyDescent="0.2">
      <c r="A44" s="86" t="s">
        <v>368</v>
      </c>
    </row>
    <row r="45" spans="1:1" x14ac:dyDescent="0.2">
      <c r="A45" s="86" t="s">
        <v>369</v>
      </c>
    </row>
    <row r="46" spans="1:1" x14ac:dyDescent="0.2">
      <c r="A46" s="86" t="s">
        <v>370</v>
      </c>
    </row>
    <row r="47" spans="1:1" x14ac:dyDescent="0.2">
      <c r="A47" s="86" t="s">
        <v>371</v>
      </c>
    </row>
    <row r="48" spans="1:1" x14ac:dyDescent="0.2">
      <c r="A48" s="86" t="s">
        <v>372</v>
      </c>
    </row>
    <row r="50" spans="1:1" x14ac:dyDescent="0.2">
      <c r="A50" s="86" t="s">
        <v>373</v>
      </c>
    </row>
    <row r="52" spans="1:1" x14ac:dyDescent="0.2">
      <c r="A52" s="86" t="s">
        <v>374</v>
      </c>
    </row>
    <row r="53" spans="1:1" x14ac:dyDescent="0.2">
      <c r="A53" s="86" t="s">
        <v>375</v>
      </c>
    </row>
    <row r="54" spans="1:1" x14ac:dyDescent="0.2">
      <c r="A54" s="86" t="s">
        <v>376</v>
      </c>
    </row>
    <row r="55" spans="1:1" ht="25.5" x14ac:dyDescent="0.2">
      <c r="A55" s="86" t="s">
        <v>377</v>
      </c>
    </row>
    <row r="56" spans="1:1" ht="38.25" x14ac:dyDescent="0.2">
      <c r="A56" s="86" t="s">
        <v>378</v>
      </c>
    </row>
    <row r="57" spans="1:1" x14ac:dyDescent="0.2">
      <c r="A57" s="86" t="s">
        <v>379</v>
      </c>
    </row>
    <row r="59" spans="1:1" x14ac:dyDescent="0.2">
      <c r="A59" s="86" t="s">
        <v>187</v>
      </c>
    </row>
    <row r="60" spans="1:1" ht="38.25" x14ac:dyDescent="0.2">
      <c r="A60" s="86" t="s">
        <v>380</v>
      </c>
    </row>
  </sheetData>
  <pageMargins left="0.78740157480314965" right="0.78740157480314965" top="0.78740157480314965" bottom="0.39370078740157483" header="0.59055118110236227" footer="0"/>
  <pageSetup paperSize="9" fitToHeight="0" orientation="portrait" verticalDpi="0" r:id="rId1"/>
  <headerFooter>
    <oddHeader>&amp;R&amp;9Page &amp;P of &amp;N</oddHeader>
  </headerFooter>
  <rowBreaks count="1" manualBreakCount="1">
    <brk id="2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307"/>
  <sheetViews>
    <sheetView showGridLine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79" customWidth="1"/>
    <col min="2" max="2" width="47.140625" style="79"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12" width="9.140625" style="79" customWidth="1"/>
    <col min="13" max="16384" width="9.140625" style="79"/>
  </cols>
  <sheetData>
    <row r="1" spans="1:12" x14ac:dyDescent="0.2">
      <c r="A1" s="72" t="str">
        <f>UPPER((Kalend!E6)&amp;" - "&amp;(Kalend!C6)&amp;" - "&amp;(Kalend!D6))</f>
        <v>1 - EESTI REITINGUVÕISTLUS - TRIO</v>
      </c>
      <c r="D1" s="41" t="str">
        <f>HYPERLINK("#'Kalend'!I1","Kalender")</f>
        <v>Kalender</v>
      </c>
      <c r="F1" s="41" t="str">
        <f>HYPERLINK("#Üldreiting!s1","Reiting")</f>
        <v>Reiting</v>
      </c>
    </row>
    <row r="2" spans="1:12" x14ac:dyDescent="0.2">
      <c r="A2" s="79" t="str">
        <f>"Toimumisaeg: "&amp;(Kalend!A6)&amp;" kell "&amp;(Kalend!B6)</f>
        <v>Toimumisaeg: P, 29.10.2017 kell 10:00</v>
      </c>
    </row>
    <row r="3" spans="1:12" x14ac:dyDescent="0.2">
      <c r="A3" s="79" t="str">
        <f>"Toimumiskoht: "&amp;(Kalend!F6)</f>
        <v>Toimumiskoht: Tallinn, Algi 38</v>
      </c>
    </row>
    <row r="4" spans="1:12" x14ac:dyDescent="0.2">
      <c r="A4" s="79" t="str">
        <f>"Korraldaja: "&amp;(Kalend!G6)</f>
        <v>Korraldaja: EPKL</v>
      </c>
    </row>
    <row r="6" spans="1:12" s="30" customFormat="1" x14ac:dyDescent="0.2">
      <c r="A6" s="296" t="s">
        <v>291</v>
      </c>
      <c r="B6" s="351"/>
      <c r="C6" s="31" t="s">
        <v>232</v>
      </c>
      <c r="D6" s="296" t="s">
        <v>61</v>
      </c>
      <c r="E6" s="296" t="s">
        <v>62</v>
      </c>
      <c r="F6" s="31" t="s">
        <v>63</v>
      </c>
      <c r="G6" s="31" t="s">
        <v>19</v>
      </c>
      <c r="H6" s="79"/>
      <c r="I6" s="79"/>
      <c r="J6" s="79"/>
      <c r="K6" s="79"/>
      <c r="L6" s="79"/>
    </row>
    <row r="7" spans="1:12" s="30" customFormat="1" x14ac:dyDescent="0.2">
      <c r="A7" s="296">
        <v>1</v>
      </c>
      <c r="B7" s="186"/>
      <c r="C7" s="124" t="str">
        <f>IF(B10="-",13,"")</f>
        <v/>
      </c>
      <c r="D7" s="124"/>
      <c r="E7" s="32"/>
      <c r="F7" s="314"/>
      <c r="G7" s="32" t="str">
        <f>IF(AND(COUNT(F7:F10)=2,F7=MAX(F7:F10),COUNT(C7:F7)=3),A6&amp;"2",IF(AND(COUNT(E7:E10)=2,ISNUMBER(E7),E7=MIN(E7:E10),D7="",F7=""),A6&amp;"4",IF(AND(COUNT(D7:D10)=2,D7=MAX(D7:D10),E7="",F7=""),A6&amp;"1",IF(COUNT(F7:F10)=2,A6&amp;"3",""))))</f>
        <v/>
      </c>
      <c r="H7" s="79"/>
      <c r="I7" s="79"/>
      <c r="J7" s="79"/>
      <c r="K7" s="79"/>
      <c r="L7" s="79"/>
    </row>
    <row r="8" spans="1:12" s="30" customFormat="1" x14ac:dyDescent="0.2">
      <c r="A8" s="296">
        <v>2</v>
      </c>
      <c r="B8" s="122"/>
      <c r="C8" s="336"/>
      <c r="D8" s="124"/>
      <c r="E8" s="32" t="str">
        <f>IF(AND(B10="-",ISNUMBER(C8),C8&lt;C9),13,"")</f>
        <v/>
      </c>
      <c r="F8" s="314"/>
      <c r="G8" s="32" t="str">
        <f>IF(AND(COUNT(F7:F10)=2,F8=MAX(F7:F10),COUNT(C8:F8)=3),A6&amp;"2",IF(AND(COUNT(E7:E10)=2,ISNUMBER(E8),E8=MIN(E7:E10),D8="",F8=""),A6&amp;"4",IF(AND(COUNT(D7:D10)=2,D8=MAX(D7:D10),E8="",F8=""),A6&amp;"1",IF(COUNT(F7:F10)=2,A6&amp;"3",""))))</f>
        <v/>
      </c>
      <c r="H8" s="79"/>
      <c r="I8" s="79"/>
      <c r="J8" s="79"/>
      <c r="K8" s="79"/>
      <c r="L8" s="79"/>
    </row>
    <row r="9" spans="1:12" s="30" customFormat="1" x14ac:dyDescent="0.2">
      <c r="A9" s="296">
        <v>3</v>
      </c>
      <c r="B9" s="122"/>
      <c r="C9" s="336"/>
      <c r="D9" s="32"/>
      <c r="E9" s="32" t="str">
        <f>IF(AND(B10="-",ISNUMBER(C9),C9&lt;C8),13,"")</f>
        <v/>
      </c>
      <c r="F9" s="314"/>
      <c r="G9" s="32" t="str">
        <f>IF(AND(COUNT(F7:F10)=2,F9=MAX(F7:F10),COUNT(C9:F9)=3),A6&amp;"2",IF(AND(COUNT(E7:E10)=2,ISNUMBER(E9),E9=MIN(E7:E10),D9="",F9=""),A6&amp;"4",IF(AND(COUNT(D7:D10)=2,D9=MAX(D7:D10),E9="",F9=""),A6&amp;"1",IF(COUNT(F7:F10)=2,A6&amp;"3",""))))</f>
        <v/>
      </c>
      <c r="H9" s="79"/>
      <c r="I9" s="79"/>
      <c r="J9" s="79"/>
      <c r="K9" s="79"/>
      <c r="L9" s="79"/>
    </row>
    <row r="10" spans="1:12" s="30" customFormat="1" x14ac:dyDescent="0.2">
      <c r="A10" s="296">
        <v>4</v>
      </c>
      <c r="B10" s="123"/>
      <c r="C10" s="124" t="str">
        <f>IF(B10="-",0,"")</f>
        <v/>
      </c>
      <c r="D10" s="124"/>
      <c r="E10" s="32" t="str">
        <f>IF(B10="-",0,"")</f>
        <v/>
      </c>
      <c r="F10" s="314"/>
      <c r="G10" s="32" t="str">
        <f>IF(AND(COUNT(F7:F10)=2,F10=MAX(F7:F10),COUNT(C10:F10)=3),A6&amp;"2",IF(AND(COUNT(E7:E10)=2,ISNUMBER(E10),E10=MIN(E7:E10),D10="",F10=""),A6&amp;"4",IF(AND(COUNT(D7:D10)=2,D10=MAX(D7:D10),E10="",F10=""),A6&amp;"1",IF(COUNT(F7:F10)=2,A6&amp;"3",""))))</f>
        <v/>
      </c>
      <c r="H10" s="79"/>
      <c r="I10" s="79"/>
      <c r="J10" s="79"/>
      <c r="K10" s="79"/>
      <c r="L10" s="79"/>
    </row>
    <row r="11" spans="1:12" x14ac:dyDescent="0.2">
      <c r="B11" s="353" t="s">
        <v>81</v>
      </c>
      <c r="G11" s="353" t="s">
        <v>81</v>
      </c>
    </row>
    <row r="12" spans="1:12" s="30" customFormat="1" x14ac:dyDescent="0.2">
      <c r="A12" s="296" t="s">
        <v>275</v>
      </c>
      <c r="B12" s="351"/>
      <c r="C12" s="31" t="s">
        <v>232</v>
      </c>
      <c r="D12" s="296" t="s">
        <v>61</v>
      </c>
      <c r="E12" s="296" t="s">
        <v>62</v>
      </c>
      <c r="F12" s="31" t="s">
        <v>63</v>
      </c>
      <c r="G12" s="31" t="s">
        <v>19</v>
      </c>
      <c r="H12" s="79"/>
      <c r="I12" s="79"/>
      <c r="J12" s="79"/>
      <c r="K12" s="79"/>
      <c r="L12" s="79"/>
    </row>
    <row r="13" spans="1:12" s="30" customFormat="1" x14ac:dyDescent="0.2">
      <c r="A13" s="296">
        <v>1</v>
      </c>
      <c r="B13" s="186"/>
      <c r="C13" s="124" t="str">
        <f>IF(B16="-",13,"")</f>
        <v/>
      </c>
      <c r="D13" s="124"/>
      <c r="E13" s="32"/>
      <c r="F13" s="314"/>
      <c r="G13" s="32" t="str">
        <f>IF(AND(COUNT(F13:F16)=2,F13=MAX(F13:F16),COUNT(C13:F13)=3),A12&amp;"2",IF(AND(COUNT(E13:E16)=2,ISNUMBER(E13),E13=MIN(E13:E16),D13="",F13=""),A12&amp;"4",IF(AND(COUNT(D13:D16)=2,D13=MAX(D13:D16),E13="",F13=""),A12&amp;"1",IF(COUNT(F13:F16)=2,A12&amp;"3",""))))</f>
        <v/>
      </c>
      <c r="H13" s="79"/>
      <c r="I13" s="79"/>
      <c r="J13" s="79"/>
      <c r="K13" s="79"/>
      <c r="L13" s="79"/>
    </row>
    <row r="14" spans="1:12" s="30" customFormat="1" x14ac:dyDescent="0.2">
      <c r="A14" s="296">
        <v>2</v>
      </c>
      <c r="B14" s="122"/>
      <c r="C14" s="336"/>
      <c r="D14" s="124"/>
      <c r="E14" s="32" t="str">
        <f>IF(AND(B16="-",ISNUMBER(C14),C14&lt;C15),13,"")</f>
        <v/>
      </c>
      <c r="F14" s="314"/>
      <c r="G14" s="32" t="str">
        <f>IF(AND(COUNT(F13:F16)=2,F14=MAX(F13:F16),COUNT(C14:F14)=3),A12&amp;"2",IF(AND(COUNT(E13:E16)=2,ISNUMBER(E14),E14=MIN(E13:E16),D14="",F14=""),A12&amp;"4",IF(AND(COUNT(D13:D16)=2,D14=MAX(D13:D16),E14="",F14=""),A12&amp;"1",IF(COUNT(F13:F16)=2,A12&amp;"3",""))))</f>
        <v/>
      </c>
      <c r="H14" s="79"/>
      <c r="I14" s="79"/>
      <c r="J14" s="79"/>
      <c r="K14" s="79"/>
      <c r="L14" s="79"/>
    </row>
    <row r="15" spans="1:12" s="30" customFormat="1" x14ac:dyDescent="0.2">
      <c r="A15" s="296">
        <v>3</v>
      </c>
      <c r="B15" s="122"/>
      <c r="C15" s="336"/>
      <c r="D15" s="32"/>
      <c r="E15" s="32" t="str">
        <f>IF(AND(B16="-",ISNUMBER(C15),C15&lt;C14),13,"")</f>
        <v/>
      </c>
      <c r="F15" s="314"/>
      <c r="G15" s="32" t="str">
        <f>IF(AND(COUNT(F13:F16)=2,F15=MAX(F13:F16),COUNT(C15:F15)=3),A12&amp;"2",IF(AND(COUNT(E13:E16)=2,ISNUMBER(E15),E15=MIN(E13:E16),D15="",F15=""),A12&amp;"4",IF(AND(COUNT(D13:D16)=2,D15=MAX(D13:D16),E15="",F15=""),A12&amp;"1",IF(COUNT(F13:F16)=2,A12&amp;"3",""))))</f>
        <v/>
      </c>
      <c r="H15" s="79"/>
      <c r="I15" s="79"/>
      <c r="J15" s="79"/>
      <c r="K15" s="79"/>
      <c r="L15" s="79"/>
    </row>
    <row r="16" spans="1:12" s="30" customFormat="1" x14ac:dyDescent="0.2">
      <c r="A16" s="296">
        <v>4</v>
      </c>
      <c r="B16" s="123"/>
      <c r="C16" s="124" t="str">
        <f>IF(B16="-",0,"")</f>
        <v/>
      </c>
      <c r="D16" s="124"/>
      <c r="E16" s="32" t="str">
        <f>IF(B16="-",0,"")</f>
        <v/>
      </c>
      <c r="F16" s="314"/>
      <c r="G16" s="32" t="str">
        <f>IF(AND(COUNT(F13:F16)=2,F16=MAX(F13:F16),COUNT(C16:F16)=3),A12&amp;"2",IF(AND(COUNT(E13:E16)=2,ISNUMBER(E16),E16=MIN(E13:E16),D16="",F16=""),A12&amp;"4",IF(AND(COUNT(D13:D16)=2,D16=MAX(D13:D16),E16="",F16=""),A12&amp;"1",IF(COUNT(F13:F16)=2,A12&amp;"3",""))))</f>
        <v/>
      </c>
      <c r="H16" s="79"/>
      <c r="I16" s="79"/>
      <c r="J16" s="79"/>
      <c r="K16" s="79"/>
      <c r="L16" s="79"/>
    </row>
    <row r="17" spans="1:7" s="30" customFormat="1" x14ac:dyDescent="0.2">
      <c r="A17" s="34"/>
      <c r="B17" s="38"/>
      <c r="C17" s="36"/>
      <c r="D17" s="36"/>
      <c r="E17" s="36"/>
      <c r="F17" s="36"/>
      <c r="G17" s="39"/>
    </row>
    <row r="18" spans="1:7" s="42" customFormat="1" x14ac:dyDescent="0.2">
      <c r="A18" s="60" t="s">
        <v>90</v>
      </c>
      <c r="B18" s="45"/>
      <c r="C18" s="35"/>
      <c r="D18" s="35"/>
      <c r="E18" s="35"/>
      <c r="F18" s="36"/>
      <c r="G18" s="37"/>
    </row>
    <row r="19" spans="1:7" s="42" customFormat="1" x14ac:dyDescent="0.2"/>
    <row r="20" spans="1:7" s="42" customFormat="1" x14ac:dyDescent="0.2">
      <c r="A20" s="43"/>
      <c r="B20" s="127" t="str">
        <f>IFERROR(INDEX(B$7:B$16,MATCH(A20,G$7:G$16,0)),"")</f>
        <v/>
      </c>
      <c r="C20" s="81" t="str">
        <f>IF(B20="-",0,IF(B22="-",13,""))</f>
        <v/>
      </c>
      <c r="D20" s="81"/>
      <c r="E20" s="81"/>
    </row>
    <row r="21" spans="1:7" s="42" customFormat="1" x14ac:dyDescent="0.2">
      <c r="A21" s="43"/>
      <c r="B21" s="65"/>
      <c r="C21" s="126" t="str">
        <f>IF(COUNT(C20,C22)=2,IF(C20&gt;C22,B20,B22),"")</f>
        <v/>
      </c>
      <c r="E21" s="81" t="str">
        <f>IF(C21="-",0,IF(C25="-",13,""))</f>
        <v/>
      </c>
    </row>
    <row r="22" spans="1:7" s="42" customFormat="1" x14ac:dyDescent="0.2">
      <c r="A22" s="43"/>
      <c r="B22" s="323" t="str">
        <f>IFERROR(INDEX(B$7:B$16,MATCH(A22,G$7:G$16,0)),"")</f>
        <v/>
      </c>
      <c r="C22" s="63" t="str">
        <f>IF(B22="-",0,IF(B20="-",13,""))</f>
        <v/>
      </c>
      <c r="D22" s="66"/>
      <c r="E22" s="81"/>
    </row>
    <row r="23" spans="1:7" s="42" customFormat="1" ht="13.5" thickBot="1" x14ac:dyDescent="0.25">
      <c r="A23" s="43"/>
      <c r="B23" s="81"/>
      <c r="C23" s="51"/>
      <c r="D23" s="68"/>
      <c r="E23" s="81"/>
      <c r="F23" s="224" t="str">
        <f>IF(COUNT(E21,E25)=2,IF(E21&gt;E25,C21,C25),"")</f>
        <v/>
      </c>
    </row>
    <row r="24" spans="1:7" s="42" customFormat="1" x14ac:dyDescent="0.2">
      <c r="A24" s="43"/>
      <c r="B24" s="127" t="str">
        <f>IFERROR(INDEX(B$7:B$16,MATCH(A24,G$7:G$16,0)),"")</f>
        <v/>
      </c>
      <c r="C24" s="81" t="str">
        <f>IF(B24="-",0,IF(B26="-",13,""))</f>
        <v/>
      </c>
      <c r="D24" s="68"/>
      <c r="E24" s="69"/>
      <c r="F24" s="62" t="s">
        <v>277</v>
      </c>
      <c r="G24" s="49"/>
    </row>
    <row r="25" spans="1:7" s="42" customFormat="1" x14ac:dyDescent="0.2">
      <c r="A25" s="43"/>
      <c r="B25" s="65"/>
      <c r="C25" s="126" t="str">
        <f>IF(COUNT(C24,C26)=2,IF(C24&gt;C26,B24,B26),"")</f>
        <v/>
      </c>
      <c r="D25" s="50"/>
      <c r="E25" s="63" t="str">
        <f>IF(C25="-",0,IF(C21="-",13,""))</f>
        <v/>
      </c>
    </row>
    <row r="26" spans="1:7" s="42" customFormat="1" ht="13.5" thickBot="1" x14ac:dyDescent="0.25">
      <c r="A26" s="43"/>
      <c r="B26" s="323" t="str">
        <f>IFERROR(INDEX(B$7:B$16,MATCH(A26,G$7:G$16,0)),"")</f>
        <v/>
      </c>
      <c r="C26" s="63" t="str">
        <f>IF(B26="-",0,IF(B24="-",13,""))</f>
        <v/>
      </c>
      <c r="D26" s="81"/>
      <c r="E26" s="51"/>
      <c r="F26" s="224" t="str">
        <f>IF(COUNT(E21,E25)=2,IF(E21&lt;E25,C21,C25),"")</f>
        <v/>
      </c>
      <c r="G26" s="47"/>
    </row>
    <row r="27" spans="1:7" s="42" customFormat="1" x14ac:dyDescent="0.2">
      <c r="B27" s="81"/>
      <c r="C27" s="81"/>
      <c r="D27" s="81"/>
      <c r="E27" s="51"/>
      <c r="F27" s="62" t="s">
        <v>278</v>
      </c>
      <c r="G27" s="45"/>
    </row>
    <row r="28" spans="1:7" s="42" customFormat="1" x14ac:dyDescent="0.2">
      <c r="B28" s="81"/>
      <c r="C28" s="223" t="str">
        <f>IF(COUNT(C20,C22)=2,IF(C20&lt;C22,B20,B22),"")</f>
        <v/>
      </c>
      <c r="E28" s="81" t="str">
        <f>IF(C28="-",0,IF(C30="-",13,""))</f>
        <v/>
      </c>
      <c r="F28" s="45"/>
      <c r="G28" s="45"/>
    </row>
    <row r="29" spans="1:7" s="42" customFormat="1" ht="13.5" thickBot="1" x14ac:dyDescent="0.25">
      <c r="B29" s="81"/>
      <c r="C29" s="309"/>
      <c r="D29" s="44"/>
      <c r="E29" s="47"/>
      <c r="F29" s="224" t="str">
        <f>IF(COUNT(E28,E30)=2,IF(E28&gt;E30,C28,C30),"")</f>
        <v/>
      </c>
      <c r="G29" s="47"/>
    </row>
    <row r="30" spans="1:7" s="42" customFormat="1" x14ac:dyDescent="0.2">
      <c r="B30" s="81"/>
      <c r="C30" s="127" t="str">
        <f>IF(COUNT(C24,C26)=2,IF(C24&lt;C26,B24,B26),"")</f>
        <v/>
      </c>
      <c r="D30" s="50"/>
      <c r="E30" s="63" t="str">
        <f>IF(C30="-",0,IF(C28="-",13,""))</f>
        <v/>
      </c>
      <c r="F30" s="53" t="s">
        <v>279</v>
      </c>
      <c r="G30" s="45"/>
    </row>
    <row r="31" spans="1:7" s="42" customFormat="1" x14ac:dyDescent="0.2">
      <c r="F31" s="45"/>
      <c r="G31" s="45"/>
    </row>
    <row r="32" spans="1:7" s="42" customFormat="1" ht="13.5" thickBot="1" x14ac:dyDescent="0.25">
      <c r="C32" s="45"/>
      <c r="D32" s="45"/>
      <c r="F32" s="47" t="str">
        <f>IF(COUNT(E28,E30)=2,IF(E28&lt;E30,C28,C30),"")</f>
        <v/>
      </c>
      <c r="G32" s="47"/>
    </row>
    <row r="33" spans="1:9" s="42" customFormat="1" x14ac:dyDescent="0.2">
      <c r="B33" s="36"/>
      <c r="C33" s="36"/>
      <c r="D33" s="36"/>
      <c r="E33" s="39"/>
      <c r="F33" s="62" t="s">
        <v>75</v>
      </c>
      <c r="G33" s="30"/>
    </row>
    <row r="34" spans="1:9" s="42" customFormat="1" x14ac:dyDescent="0.2"/>
    <row r="35" spans="1:9" s="42" customFormat="1" x14ac:dyDescent="0.2">
      <c r="A35" s="64" t="s">
        <v>530</v>
      </c>
      <c r="I35" s="52"/>
    </row>
    <row r="36" spans="1:9" s="42" customFormat="1" x14ac:dyDescent="0.2">
      <c r="G36" s="45"/>
      <c r="H36" s="45"/>
      <c r="I36" s="52"/>
    </row>
    <row r="37" spans="1:9" s="42" customFormat="1" x14ac:dyDescent="0.2">
      <c r="A37" s="43"/>
      <c r="B37" s="127" t="str">
        <f>IFERROR(INDEX(B$7:B$16,MATCH(A37,G$7:G$16,0)),"")</f>
        <v/>
      </c>
      <c r="C37" s="81" t="str">
        <f>IF(B37="-",0,IF(B39="-",13,""))</f>
        <v/>
      </c>
      <c r="D37" s="81"/>
      <c r="E37" s="81"/>
    </row>
    <row r="38" spans="1:9" s="42" customFormat="1" x14ac:dyDescent="0.2">
      <c r="A38" s="43"/>
      <c r="B38" s="65"/>
      <c r="C38" s="126" t="str">
        <f>IF(COUNT(C37,C39)=2,IF(C37&gt;C39,B37,B39),"")</f>
        <v/>
      </c>
      <c r="E38" s="81" t="str">
        <f>IF(C38="-",0,IF(C42="-",13,""))</f>
        <v/>
      </c>
    </row>
    <row r="39" spans="1:9" s="42" customFormat="1" x14ac:dyDescent="0.2">
      <c r="A39" s="43"/>
      <c r="B39" s="323" t="str">
        <f>IFERROR(INDEX(B$7:B$16,MATCH(A39,G$7:G$16,0)),"")</f>
        <v/>
      </c>
      <c r="C39" s="63" t="str">
        <f>IF(B39="-",0,IF(B37="-",13,""))</f>
        <v/>
      </c>
      <c r="D39" s="66"/>
      <c r="E39" s="81"/>
    </row>
    <row r="40" spans="1:9" s="42" customFormat="1" ht="13.5" thickBot="1" x14ac:dyDescent="0.25">
      <c r="A40" s="43"/>
      <c r="B40" s="81"/>
      <c r="C40" s="51"/>
      <c r="D40" s="68"/>
      <c r="E40" s="81"/>
      <c r="F40" s="224" t="str">
        <f>IF(COUNT(E38,E42)=2,IF(E38&gt;E42,C38,C42),"")</f>
        <v/>
      </c>
    </row>
    <row r="41" spans="1:9" s="42" customFormat="1" x14ac:dyDescent="0.2">
      <c r="A41" s="43"/>
      <c r="B41" s="127" t="str">
        <f>IFERROR(INDEX(B$7:B$16,MATCH(A41,G$7:G$16,0)),"")</f>
        <v/>
      </c>
      <c r="C41" s="81" t="str">
        <f>IF(B41="-",0,IF(B43="-",13,""))</f>
        <v/>
      </c>
      <c r="D41" s="68"/>
      <c r="E41" s="69"/>
      <c r="F41" s="62" t="s">
        <v>76</v>
      </c>
      <c r="G41" s="49"/>
    </row>
    <row r="42" spans="1:9" s="42" customFormat="1" x14ac:dyDescent="0.2">
      <c r="A42" s="43"/>
      <c r="B42" s="65"/>
      <c r="C42" s="126" t="str">
        <f>IF(COUNT(C41,C43)=2,IF(C41&gt;C43,B41,B43),"")</f>
        <v/>
      </c>
      <c r="D42" s="50"/>
      <c r="E42" s="63" t="str">
        <f>IF(C42="-",0,IF(C38="-",13,""))</f>
        <v/>
      </c>
    </row>
    <row r="43" spans="1:9" s="42" customFormat="1" ht="13.5" thickBot="1" x14ac:dyDescent="0.25">
      <c r="A43" s="43"/>
      <c r="B43" s="323" t="str">
        <f>IFERROR(INDEX(B$7:B$16,MATCH(A43,G$7:G$16,0)),"")</f>
        <v/>
      </c>
      <c r="C43" s="63" t="str">
        <f>IF(B43="-",0,IF(B41="-",13,""))</f>
        <v/>
      </c>
      <c r="D43" s="81"/>
      <c r="E43" s="51"/>
      <c r="F43" s="224" t="str">
        <f>IF(COUNT(E38,E42)=2,IF(E38&lt;E42,C38,C42),"")</f>
        <v/>
      </c>
      <c r="G43" s="47"/>
    </row>
    <row r="44" spans="1:9" s="42" customFormat="1" x14ac:dyDescent="0.2">
      <c r="B44" s="81"/>
      <c r="C44" s="81"/>
      <c r="D44" s="81"/>
      <c r="E44" s="51"/>
      <c r="F44" s="62" t="s">
        <v>77</v>
      </c>
      <c r="G44" s="45"/>
    </row>
    <row r="45" spans="1:9" s="42" customFormat="1" x14ac:dyDescent="0.2">
      <c r="B45" s="81"/>
      <c r="C45" s="223" t="str">
        <f>IF(COUNT(C37,C39)=2,IF(C37&lt;C39,B37,B39),"")</f>
        <v/>
      </c>
      <c r="E45" s="81" t="str">
        <f>IF(C45="-",0,IF(C47="-",13,""))</f>
        <v/>
      </c>
      <c r="F45" s="45"/>
      <c r="G45" s="45"/>
    </row>
    <row r="46" spans="1:9" s="42" customFormat="1" ht="13.5" thickBot="1" x14ac:dyDescent="0.25">
      <c r="B46" s="81"/>
      <c r="C46" s="309"/>
      <c r="D46" s="44"/>
      <c r="E46" s="47"/>
      <c r="F46" s="224" t="str">
        <f>IF(COUNT(E45,E47)=2,IF(E45&gt;E47,C45,C47),"")</f>
        <v/>
      </c>
      <c r="G46" s="47"/>
    </row>
    <row r="47" spans="1:9" s="42" customFormat="1" x14ac:dyDescent="0.2">
      <c r="B47" s="81"/>
      <c r="C47" s="127" t="str">
        <f>IF(COUNT(C41,C43)=2,IF(C41&lt;C43,B41,B43),"")</f>
        <v/>
      </c>
      <c r="D47" s="50"/>
      <c r="E47" s="63" t="str">
        <f>IF(C47="-",0,IF(C45="-",13,""))</f>
        <v/>
      </c>
      <c r="F47" s="62" t="s">
        <v>78</v>
      </c>
      <c r="G47" s="45"/>
    </row>
    <row r="48" spans="1:9" s="42" customFormat="1" x14ac:dyDescent="0.2">
      <c r="F48" s="45"/>
      <c r="G48" s="45"/>
    </row>
    <row r="49" spans="1:8" s="42" customFormat="1" ht="13.5" thickBot="1" x14ac:dyDescent="0.25">
      <c r="C49" s="45"/>
      <c r="D49" s="45"/>
      <c r="F49" s="47" t="str">
        <f>IF(COUNT(E45,E47)=2,IF(E45&lt;E47,C45,C47),"")</f>
        <v/>
      </c>
      <c r="G49" s="47"/>
    </row>
    <row r="50" spans="1:8" s="30" customFormat="1" x14ac:dyDescent="0.2">
      <c r="A50" s="34"/>
      <c r="B50" s="36"/>
      <c r="C50" s="36"/>
      <c r="D50" s="36"/>
      <c r="E50" s="39"/>
      <c r="F50" s="62" t="s">
        <v>79</v>
      </c>
    </row>
    <row r="51" spans="1:8" s="42" customFormat="1" x14ac:dyDescent="0.2">
      <c r="H51" s="52"/>
    </row>
    <row r="52" spans="1:8" s="42" customFormat="1" hidden="1" x14ac:dyDescent="0.2">
      <c r="H52" s="52"/>
    </row>
    <row r="53" spans="1:8" s="42" customFormat="1" hidden="1" x14ac:dyDescent="0.2">
      <c r="H53" s="52"/>
    </row>
    <row r="54" spans="1:8" s="42" customFormat="1" hidden="1" x14ac:dyDescent="0.2">
      <c r="H54" s="52"/>
    </row>
    <row r="55" spans="1:8" s="42" customFormat="1" hidden="1" x14ac:dyDescent="0.2">
      <c r="H55" s="52"/>
    </row>
    <row r="56" spans="1:8" s="42" customFormat="1" hidden="1" x14ac:dyDescent="0.2">
      <c r="H56" s="52"/>
    </row>
    <row r="57" spans="1:8" s="42" customFormat="1" hidden="1" x14ac:dyDescent="0.2">
      <c r="H57" s="52"/>
    </row>
    <row r="58" spans="1:8" s="82" customFormat="1"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8" spans="1:4" hidden="1" x14ac:dyDescent="0.2"/>
    <row r="299" spans="1:4" x14ac:dyDescent="0.2">
      <c r="C299" s="319" t="s">
        <v>577</v>
      </c>
      <c r="D299" s="347" t="s">
        <v>577</v>
      </c>
    </row>
    <row r="300" spans="1:4" x14ac:dyDescent="0.2">
      <c r="A300" s="54">
        <v>1</v>
      </c>
      <c r="B300" s="55" t="str">
        <f t="shared" ref="B300:B307" si="0">IFERROR(INDEX(F$23:F$49,MATCH(A300&amp;". koht",F$24:F$50,0)),"")</f>
        <v/>
      </c>
      <c r="C300" s="79">
        <v>20</v>
      </c>
      <c r="D300" s="347">
        <v>25</v>
      </c>
    </row>
    <row r="301" spans="1:4" x14ac:dyDescent="0.2">
      <c r="A301" s="54">
        <v>2</v>
      </c>
      <c r="B301" s="56" t="str">
        <f t="shared" si="0"/>
        <v/>
      </c>
      <c r="C301" s="79">
        <v>16</v>
      </c>
      <c r="D301" s="347">
        <v>20</v>
      </c>
    </row>
    <row r="302" spans="1:4" x14ac:dyDescent="0.2">
      <c r="A302" s="54">
        <v>3</v>
      </c>
      <c r="B302" s="57" t="str">
        <f t="shared" si="0"/>
        <v/>
      </c>
      <c r="C302" s="79">
        <v>12</v>
      </c>
      <c r="D302" s="347">
        <v>16</v>
      </c>
    </row>
    <row r="303" spans="1:4" x14ac:dyDescent="0.2">
      <c r="A303" s="54">
        <v>4</v>
      </c>
      <c r="B303" s="58" t="str">
        <f t="shared" si="0"/>
        <v/>
      </c>
      <c r="C303" s="79">
        <v>9</v>
      </c>
      <c r="D303" s="347">
        <v>12</v>
      </c>
    </row>
    <row r="304" spans="1:4" x14ac:dyDescent="0.2">
      <c r="A304" s="54">
        <v>5</v>
      </c>
      <c r="B304" s="58" t="str">
        <f t="shared" si="0"/>
        <v/>
      </c>
      <c r="C304" s="79">
        <v>7</v>
      </c>
      <c r="D304" s="347">
        <v>9</v>
      </c>
    </row>
    <row r="305" spans="1:4" x14ac:dyDescent="0.2">
      <c r="A305" s="54">
        <v>6</v>
      </c>
      <c r="B305" s="58" t="str">
        <f t="shared" si="0"/>
        <v/>
      </c>
      <c r="C305" s="79">
        <v>5</v>
      </c>
      <c r="D305" s="347">
        <v>7</v>
      </c>
    </row>
    <row r="306" spans="1:4" x14ac:dyDescent="0.2">
      <c r="A306" s="54">
        <v>7</v>
      </c>
      <c r="B306" s="58" t="str">
        <f t="shared" si="0"/>
        <v/>
      </c>
      <c r="C306" s="79">
        <v>4</v>
      </c>
      <c r="D306" s="347">
        <v>5</v>
      </c>
    </row>
    <row r="307" spans="1:4" x14ac:dyDescent="0.2">
      <c r="A307" s="54">
        <v>8</v>
      </c>
      <c r="B307" s="58" t="str">
        <f t="shared" si="0"/>
        <v/>
      </c>
      <c r="C307" s="79">
        <v>3</v>
      </c>
      <c r="D307" s="347">
        <v>4</v>
      </c>
    </row>
  </sheetData>
  <conditionalFormatting sqref="B7:B10">
    <cfRule type="duplicateValues" dxfId="627" priority="242"/>
  </conditionalFormatting>
  <conditionalFormatting sqref="B13:B16">
    <cfRule type="duplicateValues" dxfId="626" priority="197"/>
  </conditionalFormatting>
  <conditionalFormatting sqref="C20 C22">
    <cfRule type="aboveAverage" dxfId="625" priority="117"/>
  </conditionalFormatting>
  <conditionalFormatting sqref="C24 C26">
    <cfRule type="aboveAverage" dxfId="624" priority="116"/>
  </conditionalFormatting>
  <conditionalFormatting sqref="E21 E25">
    <cfRule type="aboveAverage" dxfId="623" priority="115"/>
  </conditionalFormatting>
  <conditionalFormatting sqref="E28 E30">
    <cfRule type="aboveAverage" dxfId="622" priority="114"/>
  </conditionalFormatting>
  <conditionalFormatting sqref="B300:B307">
    <cfRule type="containsBlanks" dxfId="621" priority="96">
      <formula>LEN(TRIM(B300))=0</formula>
    </cfRule>
    <cfRule type="duplicateValues" dxfId="620" priority="105"/>
  </conditionalFormatting>
  <conditionalFormatting sqref="A20:A26">
    <cfRule type="cellIs" dxfId="619" priority="95" operator="equal">
      <formula>"-"</formula>
    </cfRule>
    <cfRule type="duplicateValues" dxfId="618" priority="104"/>
  </conditionalFormatting>
  <conditionalFormatting sqref="C20 C22 C24 C26 E21 E25 E28 E30">
    <cfRule type="containsBlanks" dxfId="617" priority="102">
      <formula>LEN(TRIM(C20))=0</formula>
    </cfRule>
  </conditionalFormatting>
  <conditionalFormatting sqref="C37 C39">
    <cfRule type="aboveAverage" dxfId="616" priority="101"/>
  </conditionalFormatting>
  <conditionalFormatting sqref="C41 C43">
    <cfRule type="aboveAverage" dxfId="615" priority="100"/>
  </conditionalFormatting>
  <conditionalFormatting sqref="E38 E42">
    <cfRule type="aboveAverage" dxfId="614" priority="99"/>
  </conditionalFormatting>
  <conditionalFormatting sqref="E45 E47">
    <cfRule type="aboveAverage" dxfId="613" priority="98"/>
  </conditionalFormatting>
  <conditionalFormatting sqref="C37 C39 C41 C43 E38 E42 E45 E47">
    <cfRule type="containsBlanks" dxfId="612" priority="97">
      <formula>LEN(TRIM(C37))=0</formula>
    </cfRule>
  </conditionalFormatting>
  <conditionalFormatting sqref="A37:A43">
    <cfRule type="cellIs" dxfId="611" priority="93" operator="equal">
      <formula>"-"</formula>
    </cfRule>
    <cfRule type="duplicateValues" dxfId="610" priority="94"/>
  </conditionalFormatting>
  <conditionalFormatting sqref="G7:G10">
    <cfRule type="containsText" dxfId="609" priority="71" operator="containsText" text="2">
      <formula>NOT(ISERROR(SEARCH("2",G7)))</formula>
    </cfRule>
    <cfRule type="containsText" dxfId="608" priority="72" operator="containsText" text="1">
      <formula>NOT(ISERROR(SEARCH("1",G7)))</formula>
    </cfRule>
  </conditionalFormatting>
  <conditionalFormatting sqref="G10">
    <cfRule type="expression" dxfId="607" priority="70">
      <formula>B10="-"</formula>
    </cfRule>
  </conditionalFormatting>
  <conditionalFormatting sqref="C7 C10">
    <cfRule type="aboveAverage" dxfId="606" priority="69"/>
  </conditionalFormatting>
  <conditionalFormatting sqref="C8:C9">
    <cfRule type="aboveAverage" dxfId="605" priority="68"/>
  </conditionalFormatting>
  <conditionalFormatting sqref="G13:G16">
    <cfRule type="containsText" dxfId="604" priority="47" operator="containsText" text="2">
      <formula>NOT(ISERROR(SEARCH("2",G13)))</formula>
    </cfRule>
    <cfRule type="containsText" dxfId="603" priority="48" operator="containsText" text="1">
      <formula>NOT(ISERROR(SEARCH("1",G13)))</formula>
    </cfRule>
  </conditionalFormatting>
  <conditionalFormatting sqref="G16">
    <cfRule type="expression" dxfId="602" priority="46">
      <formula>B16="-"</formula>
    </cfRule>
  </conditionalFormatting>
  <conditionalFormatting sqref="C13 C16">
    <cfRule type="aboveAverage" dxfId="601" priority="45"/>
  </conditionalFormatting>
  <conditionalFormatting sqref="C14:C15">
    <cfRule type="aboveAverage" dxfId="600" priority="44"/>
  </conditionalFormatting>
  <conditionalFormatting sqref="E10">
    <cfRule type="expression" dxfId="599" priority="38">
      <formula>AND(COUNT(E7:E10)&lt;2,IF(ISNUMBER(C10),C7&gt;C10))</formula>
    </cfRule>
  </conditionalFormatting>
  <conditionalFormatting sqref="E7">
    <cfRule type="expression" dxfId="598" priority="37">
      <formula>AND(COUNT(E7:E10)&lt;2,IF(ISNUMBER(C7),C10&gt;C7))</formula>
    </cfRule>
  </conditionalFormatting>
  <conditionalFormatting sqref="E8">
    <cfRule type="expression" dxfId="597" priority="36">
      <formula>AND(COUNT(E7:E10)&lt;2,IF(ISNUMBER(C8),C9&gt;C8))</formula>
    </cfRule>
  </conditionalFormatting>
  <conditionalFormatting sqref="E9">
    <cfRule type="expression" dxfId="596" priority="35">
      <formula>AND(COUNT(E7:E10)&lt;2,IF(ISNUMBER(C9),C8&gt;C9))</formula>
    </cfRule>
  </conditionalFormatting>
  <conditionalFormatting sqref="E7:E10">
    <cfRule type="aboveAverage" dxfId="595" priority="34"/>
  </conditionalFormatting>
  <conditionalFormatting sqref="F7">
    <cfRule type="expression" dxfId="594" priority="29">
      <formula>AND(COUNT(F7:F10)&lt;2,IF(COUNT(E7:E10)=2,IF(AND(ISNUMBER(E7),COUNTIF(E7:E10,E7)=1,E7=MAX(E7:E10)),TRUE,FALSE)))</formula>
    </cfRule>
    <cfRule type="expression" dxfId="593" priority="33">
      <formula>AND(COUNT(F7:F10)&lt;2,IF(COUNT(D7:D10)=2,IF(AND(ISNUMBER(D7),COUNTIF(D7:D10,D7)=1,D7=MIN(D7:D10)),TRUE,FALSE)))</formula>
    </cfRule>
  </conditionalFormatting>
  <conditionalFormatting sqref="F8">
    <cfRule type="expression" dxfId="592" priority="28">
      <formula>AND(COUNT(F7:F10)&lt;2,IF(COUNT(E7:E10)=2,IF(AND(ISNUMBER(E8),COUNTIF(E7:E10,E8)=1,E8=MAX(E7:E10)),TRUE,FALSE)))</formula>
    </cfRule>
    <cfRule type="expression" dxfId="591" priority="32">
      <formula>AND(COUNT(F7:F10)&lt;2,IF(COUNT(D7:D10)=2,IF(AND(ISNUMBER(D8),COUNTIF(D7:D10,D8)=1,D8=MIN(D7:D10)),TRUE,FALSE)))</formula>
    </cfRule>
  </conditionalFormatting>
  <conditionalFormatting sqref="F9">
    <cfRule type="expression" dxfId="590" priority="27">
      <formula>AND(COUNT(F7:F10)&lt;2,IF(COUNT(E7:E10)=2,IF(AND(ISNUMBER(E9),COUNTIF(E7:E10,E9)=1,E9=MAX(E7:E10)),TRUE,FALSE)))</formula>
    </cfRule>
    <cfRule type="expression" dxfId="589" priority="31">
      <formula>AND(COUNT(F7:F10)&lt;2,IF(COUNT(D7:D10)=2,IF(AND(ISNUMBER(D9),COUNTIF(D7:D10,D9)=1,D9=MIN(D7:D10)),TRUE,FALSE)))</formula>
    </cfRule>
  </conditionalFormatting>
  <conditionalFormatting sqref="F10">
    <cfRule type="expression" dxfId="588" priority="26">
      <formula>AND(COUNT(F7:F10)&lt;2,IF(COUNT(E7:E10)=2,IF(AND(ISNUMBER(E10),COUNTIF(E7:E10,E10)=1,E10=MAX(E7:E10)),TRUE,FALSE)))</formula>
    </cfRule>
    <cfRule type="expression" dxfId="587" priority="30">
      <formula>AND(COUNT(F7:F10)&lt;2,IF(COUNT(D7:D10)=2,IF(AND(ISNUMBER(D10),COUNTIF(D7:D10,D10)=1,D10=MIN(D7:D10)),TRUE,FALSE)))</formula>
    </cfRule>
  </conditionalFormatting>
  <conditionalFormatting sqref="F7:F10">
    <cfRule type="aboveAverage" dxfId="586" priority="25"/>
  </conditionalFormatting>
  <conditionalFormatting sqref="D7">
    <cfRule type="expression" dxfId="585" priority="24">
      <formula>AND(COUNT(D7:D10)&lt;2,IF(ISNUMBER(C10),C7&gt;C10))</formula>
    </cfRule>
  </conditionalFormatting>
  <conditionalFormatting sqref="D8">
    <cfRule type="expression" dxfId="584" priority="23">
      <formula>AND(COUNT(D7:D10)&lt;2,IF(ISNUMBER(C9),C8&gt;C9))</formula>
    </cfRule>
  </conditionalFormatting>
  <conditionalFormatting sqref="D9">
    <cfRule type="expression" dxfId="583" priority="22">
      <formula>AND(COUNT(D7:D10)&lt;2,IF(ISNUMBER(C8),C9&gt;C8))</formula>
    </cfRule>
  </conditionalFormatting>
  <conditionalFormatting sqref="D10">
    <cfRule type="expression" dxfId="582" priority="21">
      <formula>AND(COUNT(D7:D10)&lt;2,IF(ISNUMBER(C7),C10&gt;C7))</formula>
    </cfRule>
  </conditionalFormatting>
  <conditionalFormatting sqref="D7:D10">
    <cfRule type="aboveAverage" dxfId="581" priority="20"/>
  </conditionalFormatting>
  <conditionalFormatting sqref="E16">
    <cfRule type="expression" dxfId="580" priority="19">
      <formula>AND(COUNT(E13:E16)&lt;2,IF(ISNUMBER(C16),C13&gt;C16))</formula>
    </cfRule>
  </conditionalFormatting>
  <conditionalFormatting sqref="E13">
    <cfRule type="expression" dxfId="579" priority="18">
      <formula>AND(COUNT(E13:E16)&lt;2,IF(ISNUMBER(C13),C16&gt;C13))</formula>
    </cfRule>
  </conditionalFormatting>
  <conditionalFormatting sqref="E14">
    <cfRule type="expression" dxfId="578" priority="17">
      <formula>AND(COUNT(E13:E16)&lt;2,IF(ISNUMBER(C14),C15&gt;C14))</formula>
    </cfRule>
  </conditionalFormatting>
  <conditionalFormatting sqref="E15">
    <cfRule type="expression" dxfId="577" priority="16">
      <formula>AND(COUNT(E13:E16)&lt;2,IF(ISNUMBER(C15),C14&gt;C15))</formula>
    </cfRule>
  </conditionalFormatting>
  <conditionalFormatting sqref="E13:E16">
    <cfRule type="aboveAverage" dxfId="576" priority="15"/>
  </conditionalFormatting>
  <conditionalFormatting sqref="F13">
    <cfRule type="expression" dxfId="575" priority="10">
      <formula>AND(COUNT(F13:F16)&lt;2,IF(COUNT(E13:E16)=2,IF(AND(ISNUMBER(E13),COUNTIF(E13:E16,E13)=1,E13=MAX(E13:E16)),TRUE,FALSE)))</formula>
    </cfRule>
    <cfRule type="expression" dxfId="574" priority="14">
      <formula>AND(COUNT(F13:F16)&lt;2,IF(COUNT(D13:D16)=2,IF(AND(ISNUMBER(D13),COUNTIF(D13:D16,D13)=1,D13=MIN(D13:D16)),TRUE,FALSE)))</formula>
    </cfRule>
  </conditionalFormatting>
  <conditionalFormatting sqref="F14">
    <cfRule type="expression" dxfId="573" priority="9">
      <formula>AND(COUNT(F13:F16)&lt;2,IF(COUNT(E13:E16)=2,IF(AND(ISNUMBER(E14),COUNTIF(E13:E16,E14)=1,E14=MAX(E13:E16)),TRUE,FALSE)))</formula>
    </cfRule>
    <cfRule type="expression" dxfId="572" priority="13">
      <formula>AND(COUNT(F13:F16)&lt;2,IF(COUNT(D13:D16)=2,IF(AND(ISNUMBER(D14),COUNTIF(D13:D16,D14)=1,D14=MIN(D13:D16)),TRUE,FALSE)))</formula>
    </cfRule>
  </conditionalFormatting>
  <conditionalFormatting sqref="F15">
    <cfRule type="expression" dxfId="571" priority="8">
      <formula>AND(COUNT(F13:F16)&lt;2,IF(COUNT(E13:E16)=2,IF(AND(ISNUMBER(E15),COUNTIF(E13:E16,E15)=1,E15=MAX(E13:E16)),TRUE,FALSE)))</formula>
    </cfRule>
    <cfRule type="expression" dxfId="570" priority="12">
      <formula>AND(COUNT(F13:F16)&lt;2,IF(COUNT(D13:D16)=2,IF(AND(ISNUMBER(D15),COUNTIF(D13:D16,D15)=1,D15=MIN(D13:D16)),TRUE,FALSE)))</formula>
    </cfRule>
  </conditionalFormatting>
  <conditionalFormatting sqref="F16">
    <cfRule type="expression" dxfId="569" priority="7">
      <formula>AND(COUNT(F13:F16)&lt;2,IF(COUNT(E13:E16)=2,IF(AND(ISNUMBER(E16),COUNTIF(E13:E16,E16)=1,E16=MAX(E13:E16)),TRUE,FALSE)))</formula>
    </cfRule>
    <cfRule type="expression" dxfId="568" priority="11">
      <formula>AND(COUNT(F13:F16)&lt;2,IF(COUNT(D13:D16)=2,IF(AND(ISNUMBER(D16),COUNTIF(D13:D16,D16)=1,D16=MIN(D13:D16)),TRUE,FALSE)))</formula>
    </cfRule>
  </conditionalFormatting>
  <conditionalFormatting sqref="F13:F16">
    <cfRule type="aboveAverage" dxfId="567" priority="6"/>
  </conditionalFormatting>
  <conditionalFormatting sqref="D13">
    <cfRule type="expression" dxfId="566" priority="5">
      <formula>AND(COUNT(D13:D16)&lt;2,IF(ISNUMBER(C16),C13&gt;C16))</formula>
    </cfRule>
  </conditionalFormatting>
  <conditionalFormatting sqref="D14">
    <cfRule type="expression" dxfId="565" priority="4">
      <formula>AND(COUNT(D13:D16)&lt;2,IF(ISNUMBER(C15),C14&gt;C15))</formula>
    </cfRule>
  </conditionalFormatting>
  <conditionalFormatting sqref="D15">
    <cfRule type="expression" dxfId="564" priority="3">
      <formula>AND(COUNT(D13:D16)&lt;2,IF(ISNUMBER(C14),C15&gt;C14))</formula>
    </cfRule>
  </conditionalFormatting>
  <conditionalFormatting sqref="D16">
    <cfRule type="expression" dxfId="563" priority="2">
      <formula>AND(COUNT(D13:D16)&lt;2,IF(ISNUMBER(C13),C16&gt;C13))</formula>
    </cfRule>
  </conditionalFormatting>
  <conditionalFormatting sqref="D13:D16">
    <cfRule type="aboveAverage" dxfId="562"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1" manualBreakCount="1">
    <brk id="3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309"/>
  <sheetViews>
    <sheetView showGridLine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79" customWidth="1"/>
    <col min="2" max="2" width="47.14062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3" width="9.140625" style="79" customWidth="1"/>
    <col min="14" max="16384" width="9.140625" style="79"/>
  </cols>
  <sheetData>
    <row r="1" spans="1:13" x14ac:dyDescent="0.2">
      <c r="A1" s="72" t="str">
        <f>UPPER((Kalend!E6)&amp;" - "&amp;(Kalend!C6)&amp;" - "&amp;(Kalend!D6))</f>
        <v>1 - EESTI REITINGUVÕISTLUS - TRIO</v>
      </c>
      <c r="D1" s="41" t="str">
        <f>HYPERLINK("#'Kalend'!I1","Kalender")</f>
        <v>Kalender</v>
      </c>
      <c r="F1" s="41" t="str">
        <f>HYPERLINK("#Üldreiting!s1","Reiting")</f>
        <v>Reiting</v>
      </c>
    </row>
    <row r="2" spans="1:13" x14ac:dyDescent="0.2">
      <c r="A2" s="79" t="str">
        <f>"Toimumisaeg: "&amp;(Kalend!A6)&amp;" kell "&amp;(Kalend!B6)</f>
        <v>Toimumisaeg: P, 29.10.2017 kell 10:00</v>
      </c>
    </row>
    <row r="3" spans="1:13" x14ac:dyDescent="0.2">
      <c r="A3" s="79" t="str">
        <f>"Toimumiskoht: "&amp;(Kalend!F6)</f>
        <v>Toimumiskoht: Tallinn, Algi 38</v>
      </c>
    </row>
    <row r="4" spans="1:13" x14ac:dyDescent="0.2">
      <c r="A4" s="79" t="str">
        <f>"Korraldaja: "&amp;(Kalend!G6)</f>
        <v>Korraldaja: EPKL</v>
      </c>
    </row>
    <row r="6" spans="1:13" s="30" customFormat="1" x14ac:dyDescent="0.2">
      <c r="A6" s="296" t="s">
        <v>291</v>
      </c>
      <c r="B6" s="351"/>
      <c r="C6" s="31" t="s">
        <v>232</v>
      </c>
      <c r="D6" s="296" t="s">
        <v>61</v>
      </c>
      <c r="E6" s="296" t="s">
        <v>62</v>
      </c>
      <c r="F6" s="31" t="s">
        <v>63</v>
      </c>
      <c r="G6" s="31" t="s">
        <v>19</v>
      </c>
      <c r="H6" s="79"/>
      <c r="I6" s="79"/>
      <c r="J6" s="79"/>
      <c r="K6" s="79"/>
      <c r="L6" s="79"/>
      <c r="M6" s="79"/>
    </row>
    <row r="7" spans="1:13" s="30" customFormat="1" x14ac:dyDescent="0.2">
      <c r="A7" s="296">
        <v>1</v>
      </c>
      <c r="B7" s="186"/>
      <c r="C7" s="124" t="str">
        <f>IF(B10="-",13,"")</f>
        <v/>
      </c>
      <c r="D7" s="124"/>
      <c r="E7" s="32"/>
      <c r="F7" s="314"/>
      <c r="G7" s="32" t="str">
        <f>IF(AND(COUNT(F7:F10)=2,F7=MAX(F7:F10),COUNT(C7:F7)=3),A6&amp;"2",IF(AND(COUNT(E7:E10)=2,ISNUMBER(E7),E7=MIN(E7:E10),D7="",F7=""),A6&amp;"4",IF(AND(COUNT(D7:D10)=2,D7=MAX(D7:D10),E7="",F7=""),A6&amp;"1",IF(COUNT(F7:F10)=2,A6&amp;"3",""))))</f>
        <v/>
      </c>
      <c r="H7" s="79"/>
      <c r="I7" s="79"/>
      <c r="J7" s="79"/>
      <c r="K7" s="79"/>
      <c r="L7" s="79"/>
      <c r="M7" s="79"/>
    </row>
    <row r="8" spans="1:13" s="30" customFormat="1" x14ac:dyDescent="0.2">
      <c r="A8" s="296">
        <v>2</v>
      </c>
      <c r="B8" s="122"/>
      <c r="C8" s="336"/>
      <c r="D8" s="124"/>
      <c r="E8" s="32" t="str">
        <f>IF(AND(B10="-",ISNUMBER(C8),C8&lt;C9),13,"")</f>
        <v/>
      </c>
      <c r="F8" s="314"/>
      <c r="G8" s="32" t="str">
        <f>IF(AND(COUNT(F7:F10)=2,F8=MAX(F7:F10),COUNT(C8:F8)=3),A6&amp;"2",IF(AND(COUNT(E7:E10)=2,ISNUMBER(E8),E8=MIN(E7:E10),D8="",F8=""),A6&amp;"4",IF(AND(COUNT(D7:D10)=2,D8=MAX(D7:D10),E8="",F8=""),A6&amp;"1",IF(COUNT(F7:F10)=2,A6&amp;"3",""))))</f>
        <v/>
      </c>
      <c r="H8" s="79"/>
      <c r="I8" s="79"/>
      <c r="J8" s="79"/>
      <c r="K8" s="79"/>
      <c r="L8" s="79"/>
      <c r="M8" s="79"/>
    </row>
    <row r="9" spans="1:13" s="30" customFormat="1" x14ac:dyDescent="0.2">
      <c r="A9" s="296">
        <v>3</v>
      </c>
      <c r="B9" s="122"/>
      <c r="C9" s="336"/>
      <c r="D9" s="32"/>
      <c r="E9" s="32" t="str">
        <f>IF(AND(B10="-",ISNUMBER(C9),C9&lt;C8),13,"")</f>
        <v/>
      </c>
      <c r="F9" s="314"/>
      <c r="G9" s="32" t="str">
        <f>IF(AND(COUNT(F7:F10)=2,F9=MAX(F7:F10),COUNT(C9:F9)=3),A6&amp;"2",IF(AND(COUNT(E7:E10)=2,ISNUMBER(E9),E9=MIN(E7:E10),D9="",F9=""),A6&amp;"4",IF(AND(COUNT(D7:D10)=2,D9=MAX(D7:D10),E9="",F9=""),A6&amp;"1",IF(COUNT(F7:F10)=2,A6&amp;"3",""))))</f>
        <v/>
      </c>
      <c r="H9" s="79"/>
      <c r="I9" s="79"/>
      <c r="J9" s="79"/>
      <c r="K9" s="79"/>
      <c r="L9" s="79"/>
      <c r="M9" s="79"/>
    </row>
    <row r="10" spans="1:13" s="30" customFormat="1" x14ac:dyDescent="0.2">
      <c r="A10" s="296">
        <v>4</v>
      </c>
      <c r="B10" s="123"/>
      <c r="C10" s="124" t="str">
        <f>IF(B10="-",0,"")</f>
        <v/>
      </c>
      <c r="D10" s="124"/>
      <c r="E10" s="32" t="str">
        <f>IF(B10="-",0,"")</f>
        <v/>
      </c>
      <c r="F10" s="314"/>
      <c r="G10" s="32" t="str">
        <f>IF(AND(COUNT(F7:F10)=2,F10=MAX(F7:F10),COUNT(C10:F10)=3),A6&amp;"2",IF(AND(COUNT(E7:E10)=2,ISNUMBER(E10),E10=MIN(E7:E10),D10="",F10=""),A6&amp;"4",IF(AND(COUNT(D7:D10)=2,D10=MAX(D7:D10),E10="",F10=""),A6&amp;"1",IF(COUNT(F7:F10)=2,A6&amp;"3",""))))</f>
        <v/>
      </c>
      <c r="H10" s="79"/>
      <c r="I10" s="79"/>
      <c r="J10" s="79"/>
      <c r="K10" s="79"/>
      <c r="L10" s="79"/>
      <c r="M10" s="79"/>
    </row>
    <row r="11" spans="1:13" x14ac:dyDescent="0.2">
      <c r="B11" s="353" t="s">
        <v>81</v>
      </c>
      <c r="G11" s="353" t="s">
        <v>81</v>
      </c>
    </row>
    <row r="12" spans="1:13" s="30" customFormat="1" x14ac:dyDescent="0.2">
      <c r="A12" s="296" t="s">
        <v>275</v>
      </c>
      <c r="B12" s="351"/>
      <c r="C12" s="31" t="s">
        <v>232</v>
      </c>
      <c r="D12" s="296" t="s">
        <v>61</v>
      </c>
      <c r="E12" s="296" t="s">
        <v>62</v>
      </c>
      <c r="F12" s="31" t="s">
        <v>63</v>
      </c>
      <c r="G12" s="31" t="s">
        <v>19</v>
      </c>
      <c r="H12" s="79"/>
      <c r="I12" s="79"/>
      <c r="J12" s="79"/>
      <c r="K12" s="79"/>
      <c r="L12" s="79"/>
      <c r="M12" s="79"/>
    </row>
    <row r="13" spans="1:13" s="30" customFormat="1" x14ac:dyDescent="0.2">
      <c r="A13" s="296">
        <v>1</v>
      </c>
      <c r="B13" s="186"/>
      <c r="C13" s="124" t="str">
        <f>IF(B16="-",13,"")</f>
        <v/>
      </c>
      <c r="D13" s="124"/>
      <c r="E13" s="32"/>
      <c r="F13" s="314"/>
      <c r="G13" s="32" t="str">
        <f>IF(AND(COUNT(F13:F16)=2,F13=MAX(F13:F16),COUNT(C13:F13)=3),A12&amp;"2",IF(AND(COUNT(E13:E16)=2,ISNUMBER(E13),E13=MIN(E13:E16),D13="",F13=""),A12&amp;"4",IF(AND(COUNT(D13:D16)=2,D13=MAX(D13:D16),E13="",F13=""),A12&amp;"1",IF(COUNT(F13:F16)=2,A12&amp;"3",""))))</f>
        <v/>
      </c>
      <c r="H13" s="79"/>
      <c r="I13" s="79"/>
      <c r="J13" s="79"/>
      <c r="K13" s="79"/>
      <c r="L13" s="79"/>
      <c r="M13" s="79"/>
    </row>
    <row r="14" spans="1:13" s="30" customFormat="1" x14ac:dyDescent="0.2">
      <c r="A14" s="296">
        <v>2</v>
      </c>
      <c r="B14" s="122"/>
      <c r="C14" s="336"/>
      <c r="D14" s="124"/>
      <c r="E14" s="32" t="str">
        <f>IF(AND(B16="-",ISNUMBER(C14),C14&lt;C15),13,"")</f>
        <v/>
      </c>
      <c r="F14" s="314"/>
      <c r="G14" s="32" t="str">
        <f>IF(AND(COUNT(F13:F16)=2,F14=MAX(F13:F16),COUNT(C14:F14)=3),A12&amp;"2",IF(AND(COUNT(E13:E16)=2,ISNUMBER(E14),E14=MIN(E13:E16),D14="",F14=""),A12&amp;"4",IF(AND(COUNT(D13:D16)=2,D14=MAX(D13:D16),E14="",F14=""),A12&amp;"1",IF(COUNT(F13:F16)=2,A12&amp;"3",""))))</f>
        <v/>
      </c>
      <c r="H14" s="79"/>
      <c r="I14" s="79"/>
      <c r="J14" s="79"/>
      <c r="K14" s="79"/>
      <c r="L14" s="79"/>
      <c r="M14" s="79"/>
    </row>
    <row r="15" spans="1:13" s="30" customFormat="1" x14ac:dyDescent="0.2">
      <c r="A15" s="296">
        <v>3</v>
      </c>
      <c r="B15" s="122"/>
      <c r="C15" s="336"/>
      <c r="D15" s="32"/>
      <c r="E15" s="32" t="str">
        <f>IF(AND(B16="-",ISNUMBER(C15),C15&lt;C14),13,"")</f>
        <v/>
      </c>
      <c r="F15" s="314"/>
      <c r="G15" s="32" t="str">
        <f>IF(AND(COUNT(F13:F16)=2,F15=MAX(F13:F16),COUNT(C15:F15)=3),A12&amp;"2",IF(AND(COUNT(E13:E16)=2,ISNUMBER(E15),E15=MIN(E13:E16),D15="",F15=""),A12&amp;"4",IF(AND(COUNT(D13:D16)=2,D15=MAX(D13:D16),E15="",F15=""),A12&amp;"1",IF(COUNT(F13:F16)=2,A12&amp;"3",""))))</f>
        <v/>
      </c>
      <c r="H15" s="79"/>
      <c r="I15" s="79"/>
      <c r="J15" s="79"/>
      <c r="K15" s="79"/>
      <c r="L15" s="79"/>
      <c r="M15" s="79"/>
    </row>
    <row r="16" spans="1:13" s="30" customFormat="1" x14ac:dyDescent="0.2">
      <c r="A16" s="296">
        <v>4</v>
      </c>
      <c r="B16" s="123"/>
      <c r="C16" s="124" t="str">
        <f>IF(B16="-",0,"")</f>
        <v/>
      </c>
      <c r="D16" s="124"/>
      <c r="E16" s="32" t="str">
        <f>IF(B16="-",0,"")</f>
        <v/>
      </c>
      <c r="F16" s="314"/>
      <c r="G16" s="32" t="str">
        <f>IF(AND(COUNT(F13:F16)=2,F16=MAX(F13:F16),COUNT(C16:F16)=3),A12&amp;"2",IF(AND(COUNT(E13:E16)=2,ISNUMBER(E16),E16=MIN(E13:E16),D16="",F16=""),A12&amp;"4",IF(AND(COUNT(D13:D16)=2,D16=MAX(D13:D16),E16="",F16=""),A12&amp;"1",IF(COUNT(F13:F16)=2,A12&amp;"3",""))))</f>
        <v/>
      </c>
      <c r="H16" s="79"/>
      <c r="I16" s="79"/>
      <c r="J16" s="79"/>
      <c r="K16" s="79"/>
      <c r="L16" s="79"/>
      <c r="M16" s="79"/>
    </row>
    <row r="18" spans="1:13" s="30" customFormat="1" x14ac:dyDescent="0.2">
      <c r="A18" s="296" t="s">
        <v>292</v>
      </c>
      <c r="B18" s="351"/>
      <c r="C18" s="31" t="s">
        <v>232</v>
      </c>
      <c r="D18" s="296" t="s">
        <v>61</v>
      </c>
      <c r="E18" s="296" t="s">
        <v>62</v>
      </c>
      <c r="F18" s="31" t="s">
        <v>63</v>
      </c>
      <c r="G18" s="31" t="s">
        <v>19</v>
      </c>
      <c r="H18" s="79"/>
      <c r="I18" s="79"/>
      <c r="J18" s="79"/>
      <c r="K18" s="79"/>
      <c r="L18" s="79"/>
      <c r="M18" s="79"/>
    </row>
    <row r="19" spans="1:13" s="30" customFormat="1" x14ac:dyDescent="0.2">
      <c r="A19" s="296">
        <v>1</v>
      </c>
      <c r="B19" s="186"/>
      <c r="C19" s="124" t="str">
        <f>IF(B22="-",13,"")</f>
        <v/>
      </c>
      <c r="D19" s="124"/>
      <c r="E19" s="32"/>
      <c r="F19" s="314"/>
      <c r="G19" s="32" t="str">
        <f>IF(AND(COUNT(F19:F22)=2,F19=MAX(F19:F22),COUNT(C19:F19)=3),A18&amp;"2",IF(AND(COUNT(E19:E22)=2,ISNUMBER(E19),E19=MIN(E19:E22),D19="",F19=""),A18&amp;"4",IF(AND(COUNT(D19:D22)=2,D19=MAX(D19:D22),E19="",F19=""),A18&amp;"1",IF(COUNT(F19:F22)=2,A18&amp;"3",""))))</f>
        <v/>
      </c>
      <c r="H19" s="79"/>
      <c r="I19" s="79"/>
      <c r="J19" s="79"/>
      <c r="K19" s="79"/>
      <c r="L19" s="79"/>
      <c r="M19" s="79"/>
    </row>
    <row r="20" spans="1:13" s="30" customFormat="1" x14ac:dyDescent="0.2">
      <c r="A20" s="296">
        <v>2</v>
      </c>
      <c r="B20" s="122"/>
      <c r="C20" s="336"/>
      <c r="D20" s="124"/>
      <c r="E20" s="32" t="str">
        <f>IF(AND(B22="-",ISNUMBER(C20),C20&lt;C21),13,"")</f>
        <v/>
      </c>
      <c r="F20" s="314"/>
      <c r="G20" s="32" t="str">
        <f>IF(AND(COUNT(F19:F22)=2,F20=MAX(F19:F22),COUNT(C20:F20)=3),A18&amp;"2",IF(AND(COUNT(E19:E22)=2,ISNUMBER(E20),E20=MIN(E19:E22),D20="",F20=""),A18&amp;"4",IF(AND(COUNT(D19:D22)=2,D20=MAX(D19:D22),E20="",F20=""),A18&amp;"1",IF(COUNT(F19:F22)=2,A18&amp;"3",""))))</f>
        <v/>
      </c>
      <c r="H20" s="79"/>
      <c r="I20" s="79"/>
      <c r="J20" s="79"/>
      <c r="K20" s="79"/>
      <c r="L20" s="79"/>
      <c r="M20" s="79"/>
    </row>
    <row r="21" spans="1:13" s="30" customFormat="1" x14ac:dyDescent="0.2">
      <c r="A21" s="296">
        <v>3</v>
      </c>
      <c r="B21" s="122"/>
      <c r="C21" s="336"/>
      <c r="D21" s="32"/>
      <c r="E21" s="32" t="str">
        <f>IF(AND(B22="-",ISNUMBER(C21),C21&lt;C20),13,"")</f>
        <v/>
      </c>
      <c r="F21" s="314"/>
      <c r="G21" s="32" t="str">
        <f>IF(AND(COUNT(F19:F22)=2,F21=MAX(F19:F22),COUNT(C21:F21)=3),A18&amp;"2",IF(AND(COUNT(E19:E22)=2,ISNUMBER(E21),E21=MIN(E19:E22),D21="",F21=""),A18&amp;"4",IF(AND(COUNT(D19:D22)=2,D21=MAX(D19:D22),E21="",F21=""),A18&amp;"1",IF(COUNT(F19:F22)=2,A18&amp;"3",""))))</f>
        <v/>
      </c>
      <c r="H21" s="79"/>
      <c r="I21" s="79"/>
      <c r="J21" s="79"/>
      <c r="K21" s="79"/>
      <c r="L21" s="79"/>
      <c r="M21" s="79"/>
    </row>
    <row r="22" spans="1:13" s="30" customFormat="1" x14ac:dyDescent="0.2">
      <c r="A22" s="296">
        <v>4</v>
      </c>
      <c r="B22" s="123"/>
      <c r="C22" s="124" t="str">
        <f>IF(B22="-",0,"")</f>
        <v/>
      </c>
      <c r="D22" s="124"/>
      <c r="E22" s="32" t="str">
        <f>IF(B22="-",0,"")</f>
        <v/>
      </c>
      <c r="F22" s="314"/>
      <c r="G22" s="32" t="str">
        <f>IF(AND(COUNT(F19:F22)=2,F22=MAX(F19:F22),COUNT(C22:F22)=3),A18&amp;"2",IF(AND(COUNT(E19:E22)=2,ISNUMBER(E22),E22=MIN(E19:E22),D22="",F22=""),A18&amp;"4",IF(AND(COUNT(D19:D22)=2,D22=MAX(D19:D22),E22="",F22=""),A18&amp;"1",IF(COUNT(F19:F22)=2,A18&amp;"3",""))))</f>
        <v/>
      </c>
      <c r="H22" s="79"/>
      <c r="I22" s="79"/>
      <c r="J22" s="79"/>
      <c r="K22" s="79"/>
      <c r="L22" s="79"/>
      <c r="M22" s="79"/>
    </row>
    <row r="23" spans="1:13" s="30" customFormat="1" x14ac:dyDescent="0.2">
      <c r="A23" s="34"/>
      <c r="B23" s="38"/>
      <c r="C23" s="36"/>
      <c r="D23" s="36"/>
      <c r="E23" s="36"/>
      <c r="F23" s="36"/>
      <c r="G23" s="39"/>
    </row>
    <row r="24" spans="1:13" s="42" customFormat="1" x14ac:dyDescent="0.2">
      <c r="A24" s="60" t="s">
        <v>90</v>
      </c>
      <c r="B24" s="45"/>
      <c r="C24" s="35"/>
      <c r="D24" s="35"/>
      <c r="E24" s="35"/>
      <c r="F24" s="36"/>
      <c r="G24" s="37"/>
    </row>
    <row r="25" spans="1:13" s="42" customFormat="1" x14ac:dyDescent="0.2"/>
    <row r="26" spans="1:13" s="42" customFormat="1" x14ac:dyDescent="0.2">
      <c r="A26" s="61"/>
      <c r="B26" s="310" t="str">
        <f>IFERROR(INDEX(B$7:B$22,MATCH(A26,G$7:G$22,0)),"")</f>
        <v/>
      </c>
      <c r="C26" s="81" t="str">
        <f>IF(B26="-",0,IF(B28="-",13,""))</f>
        <v/>
      </c>
    </row>
    <row r="27" spans="1:13" s="42" customFormat="1" x14ac:dyDescent="0.2">
      <c r="A27" s="43"/>
      <c r="B27" s="311"/>
      <c r="C27" s="126" t="str">
        <f>IF(COUNT(C26,C28)=2,IF(C26&gt;C28,B26,B28),"")</f>
        <v/>
      </c>
      <c r="E27" s="81" t="str">
        <f>IF(C27="-",0,IF(C31="-",13,""))</f>
        <v/>
      </c>
    </row>
    <row r="28" spans="1:13" s="42" customFormat="1" x14ac:dyDescent="0.2">
      <c r="A28" s="43"/>
      <c r="B28" s="312" t="str">
        <f>IFERROR(INDEX(B$7:B$22,MATCH(A28,G$7:G$22,0)),"")</f>
        <v/>
      </c>
      <c r="C28" s="63" t="str">
        <f>IF(B28="-",0,IF(B26="-",13,""))</f>
        <v/>
      </c>
      <c r="D28" s="345"/>
    </row>
    <row r="29" spans="1:13" s="42" customFormat="1" x14ac:dyDescent="0.2">
      <c r="A29" s="43"/>
      <c r="B29" s="313"/>
      <c r="D29" s="46"/>
      <c r="E29" s="126" t="str">
        <f>IF(COUNT(E27,E31)=2,IF(E27&gt;E31,C27,C31),"")</f>
        <v/>
      </c>
      <c r="G29" s="81" t="str">
        <f>IF(E29="-",0,IF(E37="-",13,""))</f>
        <v/>
      </c>
    </row>
    <row r="30" spans="1:13" s="42" customFormat="1" x14ac:dyDescent="0.2">
      <c r="A30" s="43"/>
      <c r="B30" s="310" t="str">
        <f>IFERROR(INDEX(B$7:B$22,MATCH(A30,G$7:G$22,0)),"")</f>
        <v/>
      </c>
      <c r="C30" s="81" t="str">
        <f>IF(B30="-",0,IF(B32="-",13,""))</f>
        <v/>
      </c>
      <c r="D30" s="46"/>
      <c r="E30" s="343"/>
      <c r="F30" s="345"/>
    </row>
    <row r="31" spans="1:13" s="42" customFormat="1" x14ac:dyDescent="0.2">
      <c r="A31" s="43"/>
      <c r="B31" s="311"/>
      <c r="C31" s="126" t="str">
        <f>IF(COUNT(C30,C32)=2,IF(C30&gt;C32,B30,B32),"")</f>
        <v/>
      </c>
      <c r="D31" s="50"/>
      <c r="E31" s="63" t="str">
        <f>IF(C31="-",0,IF(C27="-",13,""))</f>
        <v/>
      </c>
      <c r="F31" s="46"/>
    </row>
    <row r="32" spans="1:13" s="42" customFormat="1" x14ac:dyDescent="0.2">
      <c r="A32" s="43"/>
      <c r="B32" s="312" t="str">
        <f>IFERROR(INDEX(B$7:B$22,MATCH(A32,G$7:G$22,0)),"")</f>
        <v/>
      </c>
      <c r="C32" s="63" t="str">
        <f>IF(B32="-",0,IF(B30="-",13,""))</f>
        <v/>
      </c>
      <c r="E32" s="45"/>
      <c r="F32" s="46"/>
    </row>
    <row r="33" spans="1:10" s="42" customFormat="1" ht="13.5" thickBot="1" x14ac:dyDescent="0.25">
      <c r="A33" s="52"/>
      <c r="B33" s="313"/>
      <c r="E33" s="45"/>
      <c r="F33" s="46"/>
      <c r="H33" s="224" t="str">
        <f>IF(COUNT(G29,G37)=2,IF(G29&gt;G37,E29,E37),"")</f>
        <v/>
      </c>
    </row>
    <row r="34" spans="1:10" s="42" customFormat="1" x14ac:dyDescent="0.2">
      <c r="A34" s="61"/>
      <c r="B34" s="310" t="str">
        <f>IFERROR(INDEX(B$7:B$22,MATCH(A34,G$7:G$22,0)),"")</f>
        <v/>
      </c>
      <c r="C34" s="81" t="str">
        <f>IF(B34="-",0,IF(B36="-",13,""))</f>
        <v/>
      </c>
      <c r="F34" s="46"/>
      <c r="G34" s="48"/>
      <c r="H34" s="62" t="s">
        <v>277</v>
      </c>
      <c r="I34" s="49"/>
    </row>
    <row r="35" spans="1:10" s="42" customFormat="1" x14ac:dyDescent="0.2">
      <c r="A35" s="43"/>
      <c r="B35" s="311"/>
      <c r="C35" s="126" t="str">
        <f>IF(COUNT(C34,C36)=2,IF(C34&gt;C36,B34,B36),"")</f>
        <v/>
      </c>
      <c r="E35" s="81" t="str">
        <f>IF(C35="-",0,IF(C39="-",13,""))</f>
        <v/>
      </c>
      <c r="F35" s="46"/>
      <c r="G35" s="45"/>
    </row>
    <row r="36" spans="1:10" s="42" customFormat="1" x14ac:dyDescent="0.2">
      <c r="A36" s="43"/>
      <c r="B36" s="312" t="str">
        <f>IFERROR(INDEX(B$7:B$22,MATCH(A36,G$7:G$22,0)),"")</f>
        <v/>
      </c>
      <c r="C36" s="63" t="str">
        <f>IF(B36="-",0,IF(B34="-",13,""))</f>
        <v/>
      </c>
      <c r="D36" s="345"/>
      <c r="F36" s="46"/>
      <c r="G36" s="45"/>
    </row>
    <row r="37" spans="1:10" s="42" customFormat="1" x14ac:dyDescent="0.2">
      <c r="A37" s="43"/>
      <c r="B37" s="313"/>
      <c r="D37" s="46"/>
      <c r="E37" s="126" t="str">
        <f>IF(COUNT(E35,E39)=2,IF(E35&gt;E39,C35,C39),"")</f>
        <v/>
      </c>
      <c r="F37" s="50"/>
      <c r="G37" s="63" t="str">
        <f>IF(E37="-",0,IF(E29="-",13,""))</f>
        <v/>
      </c>
    </row>
    <row r="38" spans="1:10" s="42" customFormat="1" ht="13.5" thickBot="1" x14ac:dyDescent="0.25">
      <c r="A38" s="43"/>
      <c r="B38" s="310" t="str">
        <f>IFERROR(INDEX(B$7:B$22,MATCH(A38,G$7:G$22,0)),"")</f>
        <v/>
      </c>
      <c r="C38" s="81" t="str">
        <f>IF(B38="-",0,IF(B40="-",13,""))</f>
        <v/>
      </c>
      <c r="D38" s="46"/>
      <c r="E38" s="343"/>
      <c r="F38" s="45"/>
      <c r="G38" s="45"/>
      <c r="H38" s="224" t="str">
        <f>IF(COUNT(G29,G37)=2,IF(G29&lt;G37,E29,E37),"")</f>
        <v/>
      </c>
      <c r="I38" s="47"/>
    </row>
    <row r="39" spans="1:10" s="42" customFormat="1" x14ac:dyDescent="0.2">
      <c r="A39" s="43"/>
      <c r="B39" s="311"/>
      <c r="C39" s="126" t="str">
        <f>IF(COUNT(C38,C40)=2,IF(C38&gt;C40,B38,B40),"")</f>
        <v/>
      </c>
      <c r="D39" s="50"/>
      <c r="E39" s="63" t="str">
        <f>IF(C39="-",0,IF(C35="-",13,""))</f>
        <v/>
      </c>
      <c r="G39" s="45"/>
      <c r="H39" s="62" t="s">
        <v>278</v>
      </c>
      <c r="I39" s="45"/>
    </row>
    <row r="40" spans="1:10" s="42" customFormat="1" x14ac:dyDescent="0.2">
      <c r="A40" s="43"/>
      <c r="B40" s="312" t="str">
        <f>IFERROR(INDEX(B$7:B$22,MATCH(A40,G$7:G$22,0)),"")</f>
        <v/>
      </c>
      <c r="C40" s="63" t="str">
        <f>IF(B40="-",0,IF(B38="-",13,""))</f>
        <v/>
      </c>
      <c r="E40" s="45"/>
      <c r="F40" s="45"/>
      <c r="G40" s="45"/>
    </row>
    <row r="41" spans="1:10" s="42" customFormat="1" x14ac:dyDescent="0.2">
      <c r="A41" s="52"/>
      <c r="B41" s="313"/>
      <c r="E41" s="223" t="str">
        <f>IF(COUNT(E27,E31)=2,IF(E27&lt;E31,C27,C31),"")</f>
        <v/>
      </c>
      <c r="G41" s="81" t="str">
        <f>IF(E41="-",0,IF(E43="-",13,""))</f>
        <v/>
      </c>
    </row>
    <row r="42" spans="1:10" s="42" customFormat="1" ht="13.5" thickBot="1" x14ac:dyDescent="0.25">
      <c r="E42" s="309"/>
      <c r="F42" s="345"/>
      <c r="G42" s="47"/>
      <c r="H42" s="224" t="str">
        <f>IF(COUNT(G41,G43)=2,IF(G41&gt;G43,E41,E43),"")</f>
        <v/>
      </c>
      <c r="I42" s="47"/>
    </row>
    <row r="43" spans="1:10" s="42" customFormat="1" x14ac:dyDescent="0.2">
      <c r="E43" s="127" t="str">
        <f>IF(COUNT(E35,E39)=2,IF(E35&lt;E39,C35,C39),"")</f>
        <v/>
      </c>
      <c r="F43" s="50"/>
      <c r="G43" s="63" t="str">
        <f>IF(E43="-",0,IF(E41="-",13,""))</f>
        <v/>
      </c>
      <c r="H43" s="53" t="s">
        <v>279</v>
      </c>
      <c r="I43" s="45"/>
    </row>
    <row r="44" spans="1:10" s="42" customFormat="1" x14ac:dyDescent="0.2">
      <c r="H44" s="45"/>
      <c r="I44" s="45"/>
    </row>
    <row r="45" spans="1:10" s="42" customFormat="1" ht="13.5" thickBot="1" x14ac:dyDescent="0.25">
      <c r="E45" s="45"/>
      <c r="F45" s="45"/>
      <c r="H45" s="224" t="str">
        <f>IF(COUNT(G41,G43)=2,IF(G41&lt;G43,E41,E43),"")</f>
        <v/>
      </c>
      <c r="I45" s="47"/>
    </row>
    <row r="46" spans="1:10" s="42" customFormat="1" x14ac:dyDescent="0.2">
      <c r="H46" s="52" t="s">
        <v>75</v>
      </c>
    </row>
    <row r="47" spans="1:10" s="42" customFormat="1" x14ac:dyDescent="0.2">
      <c r="J47" s="52"/>
    </row>
    <row r="48" spans="1:10" s="42" customFormat="1" x14ac:dyDescent="0.2">
      <c r="A48" s="64" t="s">
        <v>530</v>
      </c>
      <c r="G48" s="45"/>
      <c r="H48" s="45"/>
      <c r="J48" s="52"/>
    </row>
    <row r="49" spans="1:9" s="42" customFormat="1" x14ac:dyDescent="0.2">
      <c r="C49" s="127" t="str">
        <f>IF(COUNT(C26,C28)=2,IF(C26&lt;C28,B26,B28),"")</f>
        <v/>
      </c>
      <c r="E49" s="81" t="str">
        <f>IF(C49="-",0,IF(C51="-",13,""))</f>
        <v/>
      </c>
      <c r="F49" s="81"/>
      <c r="G49" s="81"/>
    </row>
    <row r="50" spans="1:9" s="42" customFormat="1" x14ac:dyDescent="0.2">
      <c r="C50" s="65"/>
      <c r="D50" s="66"/>
      <c r="E50" s="126" t="str">
        <f>IF(COUNT(E49,E51)=2,IF(E49&gt;E51,C49,C51),"")</f>
        <v/>
      </c>
      <c r="G50" s="81" t="str">
        <f>IF(E50="-",0,IF(E54="-",13,""))</f>
        <v/>
      </c>
    </row>
    <row r="51" spans="1:9" s="42" customFormat="1" x14ac:dyDescent="0.2">
      <c r="C51" s="127" t="str">
        <f>IF(COUNT(C30,C2)=2,IF(C30&lt;C32,B30,B32),"")</f>
        <v/>
      </c>
      <c r="D51" s="67"/>
      <c r="E51" s="63" t="str">
        <f>IF(C51="-",0,IF(C49="-",13,""))</f>
        <v/>
      </c>
      <c r="F51" s="66"/>
      <c r="G51" s="81"/>
    </row>
    <row r="52" spans="1:9" s="42" customFormat="1" ht="13.5" thickBot="1" x14ac:dyDescent="0.25">
      <c r="C52" s="81"/>
      <c r="D52" s="81"/>
      <c r="E52" s="51"/>
      <c r="F52" s="68"/>
      <c r="G52" s="81"/>
      <c r="H52" s="224" t="str">
        <f>IF(COUNT(G50,G54)=2,IF(G50&gt;G54,E50,E54),"")</f>
        <v/>
      </c>
    </row>
    <row r="53" spans="1:9" s="42" customFormat="1" x14ac:dyDescent="0.2">
      <c r="C53" s="127" t="str">
        <f>IF(COUNT(C34,C36)=2,IF(C34&lt;C36,B34,B36),"")</f>
        <v/>
      </c>
      <c r="D53" s="81"/>
      <c r="E53" s="81" t="str">
        <f>IF(C53="-",0,IF(C55="-",13,""))</f>
        <v/>
      </c>
      <c r="F53" s="68"/>
      <c r="G53" s="69"/>
      <c r="H53" s="62" t="s">
        <v>76</v>
      </c>
      <c r="I53" s="49"/>
    </row>
    <row r="54" spans="1:9" s="42" customFormat="1" x14ac:dyDescent="0.2">
      <c r="C54" s="65"/>
      <c r="D54" s="66"/>
      <c r="E54" s="126" t="str">
        <f>IF(COUNT(E53,E55)=2,IF(E53&gt;E55,C53,C55),"")</f>
        <v/>
      </c>
      <c r="F54" s="50"/>
      <c r="G54" s="63" t="str">
        <f>IF(E54="-",0,IF(E50="-",13,""))</f>
        <v/>
      </c>
    </row>
    <row r="55" spans="1:9" s="42" customFormat="1" ht="13.5" thickBot="1" x14ac:dyDescent="0.25">
      <c r="C55" s="127" t="str">
        <f>IF(COUNT(C38,C40)=2,IF(C38&lt;C40,B38,B40),"")</f>
        <v/>
      </c>
      <c r="D55" s="67"/>
      <c r="E55" s="63" t="str">
        <f>IF(C55="-",0,IF(C53="-",13,""))</f>
        <v/>
      </c>
      <c r="F55" s="81"/>
      <c r="G55" s="51"/>
      <c r="H55" s="224" t="str">
        <f>IF(COUNT(G50,G54)=2,IF(G50&lt;G54,E50,E54),"")</f>
        <v/>
      </c>
      <c r="I55" s="47"/>
    </row>
    <row r="56" spans="1:9" s="42" customFormat="1" x14ac:dyDescent="0.2">
      <c r="C56" s="81"/>
      <c r="D56" s="81"/>
      <c r="E56" s="81"/>
      <c r="F56" s="81"/>
      <c r="G56" s="51"/>
      <c r="H56" s="62" t="s">
        <v>77</v>
      </c>
      <c r="I56" s="45"/>
    </row>
    <row r="57" spans="1:9" s="42" customFormat="1" x14ac:dyDescent="0.2">
      <c r="C57" s="81"/>
      <c r="D57" s="51"/>
      <c r="E57" s="223" t="str">
        <f>IF(COUNT(E49,E51)=2,IF(E49&lt;E51,C49,C51),"")</f>
        <v/>
      </c>
      <c r="G57" s="81" t="str">
        <f>IF(E57="-",0,IF(E59="-",13,""))</f>
        <v/>
      </c>
      <c r="H57" s="45"/>
      <c r="I57" s="45"/>
    </row>
    <row r="58" spans="1:9" s="42" customFormat="1" ht="13.5" thickBot="1" x14ac:dyDescent="0.25">
      <c r="C58" s="81"/>
      <c r="D58" s="51"/>
      <c r="E58" s="309"/>
      <c r="F58" s="44"/>
      <c r="G58" s="47"/>
      <c r="H58" s="224" t="str">
        <f>IF(COUNT(G57,G59)=2,IF(G57&gt;G59,E57,E59),"")</f>
        <v/>
      </c>
      <c r="I58" s="47"/>
    </row>
    <row r="59" spans="1:9" s="42" customFormat="1" x14ac:dyDescent="0.2">
      <c r="C59" s="81"/>
      <c r="D59" s="51"/>
      <c r="E59" s="127" t="str">
        <f>IF(COUNT(E53,E55)=2,IF(E53&lt;E55,C53,C55),"")</f>
        <v/>
      </c>
      <c r="F59" s="50"/>
      <c r="G59" s="63" t="str">
        <f>IF(E59="-",0,IF(E57="-",13,""))</f>
        <v/>
      </c>
      <c r="H59" s="53"/>
      <c r="I59" s="45"/>
    </row>
    <row r="60" spans="1:9" s="42" customFormat="1" x14ac:dyDescent="0.2">
      <c r="D60" s="45"/>
      <c r="H60" s="45"/>
      <c r="I60" s="45"/>
    </row>
    <row r="61" spans="1:9" s="42" customFormat="1" ht="13.5" thickBot="1" x14ac:dyDescent="0.25">
      <c r="E61" s="45"/>
      <c r="F61" s="45"/>
      <c r="H61" s="47" t="str">
        <f>IF(COUNT(G57,G59)=2,IF(G57&lt;G59,E57,E59),"")</f>
        <v/>
      </c>
      <c r="I61" s="47"/>
    </row>
    <row r="62" spans="1:9" s="30" customFormat="1" x14ac:dyDescent="0.2">
      <c r="A62" s="34"/>
      <c r="B62" s="38"/>
      <c r="C62" s="36"/>
      <c r="D62" s="36"/>
      <c r="E62" s="36"/>
      <c r="F62" s="36"/>
      <c r="G62" s="39"/>
    </row>
    <row r="63" spans="1:9" s="42" customFormat="1" x14ac:dyDescent="0.2">
      <c r="A63" s="60" t="s">
        <v>578</v>
      </c>
      <c r="B63" s="45"/>
      <c r="C63" s="35"/>
      <c r="D63" s="35"/>
      <c r="E63" s="35"/>
      <c r="F63" s="36"/>
      <c r="G63" s="37"/>
    </row>
    <row r="64" spans="1:9" s="42" customFormat="1" x14ac:dyDescent="0.2">
      <c r="B64" s="43"/>
      <c r="C64" s="310" t="str">
        <f>IFERROR(INDEX(B$7:B$22,MATCH(B64,G$7:G$22,0)),"")</f>
        <v/>
      </c>
      <c r="D64" s="310"/>
      <c r="E64" s="81" t="str">
        <f>IF(C64="-",0,IF(C66="-",13,""))</f>
        <v/>
      </c>
      <c r="F64" s="81"/>
      <c r="G64" s="81"/>
    </row>
    <row r="65" spans="1:9" s="42" customFormat="1" x14ac:dyDescent="0.2">
      <c r="B65" s="43"/>
      <c r="C65" s="355"/>
      <c r="D65" s="346"/>
      <c r="E65" s="126" t="str">
        <f>IF(COUNT(E64,E66)=2,IF(E64&gt;E66,C64,C66),"")</f>
        <v/>
      </c>
      <c r="G65" s="81" t="str">
        <f>IF(E65="-",0,IF(E69="-",13,""))</f>
        <v/>
      </c>
    </row>
    <row r="66" spans="1:9" s="42" customFormat="1" x14ac:dyDescent="0.2">
      <c r="B66" s="43"/>
      <c r="C66" s="356" t="str">
        <f>IFERROR(INDEX(B$7:B$22,MATCH(B66,G$7:G$22,0)),"")</f>
        <v/>
      </c>
      <c r="D66" s="312"/>
      <c r="E66" s="63" t="str">
        <f>IF(C66="-",0,IF(C64="-",13,""))</f>
        <v/>
      </c>
      <c r="F66" s="66"/>
      <c r="G66" s="81"/>
    </row>
    <row r="67" spans="1:9" s="42" customFormat="1" ht="13.5" thickBot="1" x14ac:dyDescent="0.25">
      <c r="B67" s="43"/>
      <c r="C67" s="357"/>
      <c r="D67" s="313"/>
      <c r="E67" s="51"/>
      <c r="F67" s="68"/>
      <c r="G67" s="81" t="str">
        <f>IF(COUNT(G65,G69)=2,IF(G65&gt;G69,E65,E69),"")</f>
        <v/>
      </c>
      <c r="H67" s="224" t="str">
        <f>IF(COUNT(G65,G69)=2,IF(G65&gt;G69,E65,E69),"")</f>
        <v/>
      </c>
    </row>
    <row r="68" spans="1:9" s="42" customFormat="1" x14ac:dyDescent="0.2">
      <c r="B68" s="43"/>
      <c r="C68" s="354" t="str">
        <f>IFERROR(INDEX(B$7:B$22,MATCH(B68,G$7:G$22,0)),"")</f>
        <v/>
      </c>
      <c r="D68" s="310"/>
      <c r="E68" s="81" t="str">
        <f>IF(C68="-",0,IF(C70="-",13,""))</f>
        <v/>
      </c>
      <c r="F68" s="68"/>
      <c r="G68" s="69"/>
      <c r="H68" s="62" t="s">
        <v>78</v>
      </c>
      <c r="I68" s="49"/>
    </row>
    <row r="69" spans="1:9" s="42" customFormat="1" x14ac:dyDescent="0.2">
      <c r="B69" s="43"/>
      <c r="C69" s="355"/>
      <c r="D69" s="346"/>
      <c r="E69" s="126" t="str">
        <f>IF(COUNT(E68,E70)=2,IF(E68&gt;E70,C68,C70),"")</f>
        <v/>
      </c>
      <c r="F69" s="50"/>
      <c r="G69" s="63" t="str">
        <f>IF(E69="-",0,IF(E65="-",13,""))</f>
        <v/>
      </c>
    </row>
    <row r="70" spans="1:9" s="42" customFormat="1" ht="13.5" thickBot="1" x14ac:dyDescent="0.25">
      <c r="B70" s="43"/>
      <c r="C70" s="356" t="str">
        <f>IFERROR(INDEX(B$7:B$22,MATCH(B70,G$7:G$22,0)),"")</f>
        <v/>
      </c>
      <c r="D70" s="312"/>
      <c r="E70" s="63" t="str">
        <f>IF(C70="-",0,IF(C68="-",13,""))</f>
        <v/>
      </c>
      <c r="F70" s="81"/>
      <c r="G70" s="51"/>
      <c r="H70" s="224" t="str">
        <f>IF(COUNT(G65,G69)=2,IF(G65&lt;G69,E65,E69),"")</f>
        <v/>
      </c>
      <c r="I70" s="47"/>
    </row>
    <row r="71" spans="1:9" s="42" customFormat="1" x14ac:dyDescent="0.2">
      <c r="B71" s="313"/>
      <c r="E71" s="81"/>
      <c r="F71" s="81"/>
      <c r="G71" s="51"/>
      <c r="H71" s="62" t="s">
        <v>79</v>
      </c>
      <c r="I71" s="45"/>
    </row>
    <row r="72" spans="1:9" s="42" customFormat="1" x14ac:dyDescent="0.2">
      <c r="A72" s="52"/>
      <c r="E72" s="223" t="str">
        <f>IF(COUNT(E64,E66)=2,IF(E64&lt;E66,C64,C66),"")</f>
        <v/>
      </c>
      <c r="G72" s="81" t="str">
        <f>IF(E72="-",0,IF(E74="-",13,""))</f>
        <v/>
      </c>
    </row>
    <row r="73" spans="1:9" s="42" customFormat="1" ht="13.5" thickBot="1" x14ac:dyDescent="0.25">
      <c r="E73" s="309"/>
      <c r="F73" s="44"/>
      <c r="G73" s="47"/>
      <c r="H73" s="224" t="str">
        <f>IF(COUNT(G72,G74)=2,IF(G72&gt;G74,E72,E74),"")</f>
        <v/>
      </c>
      <c r="I73" s="47"/>
    </row>
    <row r="74" spans="1:9" s="42" customFormat="1" x14ac:dyDescent="0.2">
      <c r="E74" s="127" t="str">
        <f>IF(COUNT(E68,E70)=2,IF(E68&lt;E70,C68,C70),"")</f>
        <v/>
      </c>
      <c r="F74" s="50"/>
      <c r="G74" s="63" t="str">
        <f>IF(E74="-",0,IF(E72="-",13,""))</f>
        <v/>
      </c>
      <c r="H74" s="53" t="s">
        <v>84</v>
      </c>
      <c r="I74" s="45"/>
    </row>
    <row r="75" spans="1:9" s="42" customFormat="1" x14ac:dyDescent="0.2">
      <c r="H75" s="45"/>
      <c r="I75" s="45"/>
    </row>
    <row r="76" spans="1:9" s="42" customFormat="1" ht="13.5" thickBot="1" x14ac:dyDescent="0.25">
      <c r="H76" s="224" t="str">
        <f>IF(COUNT(G72,G74)=2,IF(G72&lt;G74,E72,E74),"")</f>
        <v/>
      </c>
      <c r="I76" s="47"/>
    </row>
    <row r="77" spans="1:9" s="42" customFormat="1" x14ac:dyDescent="0.2">
      <c r="E77" s="45"/>
      <c r="F77" s="45"/>
      <c r="H77" s="52" t="s">
        <v>85</v>
      </c>
    </row>
    <row r="78" spans="1:9" s="42" customFormat="1" x14ac:dyDescent="0.2"/>
    <row r="79" spans="1:9" s="42" customFormat="1" hidden="1" x14ac:dyDescent="0.2">
      <c r="B79" s="313"/>
      <c r="H79" s="52"/>
    </row>
    <row r="80" spans="1:9" s="42" customFormat="1" hidden="1" x14ac:dyDescent="0.2">
      <c r="A80" s="52"/>
    </row>
    <row r="81" spans="2:10" s="42" customFormat="1" hidden="1" x14ac:dyDescent="0.2"/>
    <row r="82" spans="2:10" s="42" customFormat="1" hidden="1" x14ac:dyDescent="0.2">
      <c r="F82" s="81"/>
    </row>
    <row r="83" spans="2:10" s="42" customFormat="1" hidden="1" x14ac:dyDescent="0.2"/>
    <row r="84" spans="2:10" s="42" customFormat="1" hidden="1" x14ac:dyDescent="0.2"/>
    <row r="85" spans="2:10" s="42" customFormat="1" hidden="1" x14ac:dyDescent="0.2"/>
    <row r="86" spans="2:10" s="42" customFormat="1" hidden="1" x14ac:dyDescent="0.2"/>
    <row r="87" spans="2:10" s="42" customFormat="1" hidden="1" x14ac:dyDescent="0.2"/>
    <row r="88" spans="2:10" s="42" customFormat="1" hidden="1" x14ac:dyDescent="0.2"/>
    <row r="89" spans="2:10" s="42" customFormat="1" hidden="1" x14ac:dyDescent="0.2"/>
    <row r="90" spans="2:10" s="42" customFormat="1" hidden="1" x14ac:dyDescent="0.2"/>
    <row r="91" spans="2:10" s="42" customFormat="1" hidden="1" x14ac:dyDescent="0.2"/>
    <row r="92" spans="2:10" s="42" customFormat="1" hidden="1" x14ac:dyDescent="0.2"/>
    <row r="93" spans="2:10" s="42" customFormat="1" hidden="1" x14ac:dyDescent="0.2"/>
    <row r="94" spans="2:10" s="42" customFormat="1" hidden="1" x14ac:dyDescent="0.2"/>
    <row r="95" spans="2:10" s="42" customFormat="1" hidden="1" x14ac:dyDescent="0.2"/>
    <row r="96" spans="2:10" s="82" customFormat="1" hidden="1" x14ac:dyDescent="0.2">
      <c r="B96" s="42"/>
      <c r="C96" s="42"/>
      <c r="D96" s="42"/>
      <c r="E96" s="42"/>
      <c r="F96" s="42"/>
      <c r="G96" s="42"/>
      <c r="H96" s="42"/>
      <c r="I96" s="42"/>
      <c r="J96" s="42"/>
    </row>
    <row r="97" spans="2:10" hidden="1" x14ac:dyDescent="0.2">
      <c r="B97" s="42"/>
      <c r="C97" s="42"/>
      <c r="D97" s="42"/>
      <c r="E97" s="42"/>
      <c r="F97" s="42"/>
      <c r="G97" s="42"/>
      <c r="H97" s="42"/>
      <c r="I97" s="42"/>
      <c r="J97" s="42"/>
    </row>
    <row r="98" spans="2:10" hidden="1" x14ac:dyDescent="0.2">
      <c r="B98" s="42"/>
      <c r="C98" s="42"/>
      <c r="D98" s="42"/>
      <c r="E98" s="42"/>
      <c r="F98" s="42"/>
      <c r="G98" s="42"/>
      <c r="H98" s="42"/>
      <c r="I98" s="42"/>
      <c r="J98" s="42"/>
    </row>
    <row r="99" spans="2:10" hidden="1" x14ac:dyDescent="0.2">
      <c r="B99" s="42"/>
      <c r="C99" s="42"/>
      <c r="D99" s="42"/>
      <c r="E99" s="42"/>
      <c r="F99" s="42"/>
      <c r="G99" s="42"/>
      <c r="H99" s="42"/>
      <c r="I99" s="42"/>
      <c r="J99" s="42"/>
    </row>
    <row r="100" spans="2:10" hidden="1" x14ac:dyDescent="0.2">
      <c r="B100" s="42"/>
      <c r="C100" s="42"/>
      <c r="D100" s="42"/>
      <c r="E100" s="42"/>
      <c r="F100" s="42"/>
      <c r="G100" s="42"/>
      <c r="H100" s="42"/>
      <c r="I100" s="42"/>
      <c r="J100" s="42"/>
    </row>
    <row r="101" spans="2:10" hidden="1" x14ac:dyDescent="0.2">
      <c r="C101" s="42"/>
      <c r="D101" s="42"/>
      <c r="E101" s="42"/>
    </row>
    <row r="102" spans="2:10" hidden="1" x14ac:dyDescent="0.2">
      <c r="C102" s="42"/>
      <c r="D102" s="42"/>
      <c r="E102" s="42"/>
    </row>
    <row r="103" spans="2:10" hidden="1" x14ac:dyDescent="0.2">
      <c r="C103" s="42"/>
      <c r="D103" s="42"/>
      <c r="E103" s="42"/>
    </row>
    <row r="104" spans="2:10" hidden="1" x14ac:dyDescent="0.2">
      <c r="C104" s="42"/>
      <c r="D104" s="42"/>
      <c r="E104" s="42"/>
    </row>
    <row r="105" spans="2:10" hidden="1" x14ac:dyDescent="0.2">
      <c r="C105" s="42"/>
      <c r="D105" s="42"/>
      <c r="E105" s="42"/>
    </row>
    <row r="106" spans="2:10" hidden="1" x14ac:dyDescent="0.2">
      <c r="C106" s="42"/>
      <c r="D106" s="42"/>
      <c r="E106" s="42"/>
    </row>
    <row r="107" spans="2:10" hidden="1" x14ac:dyDescent="0.2">
      <c r="C107" s="42"/>
      <c r="D107" s="42"/>
      <c r="E107" s="42"/>
    </row>
    <row r="108" spans="2:10" hidden="1" x14ac:dyDescent="0.2">
      <c r="C108" s="42"/>
      <c r="D108" s="42"/>
      <c r="E108" s="42"/>
    </row>
    <row r="109" spans="2:10" hidden="1" x14ac:dyDescent="0.2">
      <c r="C109" s="42"/>
      <c r="D109" s="42"/>
      <c r="E109" s="42"/>
    </row>
    <row r="110" spans="2:10" hidden="1" x14ac:dyDescent="0.2">
      <c r="C110" s="42"/>
      <c r="D110" s="42"/>
      <c r="E110" s="42"/>
    </row>
    <row r="111" spans="2:10" hidden="1" x14ac:dyDescent="0.2">
      <c r="C111" s="42"/>
      <c r="D111" s="42"/>
      <c r="E111" s="42"/>
    </row>
    <row r="112" spans="2:10" hidden="1" x14ac:dyDescent="0.2">
      <c r="C112" s="42"/>
      <c r="D112" s="42"/>
      <c r="E112" s="42"/>
    </row>
    <row r="113" spans="3:5" hidden="1" x14ac:dyDescent="0.2">
      <c r="C113" s="42"/>
      <c r="D113" s="42"/>
      <c r="E113" s="42"/>
    </row>
    <row r="114" spans="3:5" hidden="1" x14ac:dyDescent="0.2">
      <c r="C114" s="42"/>
      <c r="D114" s="42"/>
      <c r="E114" s="42"/>
    </row>
    <row r="115" spans="3:5" hidden="1" x14ac:dyDescent="0.2">
      <c r="C115" s="42"/>
      <c r="D115" s="42"/>
      <c r="E115" s="42"/>
    </row>
    <row r="116" spans="3:5" hidden="1" x14ac:dyDescent="0.2">
      <c r="C116" s="42"/>
      <c r="D116" s="42"/>
      <c r="E116" s="42"/>
    </row>
    <row r="117" spans="3:5" hidden="1" x14ac:dyDescent="0.2">
      <c r="C117" s="42"/>
      <c r="D117" s="42"/>
      <c r="E117" s="42"/>
    </row>
    <row r="118" spans="3:5" hidden="1" x14ac:dyDescent="0.2">
      <c r="C118" s="42"/>
      <c r="D118" s="42"/>
      <c r="E118" s="42"/>
    </row>
    <row r="119" spans="3:5" hidden="1" x14ac:dyDescent="0.2">
      <c r="C119" s="42"/>
      <c r="D119" s="42"/>
      <c r="E119" s="42"/>
    </row>
    <row r="120" spans="3:5" hidden="1" x14ac:dyDescent="0.2">
      <c r="C120" s="42"/>
      <c r="D120" s="42"/>
      <c r="E120" s="42"/>
    </row>
    <row r="121" spans="3:5" hidden="1" x14ac:dyDescent="0.2">
      <c r="C121" s="42"/>
      <c r="D121" s="42"/>
      <c r="E121" s="42"/>
    </row>
    <row r="122" spans="3:5" hidden="1" x14ac:dyDescent="0.2">
      <c r="C122" s="42"/>
      <c r="D122" s="42"/>
      <c r="E122" s="42"/>
    </row>
    <row r="123" spans="3:5" hidden="1" x14ac:dyDescent="0.2">
      <c r="C123" s="42"/>
      <c r="D123" s="42"/>
      <c r="E123" s="42"/>
    </row>
    <row r="124" spans="3:5" hidden="1" x14ac:dyDescent="0.2">
      <c r="C124" s="42"/>
      <c r="D124" s="42"/>
      <c r="E124" s="42"/>
    </row>
    <row r="125" spans="3:5" hidden="1" x14ac:dyDescent="0.2">
      <c r="C125" s="42"/>
      <c r="D125" s="42"/>
      <c r="E125" s="42"/>
    </row>
    <row r="126" spans="3:5" hidden="1" x14ac:dyDescent="0.2">
      <c r="C126" s="42"/>
      <c r="D126" s="42"/>
      <c r="E126" s="42"/>
    </row>
    <row r="127" spans="3:5" hidden="1" x14ac:dyDescent="0.2">
      <c r="C127" s="42"/>
      <c r="D127" s="42"/>
      <c r="E127" s="42"/>
    </row>
    <row r="128" spans="3:5" hidden="1" x14ac:dyDescent="0.2">
      <c r="C128" s="42"/>
      <c r="D128" s="42"/>
      <c r="E128" s="42"/>
    </row>
    <row r="129" spans="3:5" hidden="1" x14ac:dyDescent="0.2">
      <c r="C129" s="42"/>
      <c r="D129" s="42"/>
      <c r="E129" s="42"/>
    </row>
    <row r="130" spans="3:5" hidden="1" x14ac:dyDescent="0.2">
      <c r="C130" s="42"/>
      <c r="D130" s="42"/>
      <c r="E130" s="42"/>
    </row>
    <row r="131" spans="3:5" hidden="1" x14ac:dyDescent="0.2">
      <c r="C131" s="42"/>
      <c r="D131" s="42"/>
      <c r="E131" s="42"/>
    </row>
    <row r="132" spans="3:5" hidden="1" x14ac:dyDescent="0.2">
      <c r="C132" s="42"/>
      <c r="D132" s="42"/>
      <c r="E132" s="42"/>
    </row>
    <row r="133" spans="3:5" hidden="1" x14ac:dyDescent="0.2">
      <c r="C133" s="42"/>
      <c r="D133" s="42"/>
      <c r="E133" s="42"/>
    </row>
    <row r="134" spans="3:5" hidden="1" x14ac:dyDescent="0.2">
      <c r="C134" s="42"/>
      <c r="D134" s="42"/>
      <c r="E134" s="42"/>
    </row>
    <row r="135" spans="3:5" hidden="1" x14ac:dyDescent="0.2">
      <c r="C135" s="42"/>
      <c r="D135" s="42"/>
      <c r="E135" s="42"/>
    </row>
    <row r="136" spans="3:5" hidden="1" x14ac:dyDescent="0.2">
      <c r="C136" s="42"/>
      <c r="D136" s="42"/>
      <c r="E136" s="42"/>
    </row>
    <row r="137" spans="3:5" hidden="1" x14ac:dyDescent="0.2">
      <c r="C137" s="42"/>
      <c r="D137" s="42"/>
      <c r="E137" s="42"/>
    </row>
    <row r="138" spans="3:5" hidden="1" x14ac:dyDescent="0.2">
      <c r="C138" s="42"/>
      <c r="D138" s="42"/>
      <c r="E138" s="42"/>
    </row>
    <row r="139" spans="3:5" hidden="1" x14ac:dyDescent="0.2">
      <c r="C139" s="42"/>
      <c r="D139" s="42"/>
      <c r="E139" s="42"/>
    </row>
    <row r="140" spans="3:5" hidden="1" x14ac:dyDescent="0.2">
      <c r="C140" s="42"/>
      <c r="D140" s="42"/>
      <c r="E140" s="42"/>
    </row>
    <row r="141" spans="3:5" hidden="1" x14ac:dyDescent="0.2">
      <c r="C141" s="42"/>
      <c r="D141" s="42"/>
      <c r="E141" s="42"/>
    </row>
    <row r="142" spans="3:5" hidden="1" x14ac:dyDescent="0.2">
      <c r="C142" s="42"/>
      <c r="D142" s="42"/>
      <c r="E142" s="42"/>
    </row>
    <row r="143" spans="3:5" hidden="1" x14ac:dyDescent="0.2">
      <c r="C143" s="42"/>
      <c r="D143" s="42"/>
      <c r="E143" s="42"/>
    </row>
    <row r="144" spans="3:5" hidden="1" x14ac:dyDescent="0.2">
      <c r="C144" s="42"/>
      <c r="D144" s="42"/>
      <c r="E144" s="42"/>
    </row>
    <row r="145" spans="3:5" hidden="1" x14ac:dyDescent="0.2">
      <c r="C145" s="42"/>
      <c r="D145" s="42"/>
      <c r="E145" s="42"/>
    </row>
    <row r="146" spans="3:5" hidden="1" x14ac:dyDescent="0.2">
      <c r="C146" s="42"/>
      <c r="D146" s="42"/>
      <c r="E146" s="42"/>
    </row>
    <row r="147" spans="3:5" hidden="1" x14ac:dyDescent="0.2">
      <c r="C147" s="42"/>
      <c r="D147" s="42"/>
      <c r="E147" s="42"/>
    </row>
    <row r="148" spans="3:5" hidden="1" x14ac:dyDescent="0.2">
      <c r="C148" s="42"/>
      <c r="D148" s="42"/>
      <c r="E148" s="42"/>
    </row>
    <row r="149" spans="3:5" hidden="1" x14ac:dyDescent="0.2">
      <c r="C149" s="42"/>
      <c r="D149" s="42"/>
      <c r="E149" s="42"/>
    </row>
    <row r="150" spans="3:5" hidden="1" x14ac:dyDescent="0.2">
      <c r="C150" s="42"/>
      <c r="D150" s="42"/>
      <c r="E150" s="42"/>
    </row>
    <row r="151" spans="3:5" hidden="1" x14ac:dyDescent="0.2">
      <c r="C151" s="42"/>
      <c r="D151" s="42"/>
      <c r="E151" s="42"/>
    </row>
    <row r="152" spans="3:5" hidden="1" x14ac:dyDescent="0.2">
      <c r="C152" s="42"/>
      <c r="D152" s="42"/>
      <c r="E152" s="42"/>
    </row>
    <row r="153" spans="3:5" hidden="1" x14ac:dyDescent="0.2">
      <c r="C153" s="42"/>
      <c r="D153" s="42"/>
      <c r="E153" s="42"/>
    </row>
    <row r="154" spans="3:5" hidden="1" x14ac:dyDescent="0.2">
      <c r="C154" s="42"/>
      <c r="D154" s="42"/>
      <c r="E154" s="42"/>
    </row>
    <row r="155" spans="3:5" hidden="1" x14ac:dyDescent="0.2">
      <c r="C155" s="42"/>
      <c r="D155" s="42"/>
      <c r="E155" s="42"/>
    </row>
    <row r="156" spans="3:5" hidden="1" x14ac:dyDescent="0.2">
      <c r="C156" s="42"/>
      <c r="D156" s="42"/>
      <c r="E156" s="42"/>
    </row>
    <row r="157" spans="3:5" hidden="1" x14ac:dyDescent="0.2">
      <c r="C157" s="42"/>
      <c r="D157" s="42"/>
      <c r="E157" s="42"/>
    </row>
    <row r="158" spans="3:5" hidden="1" x14ac:dyDescent="0.2">
      <c r="C158" s="42"/>
      <c r="D158" s="42"/>
      <c r="E158" s="42"/>
    </row>
    <row r="159" spans="3:5" hidden="1" x14ac:dyDescent="0.2">
      <c r="C159" s="42"/>
      <c r="D159" s="42"/>
      <c r="E159" s="42"/>
    </row>
    <row r="160" spans="3:5" hidden="1" x14ac:dyDescent="0.2">
      <c r="C160" s="42"/>
      <c r="D160" s="42"/>
      <c r="E160" s="42"/>
    </row>
    <row r="161" spans="3:5" hidden="1" x14ac:dyDescent="0.2">
      <c r="C161" s="42"/>
      <c r="D161" s="42"/>
      <c r="E161" s="42"/>
    </row>
    <row r="162" spans="3:5" hidden="1" x14ac:dyDescent="0.2">
      <c r="C162" s="42"/>
      <c r="D162" s="42"/>
      <c r="E162" s="42"/>
    </row>
    <row r="163" spans="3:5" hidden="1" x14ac:dyDescent="0.2">
      <c r="C163" s="42"/>
      <c r="D163" s="42"/>
      <c r="E163" s="42"/>
    </row>
    <row r="164" spans="3:5" hidden="1" x14ac:dyDescent="0.2">
      <c r="C164" s="42"/>
      <c r="D164" s="42"/>
      <c r="E164" s="42"/>
    </row>
    <row r="165" spans="3:5" hidden="1" x14ac:dyDescent="0.2">
      <c r="C165" s="42"/>
      <c r="D165" s="42"/>
      <c r="E165" s="42"/>
    </row>
    <row r="166" spans="3:5" hidden="1" x14ac:dyDescent="0.2">
      <c r="C166" s="42"/>
      <c r="D166" s="42"/>
      <c r="E166" s="42"/>
    </row>
    <row r="167" spans="3:5" hidden="1" x14ac:dyDescent="0.2">
      <c r="C167" s="42"/>
      <c r="D167" s="42"/>
      <c r="E167" s="42"/>
    </row>
    <row r="168" spans="3:5" hidden="1" x14ac:dyDescent="0.2">
      <c r="C168" s="42"/>
      <c r="D168" s="42"/>
      <c r="E168" s="42"/>
    </row>
    <row r="169" spans="3:5" hidden="1" x14ac:dyDescent="0.2">
      <c r="C169" s="42"/>
      <c r="D169" s="42"/>
      <c r="E169" s="42"/>
    </row>
    <row r="170" spans="3:5" hidden="1" x14ac:dyDescent="0.2">
      <c r="C170" s="42"/>
      <c r="D170" s="42"/>
      <c r="E170" s="42"/>
    </row>
    <row r="171" spans="3:5" hidden="1" x14ac:dyDescent="0.2">
      <c r="C171" s="42"/>
      <c r="D171" s="42"/>
      <c r="E171" s="42"/>
    </row>
    <row r="172" spans="3:5" hidden="1" x14ac:dyDescent="0.2">
      <c r="C172" s="42"/>
      <c r="D172" s="42"/>
      <c r="E172" s="42"/>
    </row>
    <row r="173" spans="3:5" hidden="1" x14ac:dyDescent="0.2">
      <c r="C173" s="42"/>
      <c r="D173" s="42"/>
      <c r="E173" s="42"/>
    </row>
    <row r="174" spans="3:5" hidden="1" x14ac:dyDescent="0.2">
      <c r="C174" s="42"/>
      <c r="D174" s="42"/>
      <c r="E174" s="42"/>
    </row>
    <row r="175" spans="3:5" hidden="1" x14ac:dyDescent="0.2">
      <c r="C175" s="42"/>
      <c r="D175" s="42"/>
      <c r="E175" s="42"/>
    </row>
    <row r="176" spans="3:5" hidden="1" x14ac:dyDescent="0.2">
      <c r="C176" s="42"/>
      <c r="D176" s="42"/>
      <c r="E176" s="42"/>
    </row>
    <row r="177" spans="3:5" hidden="1" x14ac:dyDescent="0.2">
      <c r="C177" s="42"/>
      <c r="D177" s="42"/>
      <c r="E177" s="42"/>
    </row>
    <row r="178" spans="3:5" hidden="1" x14ac:dyDescent="0.2">
      <c r="C178" s="42"/>
      <c r="D178" s="42"/>
      <c r="E178" s="42"/>
    </row>
    <row r="179" spans="3:5" hidden="1" x14ac:dyDescent="0.2">
      <c r="C179" s="42"/>
      <c r="D179" s="42"/>
      <c r="E179" s="42"/>
    </row>
    <row r="180" spans="3:5" hidden="1" x14ac:dyDescent="0.2">
      <c r="C180" s="42"/>
      <c r="D180" s="42"/>
      <c r="E180" s="42"/>
    </row>
    <row r="181" spans="3:5" hidden="1" x14ac:dyDescent="0.2">
      <c r="C181" s="42"/>
      <c r="D181" s="42"/>
      <c r="E181" s="42"/>
    </row>
    <row r="182" spans="3:5" hidden="1" x14ac:dyDescent="0.2">
      <c r="C182" s="42"/>
      <c r="D182" s="42"/>
      <c r="E182" s="42"/>
    </row>
    <row r="183" spans="3:5" hidden="1" x14ac:dyDescent="0.2">
      <c r="C183" s="42"/>
      <c r="D183" s="42"/>
      <c r="E183" s="42"/>
    </row>
    <row r="184" spans="3:5" hidden="1" x14ac:dyDescent="0.2">
      <c r="C184" s="42"/>
      <c r="D184" s="42"/>
      <c r="E184" s="42"/>
    </row>
    <row r="185" spans="3:5" hidden="1" x14ac:dyDescent="0.2">
      <c r="C185" s="42"/>
      <c r="D185" s="42"/>
      <c r="E185" s="42"/>
    </row>
    <row r="186" spans="3:5" hidden="1" x14ac:dyDescent="0.2">
      <c r="C186" s="42"/>
      <c r="D186" s="42"/>
      <c r="E186" s="42"/>
    </row>
    <row r="187" spans="3:5" hidden="1" x14ac:dyDescent="0.2">
      <c r="C187" s="42"/>
      <c r="D187" s="42"/>
      <c r="E187" s="42"/>
    </row>
    <row r="188" spans="3:5" hidden="1" x14ac:dyDescent="0.2">
      <c r="C188" s="42"/>
      <c r="D188" s="42"/>
      <c r="E188" s="42"/>
    </row>
    <row r="189" spans="3:5" hidden="1" x14ac:dyDescent="0.2">
      <c r="C189" s="42"/>
      <c r="D189" s="42"/>
      <c r="E189" s="42"/>
    </row>
    <row r="190" spans="3:5" hidden="1" x14ac:dyDescent="0.2">
      <c r="C190" s="42"/>
      <c r="D190" s="42"/>
      <c r="E190" s="42"/>
    </row>
    <row r="191" spans="3:5" hidden="1" x14ac:dyDescent="0.2">
      <c r="C191" s="42"/>
      <c r="D191" s="42"/>
      <c r="E191" s="42"/>
    </row>
    <row r="192" spans="3:5" hidden="1" x14ac:dyDescent="0.2">
      <c r="C192" s="42"/>
      <c r="D192" s="42"/>
      <c r="E192" s="42"/>
    </row>
    <row r="193" spans="3:5" hidden="1" x14ac:dyDescent="0.2">
      <c r="C193" s="42"/>
      <c r="D193" s="42"/>
      <c r="E193" s="42"/>
    </row>
    <row r="194" spans="3:5" hidden="1" x14ac:dyDescent="0.2">
      <c r="C194" s="42"/>
      <c r="D194" s="42"/>
      <c r="E194" s="42"/>
    </row>
    <row r="195" spans="3:5" hidden="1" x14ac:dyDescent="0.2">
      <c r="C195" s="42"/>
      <c r="D195" s="42"/>
      <c r="E195" s="42"/>
    </row>
    <row r="196" spans="3:5" hidden="1" x14ac:dyDescent="0.2">
      <c r="C196" s="42"/>
      <c r="D196" s="42"/>
      <c r="E196" s="42"/>
    </row>
    <row r="197" spans="3:5" hidden="1" x14ac:dyDescent="0.2">
      <c r="C197" s="42"/>
      <c r="D197" s="42"/>
      <c r="E197" s="42"/>
    </row>
    <row r="198" spans="3:5" hidden="1" x14ac:dyDescent="0.2">
      <c r="C198" s="42"/>
      <c r="D198" s="42"/>
      <c r="E198" s="42"/>
    </row>
    <row r="199" spans="3:5" hidden="1" x14ac:dyDescent="0.2">
      <c r="E199" s="42"/>
    </row>
    <row r="200" spans="3:5" hidden="1" x14ac:dyDescent="0.2">
      <c r="E200" s="42"/>
    </row>
    <row r="201" spans="3:5" hidden="1" x14ac:dyDescent="0.2"/>
    <row r="202" spans="3:5" hidden="1" x14ac:dyDescent="0.2"/>
    <row r="203" spans="3:5" hidden="1" x14ac:dyDescent="0.2"/>
    <row r="204" spans="3:5" hidden="1" x14ac:dyDescent="0.2"/>
    <row r="205" spans="3:5" hidden="1" x14ac:dyDescent="0.2"/>
    <row r="206" spans="3:5" hidden="1" x14ac:dyDescent="0.2"/>
    <row r="207" spans="3:5" hidden="1" x14ac:dyDescent="0.2"/>
    <row r="208" spans="3:5"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8" spans="1:4" hidden="1" x14ac:dyDescent="0.2"/>
    <row r="299" spans="1:4" x14ac:dyDescent="0.2">
      <c r="C299" s="319" t="s">
        <v>577</v>
      </c>
      <c r="D299" s="347" t="s">
        <v>577</v>
      </c>
    </row>
    <row r="300" spans="1:4" x14ac:dyDescent="0.2">
      <c r="A300" s="54">
        <v>1</v>
      </c>
      <c r="B300" s="55" t="str">
        <f t="shared" ref="B300:B309" si="0">IFERROR(INDEX(H$33:H$81,MATCH(A300&amp;". koht",H$34:H$82,0)),"")</f>
        <v/>
      </c>
      <c r="C300" s="79">
        <v>20</v>
      </c>
      <c r="D300" s="347">
        <v>25</v>
      </c>
    </row>
    <row r="301" spans="1:4" x14ac:dyDescent="0.2">
      <c r="A301" s="54">
        <v>2</v>
      </c>
      <c r="B301" s="56" t="str">
        <f t="shared" si="0"/>
        <v/>
      </c>
      <c r="C301" s="79">
        <v>16</v>
      </c>
      <c r="D301" s="347">
        <v>20</v>
      </c>
    </row>
    <row r="302" spans="1:4" x14ac:dyDescent="0.2">
      <c r="A302" s="54">
        <v>3</v>
      </c>
      <c r="B302" s="57" t="str">
        <f t="shared" si="0"/>
        <v/>
      </c>
      <c r="C302" s="79">
        <v>12</v>
      </c>
      <c r="D302" s="347">
        <v>16</v>
      </c>
    </row>
    <row r="303" spans="1:4" x14ac:dyDescent="0.2">
      <c r="A303" s="54">
        <v>4</v>
      </c>
      <c r="B303" s="58" t="str">
        <f t="shared" si="0"/>
        <v/>
      </c>
      <c r="C303" s="79">
        <v>9</v>
      </c>
      <c r="D303" s="347">
        <v>12</v>
      </c>
    </row>
    <row r="304" spans="1:4" x14ac:dyDescent="0.2">
      <c r="A304" s="54">
        <v>5</v>
      </c>
      <c r="B304" s="58" t="str">
        <f t="shared" si="0"/>
        <v/>
      </c>
      <c r="C304" s="79">
        <v>7</v>
      </c>
      <c r="D304" s="347">
        <v>9</v>
      </c>
    </row>
    <row r="305" spans="1:4" x14ac:dyDescent="0.2">
      <c r="A305" s="54">
        <v>6</v>
      </c>
      <c r="B305" s="58" t="str">
        <f t="shared" si="0"/>
        <v/>
      </c>
      <c r="C305" s="79">
        <v>5</v>
      </c>
      <c r="D305" s="347">
        <v>7</v>
      </c>
    </row>
    <row r="306" spans="1:4" x14ac:dyDescent="0.2">
      <c r="A306" s="54">
        <v>7</v>
      </c>
      <c r="B306" s="58" t="str">
        <f t="shared" si="0"/>
        <v/>
      </c>
      <c r="C306" s="79">
        <v>4</v>
      </c>
      <c r="D306" s="347">
        <v>5</v>
      </c>
    </row>
    <row r="307" spans="1:4" x14ac:dyDescent="0.2">
      <c r="A307" s="54">
        <v>8</v>
      </c>
      <c r="B307" s="58" t="str">
        <f t="shared" si="0"/>
        <v/>
      </c>
      <c r="C307" s="79">
        <v>3</v>
      </c>
      <c r="D307" s="347">
        <v>4</v>
      </c>
    </row>
    <row r="308" spans="1:4" x14ac:dyDescent="0.2">
      <c r="A308" s="54">
        <v>9</v>
      </c>
      <c r="B308" s="58" t="str">
        <f t="shared" si="0"/>
        <v/>
      </c>
      <c r="C308" s="79">
        <v>1</v>
      </c>
      <c r="D308" s="347">
        <v>2</v>
      </c>
    </row>
    <row r="309" spans="1:4" x14ac:dyDescent="0.2">
      <c r="A309" s="54">
        <v>10</v>
      </c>
      <c r="B309" s="58" t="str">
        <f t="shared" si="0"/>
        <v/>
      </c>
      <c r="C309" s="79">
        <v>1</v>
      </c>
      <c r="D309" s="347">
        <v>2</v>
      </c>
    </row>
  </sheetData>
  <conditionalFormatting sqref="B7:B10">
    <cfRule type="duplicateValues" dxfId="561" priority="327"/>
  </conditionalFormatting>
  <conditionalFormatting sqref="B13:B16">
    <cfRule type="duplicateValues" dxfId="560" priority="303"/>
  </conditionalFormatting>
  <conditionalFormatting sqref="B19:B22">
    <cfRule type="duplicateValues" dxfId="559" priority="279"/>
  </conditionalFormatting>
  <conditionalFormatting sqref="B300:B309">
    <cfRule type="containsBlanks" dxfId="558" priority="162">
      <formula>LEN(TRIM(B300))=0</formula>
    </cfRule>
    <cfRule type="duplicateValues" dxfId="557" priority="7065"/>
  </conditionalFormatting>
  <conditionalFormatting sqref="A26:A40">
    <cfRule type="cellIs" dxfId="556" priority="159" operator="equal">
      <formula>"-"</formula>
    </cfRule>
    <cfRule type="duplicateValues" dxfId="555" priority="182"/>
  </conditionalFormatting>
  <conditionalFormatting sqref="E49 E51">
    <cfRule type="aboveAverage" dxfId="554" priority="181"/>
  </conditionalFormatting>
  <conditionalFormatting sqref="E53 E55">
    <cfRule type="aboveAverage" dxfId="553" priority="180"/>
  </conditionalFormatting>
  <conditionalFormatting sqref="G50 G54">
    <cfRule type="aboveAverage" dxfId="552" priority="179"/>
  </conditionalFormatting>
  <conditionalFormatting sqref="G57 G59">
    <cfRule type="aboveAverage" dxfId="551" priority="178"/>
  </conditionalFormatting>
  <conditionalFormatting sqref="E49 E51 E53 E55 G50 G54 G57 G59">
    <cfRule type="containsBlanks" dxfId="550" priority="177">
      <formula>LEN(TRIM(E49))=0</formula>
    </cfRule>
  </conditionalFormatting>
  <conditionalFormatting sqref="C26 C28">
    <cfRule type="aboveAverage" dxfId="549" priority="171"/>
  </conditionalFormatting>
  <conditionalFormatting sqref="C30 C32">
    <cfRule type="aboveAverage" dxfId="548" priority="170"/>
  </conditionalFormatting>
  <conditionalFormatting sqref="E27 E31">
    <cfRule type="aboveAverage" dxfId="547" priority="169"/>
  </conditionalFormatting>
  <conditionalFormatting sqref="C34 C36">
    <cfRule type="aboveAverage" dxfId="546" priority="168"/>
  </conditionalFormatting>
  <conditionalFormatting sqref="C38 C40">
    <cfRule type="aboveAverage" dxfId="545" priority="167"/>
  </conditionalFormatting>
  <conditionalFormatting sqref="E35 E39">
    <cfRule type="aboveAverage" dxfId="544" priority="166"/>
  </conditionalFormatting>
  <conditionalFormatting sqref="G29 G37">
    <cfRule type="aboveAverage" dxfId="543" priority="165"/>
  </conditionalFormatting>
  <conditionalFormatting sqref="G41 G43">
    <cfRule type="aboveAverage" dxfId="542" priority="164"/>
  </conditionalFormatting>
  <conditionalFormatting sqref="C26 C28 C30 C32 C34 C36 C38 C40 E27 E31 E35 E39 G29 G37 G41 G43">
    <cfRule type="containsBlanks" dxfId="541" priority="163">
      <formula>LEN(TRIM(C26))=0</formula>
    </cfRule>
  </conditionalFormatting>
  <conditionalFormatting sqref="B64:B70">
    <cfRule type="cellIs" dxfId="540" priority="157" operator="equal">
      <formula>"-"</formula>
    </cfRule>
    <cfRule type="duplicateValues" dxfId="539" priority="158"/>
  </conditionalFormatting>
  <conditionalFormatting sqref="E64">
    <cfRule type="aboveAverage" dxfId="538" priority="156"/>
  </conditionalFormatting>
  <conditionalFormatting sqref="E64">
    <cfRule type="containsBlanks" dxfId="537" priority="155">
      <formula>LEN(TRIM(E64))=0</formula>
    </cfRule>
  </conditionalFormatting>
  <conditionalFormatting sqref="E66">
    <cfRule type="aboveAverage" dxfId="536" priority="154"/>
  </conditionalFormatting>
  <conditionalFormatting sqref="E66">
    <cfRule type="containsBlanks" dxfId="535" priority="153">
      <formula>LEN(TRIM(E66))=0</formula>
    </cfRule>
  </conditionalFormatting>
  <conditionalFormatting sqref="E68">
    <cfRule type="aboveAverage" dxfId="534" priority="152"/>
  </conditionalFormatting>
  <conditionalFormatting sqref="E68">
    <cfRule type="containsBlanks" dxfId="533" priority="151">
      <formula>LEN(TRIM(E68))=0</formula>
    </cfRule>
  </conditionalFormatting>
  <conditionalFormatting sqref="E70">
    <cfRule type="aboveAverage" dxfId="532" priority="150"/>
  </conditionalFormatting>
  <conditionalFormatting sqref="E70">
    <cfRule type="containsBlanks" dxfId="531" priority="149">
      <formula>LEN(TRIM(E70))=0</formula>
    </cfRule>
  </conditionalFormatting>
  <conditionalFormatting sqref="G65">
    <cfRule type="aboveAverage" dxfId="530" priority="148"/>
  </conditionalFormatting>
  <conditionalFormatting sqref="G65">
    <cfRule type="containsBlanks" dxfId="529" priority="147">
      <formula>LEN(TRIM(G65))=0</formula>
    </cfRule>
  </conditionalFormatting>
  <conditionalFormatting sqref="G69">
    <cfRule type="aboveAverage" dxfId="528" priority="144"/>
  </conditionalFormatting>
  <conditionalFormatting sqref="G69">
    <cfRule type="containsBlanks" dxfId="527" priority="143">
      <formula>LEN(TRIM(G69))=0</formula>
    </cfRule>
  </conditionalFormatting>
  <conditionalFormatting sqref="G72">
    <cfRule type="aboveAverage" dxfId="526" priority="142"/>
  </conditionalFormatting>
  <conditionalFormatting sqref="G72">
    <cfRule type="containsBlanks" dxfId="525" priority="141">
      <formula>LEN(TRIM(G72))=0</formula>
    </cfRule>
  </conditionalFormatting>
  <conditionalFormatting sqref="G74">
    <cfRule type="aboveAverage" dxfId="524" priority="140"/>
  </conditionalFormatting>
  <conditionalFormatting sqref="G74">
    <cfRule type="containsBlanks" dxfId="523" priority="139">
      <formula>LEN(TRIM(G74))=0</formula>
    </cfRule>
  </conditionalFormatting>
  <conditionalFormatting sqref="G7:G10">
    <cfRule type="containsText" dxfId="522" priority="114" operator="containsText" text="2">
      <formula>NOT(ISERROR(SEARCH("2",G7)))</formula>
    </cfRule>
    <cfRule type="containsText" dxfId="521" priority="115" operator="containsText" text="1">
      <formula>NOT(ISERROR(SEARCH("1",G7)))</formula>
    </cfRule>
  </conditionalFormatting>
  <conditionalFormatting sqref="G10">
    <cfRule type="expression" dxfId="520" priority="113">
      <formula>B10="-"</formula>
    </cfRule>
  </conditionalFormatting>
  <conditionalFormatting sqref="C7 C10">
    <cfRule type="aboveAverage" dxfId="519" priority="112"/>
  </conditionalFormatting>
  <conditionalFormatting sqref="C8:C9">
    <cfRule type="aboveAverage" dxfId="518" priority="111"/>
  </conditionalFormatting>
  <conditionalFormatting sqref="G13:G16">
    <cfRule type="containsText" dxfId="517" priority="90" operator="containsText" text="2">
      <formula>NOT(ISERROR(SEARCH("2",G13)))</formula>
    </cfRule>
    <cfRule type="containsText" dxfId="516" priority="91" operator="containsText" text="1">
      <formula>NOT(ISERROR(SEARCH("1",G13)))</formula>
    </cfRule>
  </conditionalFormatting>
  <conditionalFormatting sqref="G16">
    <cfRule type="expression" dxfId="515" priority="89">
      <formula>B16="-"</formula>
    </cfRule>
  </conditionalFormatting>
  <conditionalFormatting sqref="C13 C16">
    <cfRule type="aboveAverage" dxfId="514" priority="88"/>
  </conditionalFormatting>
  <conditionalFormatting sqref="C14:C15">
    <cfRule type="aboveAverage" dxfId="513" priority="87"/>
  </conditionalFormatting>
  <conditionalFormatting sqref="G19:G22">
    <cfRule type="containsText" dxfId="512" priority="66" operator="containsText" text="2">
      <formula>NOT(ISERROR(SEARCH("2",G19)))</formula>
    </cfRule>
    <cfRule type="containsText" dxfId="511" priority="67" operator="containsText" text="1">
      <formula>NOT(ISERROR(SEARCH("1",G19)))</formula>
    </cfRule>
  </conditionalFormatting>
  <conditionalFormatting sqref="G22">
    <cfRule type="expression" dxfId="510" priority="65">
      <formula>B22="-"</formula>
    </cfRule>
  </conditionalFormatting>
  <conditionalFormatting sqref="C19 C22">
    <cfRule type="aboveAverage" dxfId="509" priority="64"/>
  </conditionalFormatting>
  <conditionalFormatting sqref="C20:C21">
    <cfRule type="aboveAverage" dxfId="508" priority="63"/>
  </conditionalFormatting>
  <conditionalFormatting sqref="E10">
    <cfRule type="expression" dxfId="507" priority="57">
      <formula>AND(COUNT(E7:E10)&lt;2,IF(ISNUMBER(C10),C7&gt;C10))</formula>
    </cfRule>
  </conditionalFormatting>
  <conditionalFormatting sqref="E7">
    <cfRule type="expression" dxfId="506" priority="56">
      <formula>AND(COUNT(E7:E10)&lt;2,IF(ISNUMBER(C7),C10&gt;C7))</formula>
    </cfRule>
  </conditionalFormatting>
  <conditionalFormatting sqref="E8">
    <cfRule type="expression" dxfId="505" priority="55">
      <formula>AND(COUNT(E7:E10)&lt;2,IF(ISNUMBER(C8),C9&gt;C8))</formula>
    </cfRule>
  </conditionalFormatting>
  <conditionalFormatting sqref="E9">
    <cfRule type="expression" dxfId="504" priority="54">
      <formula>AND(COUNT(E7:E10)&lt;2,IF(ISNUMBER(C9),C8&gt;C9))</formula>
    </cfRule>
  </conditionalFormatting>
  <conditionalFormatting sqref="E7:E10">
    <cfRule type="aboveAverage" dxfId="503" priority="53"/>
  </conditionalFormatting>
  <conditionalFormatting sqref="F7">
    <cfRule type="expression" dxfId="502" priority="48">
      <formula>AND(COUNT(F7:F10)&lt;2,IF(COUNT(E7:E10)=2,IF(AND(ISNUMBER(E7),COUNTIF(E7:E10,E7)=1,E7=MAX(E7:E10)),TRUE,FALSE)))</formula>
    </cfRule>
    <cfRule type="expression" dxfId="501" priority="52">
      <formula>AND(COUNT(F7:F10)&lt;2,IF(COUNT(D7:D10)=2,IF(AND(ISNUMBER(D7),COUNTIF(D7:D10,D7)=1,D7=MIN(D7:D10)),TRUE,FALSE)))</formula>
    </cfRule>
  </conditionalFormatting>
  <conditionalFormatting sqref="F8">
    <cfRule type="expression" dxfId="500" priority="47">
      <formula>AND(COUNT(F7:F10)&lt;2,IF(COUNT(E7:E10)=2,IF(AND(ISNUMBER(E8),COUNTIF(E7:E10,E8)=1,E8=MAX(E7:E10)),TRUE,FALSE)))</formula>
    </cfRule>
    <cfRule type="expression" dxfId="499" priority="51">
      <formula>AND(COUNT(F7:F10)&lt;2,IF(COUNT(D7:D10)=2,IF(AND(ISNUMBER(D8),COUNTIF(D7:D10,D8)=1,D8=MIN(D7:D10)),TRUE,FALSE)))</formula>
    </cfRule>
  </conditionalFormatting>
  <conditionalFormatting sqref="F9">
    <cfRule type="expression" dxfId="498" priority="46">
      <formula>AND(COUNT(F7:F10)&lt;2,IF(COUNT(E7:E10)=2,IF(AND(ISNUMBER(E9),COUNTIF(E7:E10,E9)=1,E9=MAX(E7:E10)),TRUE,FALSE)))</formula>
    </cfRule>
    <cfRule type="expression" dxfId="497" priority="50">
      <formula>AND(COUNT(F7:F10)&lt;2,IF(COUNT(D7:D10)=2,IF(AND(ISNUMBER(D9),COUNTIF(D7:D10,D9)=1,D9=MIN(D7:D10)),TRUE,FALSE)))</formula>
    </cfRule>
  </conditionalFormatting>
  <conditionalFormatting sqref="F10">
    <cfRule type="expression" dxfId="496" priority="45">
      <formula>AND(COUNT(F7:F10)&lt;2,IF(COUNT(E7:E10)=2,IF(AND(ISNUMBER(E10),COUNTIF(E7:E10,E10)=1,E10=MAX(E7:E10)),TRUE,FALSE)))</formula>
    </cfRule>
    <cfRule type="expression" dxfId="495" priority="49">
      <formula>AND(COUNT(F7:F10)&lt;2,IF(COUNT(D7:D10)=2,IF(AND(ISNUMBER(D10),COUNTIF(D7:D10,D10)=1,D10=MIN(D7:D10)),TRUE,FALSE)))</formula>
    </cfRule>
  </conditionalFormatting>
  <conditionalFormatting sqref="F7:F10">
    <cfRule type="aboveAverage" dxfId="494" priority="44"/>
  </conditionalFormatting>
  <conditionalFormatting sqref="D7">
    <cfRule type="expression" dxfId="493" priority="43">
      <formula>AND(COUNT(D7:D10)&lt;2,IF(ISNUMBER(C10),C7&gt;C10))</formula>
    </cfRule>
  </conditionalFormatting>
  <conditionalFormatting sqref="D8">
    <cfRule type="expression" dxfId="492" priority="42">
      <formula>AND(COUNT(D7:D10)&lt;2,IF(ISNUMBER(C9),C8&gt;C9))</formula>
    </cfRule>
  </conditionalFormatting>
  <conditionalFormatting sqref="D9">
    <cfRule type="expression" dxfId="491" priority="41">
      <formula>AND(COUNT(D7:D10)&lt;2,IF(ISNUMBER(C8),C9&gt;C8))</formula>
    </cfRule>
  </conditionalFormatting>
  <conditionalFormatting sqref="D10">
    <cfRule type="expression" dxfId="490" priority="40">
      <formula>AND(COUNT(D7:D10)&lt;2,IF(ISNUMBER(C7),C10&gt;C7))</formula>
    </cfRule>
  </conditionalFormatting>
  <conditionalFormatting sqref="D7:D10">
    <cfRule type="aboveAverage" dxfId="489" priority="39"/>
  </conditionalFormatting>
  <conditionalFormatting sqref="E16">
    <cfRule type="expression" dxfId="488" priority="38">
      <formula>AND(COUNT(E13:E16)&lt;2,IF(ISNUMBER(C16),C13&gt;C16))</formula>
    </cfRule>
  </conditionalFormatting>
  <conditionalFormatting sqref="E13">
    <cfRule type="expression" dxfId="487" priority="37">
      <formula>AND(COUNT(E13:E16)&lt;2,IF(ISNUMBER(C13),C16&gt;C13))</formula>
    </cfRule>
  </conditionalFormatting>
  <conditionalFormatting sqref="E14">
    <cfRule type="expression" dxfId="486" priority="36">
      <formula>AND(COUNT(E13:E16)&lt;2,IF(ISNUMBER(C14),C15&gt;C14))</formula>
    </cfRule>
  </conditionalFormatting>
  <conditionalFormatting sqref="E15">
    <cfRule type="expression" dxfId="485" priority="35">
      <formula>AND(COUNT(E13:E16)&lt;2,IF(ISNUMBER(C15),C14&gt;C15))</formula>
    </cfRule>
  </conditionalFormatting>
  <conditionalFormatting sqref="E13:E16">
    <cfRule type="aboveAverage" dxfId="484" priority="34"/>
  </conditionalFormatting>
  <conditionalFormatting sqref="F13">
    <cfRule type="expression" dxfId="483" priority="29">
      <formula>AND(COUNT(F13:F16)&lt;2,IF(COUNT(E13:E16)=2,IF(AND(ISNUMBER(E13),COUNTIF(E13:E16,E13)=1,E13=MAX(E13:E16)),TRUE,FALSE)))</formula>
    </cfRule>
    <cfRule type="expression" dxfId="482" priority="33">
      <formula>AND(COUNT(F13:F16)&lt;2,IF(COUNT(D13:D16)=2,IF(AND(ISNUMBER(D13),COUNTIF(D13:D16,D13)=1,D13=MIN(D13:D16)),TRUE,FALSE)))</formula>
    </cfRule>
  </conditionalFormatting>
  <conditionalFormatting sqref="F14">
    <cfRule type="expression" dxfId="481" priority="28">
      <formula>AND(COUNT(F13:F16)&lt;2,IF(COUNT(E13:E16)=2,IF(AND(ISNUMBER(E14),COUNTIF(E13:E16,E14)=1,E14=MAX(E13:E16)),TRUE,FALSE)))</formula>
    </cfRule>
    <cfRule type="expression" dxfId="480" priority="32">
      <formula>AND(COUNT(F13:F16)&lt;2,IF(COUNT(D13:D16)=2,IF(AND(ISNUMBER(D14),COUNTIF(D13:D16,D14)=1,D14=MIN(D13:D16)),TRUE,FALSE)))</formula>
    </cfRule>
  </conditionalFormatting>
  <conditionalFormatting sqref="F15">
    <cfRule type="expression" dxfId="479" priority="27">
      <formula>AND(COUNT(F13:F16)&lt;2,IF(COUNT(E13:E16)=2,IF(AND(ISNUMBER(E15),COUNTIF(E13:E16,E15)=1,E15=MAX(E13:E16)),TRUE,FALSE)))</formula>
    </cfRule>
    <cfRule type="expression" dxfId="478" priority="31">
      <formula>AND(COUNT(F13:F16)&lt;2,IF(COUNT(D13:D16)=2,IF(AND(ISNUMBER(D15),COUNTIF(D13:D16,D15)=1,D15=MIN(D13:D16)),TRUE,FALSE)))</formula>
    </cfRule>
  </conditionalFormatting>
  <conditionalFormatting sqref="F16">
    <cfRule type="expression" dxfId="477" priority="26">
      <formula>AND(COUNT(F13:F16)&lt;2,IF(COUNT(E13:E16)=2,IF(AND(ISNUMBER(E16),COUNTIF(E13:E16,E16)=1,E16=MAX(E13:E16)),TRUE,FALSE)))</formula>
    </cfRule>
    <cfRule type="expression" dxfId="476" priority="30">
      <formula>AND(COUNT(F13:F16)&lt;2,IF(COUNT(D13:D16)=2,IF(AND(ISNUMBER(D16),COUNTIF(D13:D16,D16)=1,D16=MIN(D13:D16)),TRUE,FALSE)))</formula>
    </cfRule>
  </conditionalFormatting>
  <conditionalFormatting sqref="F13:F16">
    <cfRule type="aboveAverage" dxfId="475" priority="25"/>
  </conditionalFormatting>
  <conditionalFormatting sqref="D13">
    <cfRule type="expression" dxfId="474" priority="24">
      <formula>AND(COUNT(D13:D16)&lt;2,IF(ISNUMBER(C16),C13&gt;C16))</formula>
    </cfRule>
  </conditionalFormatting>
  <conditionalFormatting sqref="D14">
    <cfRule type="expression" dxfId="473" priority="23">
      <formula>AND(COUNT(D13:D16)&lt;2,IF(ISNUMBER(C15),C14&gt;C15))</formula>
    </cfRule>
  </conditionalFormatting>
  <conditionalFormatting sqref="D15">
    <cfRule type="expression" dxfId="472" priority="22">
      <formula>AND(COUNT(D13:D16)&lt;2,IF(ISNUMBER(C14),C15&gt;C14))</formula>
    </cfRule>
  </conditionalFormatting>
  <conditionalFormatting sqref="D16">
    <cfRule type="expression" dxfId="471" priority="21">
      <formula>AND(COUNT(D13:D16)&lt;2,IF(ISNUMBER(C13),C16&gt;C13))</formula>
    </cfRule>
  </conditionalFormatting>
  <conditionalFormatting sqref="D13:D16">
    <cfRule type="aboveAverage" dxfId="470" priority="20"/>
  </conditionalFormatting>
  <conditionalFormatting sqref="E22">
    <cfRule type="expression" dxfId="469" priority="19">
      <formula>AND(COUNT(E19:E22)&lt;2,IF(ISNUMBER(C22),C19&gt;C22))</formula>
    </cfRule>
  </conditionalFormatting>
  <conditionalFormatting sqref="E19">
    <cfRule type="expression" dxfId="468" priority="18">
      <formula>AND(COUNT(E19:E22)&lt;2,IF(ISNUMBER(C19),C22&gt;C19))</formula>
    </cfRule>
  </conditionalFormatting>
  <conditionalFormatting sqref="E20">
    <cfRule type="expression" dxfId="467" priority="17">
      <formula>AND(COUNT(E19:E22)&lt;2,IF(ISNUMBER(C20),C21&gt;C20))</formula>
    </cfRule>
  </conditionalFormatting>
  <conditionalFormatting sqref="E21">
    <cfRule type="expression" dxfId="466" priority="16">
      <formula>AND(COUNT(E19:E22)&lt;2,IF(ISNUMBER(C21),C20&gt;C21))</formula>
    </cfRule>
  </conditionalFormatting>
  <conditionalFormatting sqref="E19:E22">
    <cfRule type="aboveAverage" dxfId="465" priority="15"/>
  </conditionalFormatting>
  <conditionalFormatting sqref="F19">
    <cfRule type="expression" dxfId="464" priority="10">
      <formula>AND(COUNT(F19:F22)&lt;2,IF(COUNT(E19:E22)=2,IF(AND(ISNUMBER(E19),COUNTIF(E19:E22,E19)=1,E19=MAX(E19:E22)),TRUE,FALSE)))</formula>
    </cfRule>
    <cfRule type="expression" dxfId="463" priority="14">
      <formula>AND(COUNT(F19:F22)&lt;2,IF(COUNT(D19:D22)=2,IF(AND(ISNUMBER(D19),COUNTIF(D19:D22,D19)=1,D19=MIN(D19:D22)),TRUE,FALSE)))</formula>
    </cfRule>
  </conditionalFormatting>
  <conditionalFormatting sqref="F20">
    <cfRule type="expression" dxfId="462" priority="9">
      <formula>AND(COUNT(F19:F22)&lt;2,IF(COUNT(E19:E22)=2,IF(AND(ISNUMBER(E20),COUNTIF(E19:E22,E20)=1,E20=MAX(E19:E22)),TRUE,FALSE)))</formula>
    </cfRule>
    <cfRule type="expression" dxfId="461" priority="13">
      <formula>AND(COUNT(F19:F22)&lt;2,IF(COUNT(D19:D22)=2,IF(AND(ISNUMBER(D20),COUNTIF(D19:D22,D20)=1,D20=MIN(D19:D22)),TRUE,FALSE)))</formula>
    </cfRule>
  </conditionalFormatting>
  <conditionalFormatting sqref="F21">
    <cfRule type="expression" dxfId="460" priority="8">
      <formula>AND(COUNT(F19:F22)&lt;2,IF(COUNT(E19:E22)=2,IF(AND(ISNUMBER(E21),COUNTIF(E19:E22,E21)=1,E21=MAX(E19:E22)),TRUE,FALSE)))</formula>
    </cfRule>
    <cfRule type="expression" dxfId="459" priority="12">
      <formula>AND(COUNT(F19:F22)&lt;2,IF(COUNT(D19:D22)=2,IF(AND(ISNUMBER(D21),COUNTIF(D19:D22,D21)=1,D21=MIN(D19:D22)),TRUE,FALSE)))</formula>
    </cfRule>
  </conditionalFormatting>
  <conditionalFormatting sqref="F22">
    <cfRule type="expression" dxfId="458" priority="7">
      <formula>AND(COUNT(F19:F22)&lt;2,IF(COUNT(E19:E22)=2,IF(AND(ISNUMBER(E22),COUNTIF(E19:E22,E22)=1,E22=MAX(E19:E22)),TRUE,FALSE)))</formula>
    </cfRule>
    <cfRule type="expression" dxfId="457" priority="11">
      <formula>AND(COUNT(F19:F22)&lt;2,IF(COUNT(D19:D22)=2,IF(AND(ISNUMBER(D22),COUNTIF(D19:D22,D22)=1,D22=MIN(D19:D22)),TRUE,FALSE)))</formula>
    </cfRule>
  </conditionalFormatting>
  <conditionalFormatting sqref="F19:F22">
    <cfRule type="aboveAverage" dxfId="456" priority="6"/>
  </conditionalFormatting>
  <conditionalFormatting sqref="D19">
    <cfRule type="expression" dxfId="455" priority="5">
      <formula>AND(COUNT(D19:D22)&lt;2,IF(ISNUMBER(C22),C19&gt;C22))</formula>
    </cfRule>
  </conditionalFormatting>
  <conditionalFormatting sqref="D20">
    <cfRule type="expression" dxfId="454" priority="4">
      <formula>AND(COUNT(D19:D22)&lt;2,IF(ISNUMBER(C21),C20&gt;C21))</formula>
    </cfRule>
  </conditionalFormatting>
  <conditionalFormatting sqref="D21">
    <cfRule type="expression" dxfId="453" priority="3">
      <formula>AND(COUNT(D19:D22)&lt;2,IF(ISNUMBER(C20),C21&gt;C20))</formula>
    </cfRule>
  </conditionalFormatting>
  <conditionalFormatting sqref="D22">
    <cfRule type="expression" dxfId="452" priority="2">
      <formula>AND(COUNT(D19:D22)&lt;2,IF(ISNUMBER(C19),C22&gt;C19))</formula>
    </cfRule>
  </conditionalFormatting>
  <conditionalFormatting sqref="D19:D22">
    <cfRule type="aboveAverage" dxfId="451"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22" max="16383" man="1"/>
    <brk id="61"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310"/>
  <sheetViews>
    <sheetView showGridLine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79" customWidth="1"/>
    <col min="2" max="2" width="47.140625" style="79" bestFit="1"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3" width="9.140625" style="79" customWidth="1"/>
    <col min="14" max="16384" width="9.140625" style="79"/>
  </cols>
  <sheetData>
    <row r="1" spans="1:13" x14ac:dyDescent="0.2">
      <c r="A1" s="72" t="str">
        <f>UPPER((Kalend!E6)&amp;" - "&amp;(Kalend!C6)&amp;" - "&amp;(Kalend!D6))</f>
        <v>1 - EESTI REITINGUVÕISTLUS - TRIO</v>
      </c>
      <c r="D1" s="41" t="str">
        <f>HYPERLINK("#'Kalend'!I1","Kalender")</f>
        <v>Kalender</v>
      </c>
      <c r="F1" s="41" t="str">
        <f>HYPERLINK("#Üldreiting!s1","Reiting")</f>
        <v>Reiting</v>
      </c>
      <c r="K1" s="42"/>
      <c r="L1" s="42"/>
    </row>
    <row r="2" spans="1:13" x14ac:dyDescent="0.2">
      <c r="A2" s="79" t="str">
        <f>"Toimumisaeg: "&amp;(Kalend!A6)&amp;" kell "&amp;(Kalend!B6)</f>
        <v>Toimumisaeg: P, 29.10.2017 kell 10:00</v>
      </c>
    </row>
    <row r="3" spans="1:13" x14ac:dyDescent="0.2">
      <c r="A3" s="79" t="str">
        <f>"Toimumiskoht: "&amp;(Kalend!F6)</f>
        <v>Toimumiskoht: Tallinn, Algi 38</v>
      </c>
    </row>
    <row r="4" spans="1:13" x14ac:dyDescent="0.2">
      <c r="A4" s="79" t="str">
        <f>"Korraldaja: "&amp;(Kalend!G6)</f>
        <v>Korraldaja: EPKL</v>
      </c>
    </row>
    <row r="6" spans="1:13" s="30" customFormat="1" x14ac:dyDescent="0.2">
      <c r="A6" s="296" t="s">
        <v>291</v>
      </c>
      <c r="B6" s="351"/>
      <c r="C6" s="31" t="s">
        <v>232</v>
      </c>
      <c r="D6" s="296" t="s">
        <v>61</v>
      </c>
      <c r="E6" s="296" t="s">
        <v>62</v>
      </c>
      <c r="F6" s="31" t="s">
        <v>63</v>
      </c>
      <c r="G6" s="31" t="s">
        <v>19</v>
      </c>
      <c r="H6" s="79"/>
      <c r="I6" s="79"/>
      <c r="J6" s="79"/>
      <c r="K6" s="79"/>
      <c r="L6" s="79"/>
      <c r="M6" s="79"/>
    </row>
    <row r="7" spans="1:13" s="30" customFormat="1" x14ac:dyDescent="0.2">
      <c r="A7" s="296">
        <v>1</v>
      </c>
      <c r="B7" s="186"/>
      <c r="C7" s="124" t="str">
        <f>IF(B10="-",13,"")</f>
        <v/>
      </c>
      <c r="D7" s="124"/>
      <c r="E7" s="32"/>
      <c r="F7" s="314"/>
      <c r="G7" s="32" t="str">
        <f>IF(AND(COUNT(F7:F10)=2,F7=MAX(F7:F10),COUNT(C7:F7)=3),A6&amp;"2",IF(AND(COUNT(E7:E10)=2,ISNUMBER(E7),E7=MIN(E7:E10),D7="",F7=""),A6&amp;"4",IF(AND(COUNT(D7:D10)=2,D7=MAX(D7:D10),E7="",F7=""),A6&amp;"1",IF(COUNT(F7:F10)=2,A6&amp;"3",""))))</f>
        <v/>
      </c>
      <c r="H7" s="79"/>
      <c r="I7" s="79"/>
      <c r="J7" s="79"/>
      <c r="K7" s="79"/>
      <c r="L7" s="79"/>
      <c r="M7" s="79"/>
    </row>
    <row r="8" spans="1:13" s="30" customFormat="1" x14ac:dyDescent="0.2">
      <c r="A8" s="296">
        <v>2</v>
      </c>
      <c r="B8" s="122"/>
      <c r="C8" s="336"/>
      <c r="D8" s="124"/>
      <c r="E8" s="32" t="str">
        <f>IF(AND(B10="-",ISNUMBER(C8),C8&lt;C9),13,"")</f>
        <v/>
      </c>
      <c r="F8" s="314"/>
      <c r="G8" s="32" t="str">
        <f>IF(AND(COUNT(F7:F10)=2,F8=MAX(F7:F10),COUNT(C8:F8)=3),A6&amp;"2",IF(AND(COUNT(E7:E10)=2,ISNUMBER(E8),E8=MIN(E7:E10),D8="",F8=""),A6&amp;"4",IF(AND(COUNT(D7:D10)=2,D8=MAX(D7:D10),E8="",F8=""),A6&amp;"1",IF(COUNT(F7:F10)=2,A6&amp;"3",""))))</f>
        <v/>
      </c>
      <c r="H8" s="79"/>
      <c r="I8" s="79"/>
      <c r="J8" s="79"/>
      <c r="K8" s="79"/>
      <c r="L8" s="79"/>
      <c r="M8" s="79"/>
    </row>
    <row r="9" spans="1:13" s="30" customFormat="1" x14ac:dyDescent="0.2">
      <c r="A9" s="296">
        <v>3</v>
      </c>
      <c r="B9" s="122"/>
      <c r="C9" s="336"/>
      <c r="D9" s="32"/>
      <c r="E9" s="32" t="str">
        <f>IF(AND(B10="-",ISNUMBER(C9),C9&lt;C8),13,"")</f>
        <v/>
      </c>
      <c r="F9" s="314"/>
      <c r="G9" s="32" t="str">
        <f>IF(AND(COUNT(F7:F10)=2,F9=MAX(F7:F10),COUNT(C9:F9)=3),A6&amp;"2",IF(AND(COUNT(E7:E10)=2,ISNUMBER(E9),E9=MIN(E7:E10),D9="",F9=""),A6&amp;"4",IF(AND(COUNT(D7:D10)=2,D9=MAX(D7:D10),E9="",F9=""),A6&amp;"1",IF(COUNT(F7:F10)=2,A6&amp;"3",""))))</f>
        <v/>
      </c>
      <c r="H9" s="79"/>
      <c r="I9" s="79"/>
      <c r="J9" s="79"/>
      <c r="K9" s="79"/>
      <c r="L9" s="79"/>
      <c r="M9" s="79"/>
    </row>
    <row r="10" spans="1:13" s="30" customFormat="1" x14ac:dyDescent="0.2">
      <c r="A10" s="296">
        <v>4</v>
      </c>
      <c r="B10" s="123"/>
      <c r="C10" s="124" t="str">
        <f>IF(B10="-",0,"")</f>
        <v/>
      </c>
      <c r="D10" s="124"/>
      <c r="E10" s="32" t="str">
        <f>IF(B10="-",0,"")</f>
        <v/>
      </c>
      <c r="F10" s="314"/>
      <c r="G10" s="32" t="str">
        <f>IF(AND(COUNT(F7:F10)=2,F10=MAX(F7:F10),COUNT(C10:F10)=3),A6&amp;"2",IF(AND(COUNT(E7:E10)=2,ISNUMBER(E10),E10=MIN(E7:E10),D10="",F10=""),A6&amp;"4",IF(AND(COUNT(D7:D10)=2,D10=MAX(D7:D10),E10="",F10=""),A6&amp;"1",IF(COUNT(F7:F10)=2,A6&amp;"3",""))))</f>
        <v/>
      </c>
      <c r="H10" s="79"/>
      <c r="I10" s="79"/>
      <c r="J10" s="79"/>
      <c r="K10" s="79"/>
      <c r="L10" s="79"/>
      <c r="M10" s="79"/>
    </row>
    <row r="11" spans="1:13" x14ac:dyDescent="0.2">
      <c r="B11" s="353" t="s">
        <v>81</v>
      </c>
      <c r="G11" s="353" t="s">
        <v>81</v>
      </c>
    </row>
    <row r="12" spans="1:13" s="30" customFormat="1" x14ac:dyDescent="0.2">
      <c r="A12" s="296" t="s">
        <v>275</v>
      </c>
      <c r="B12" s="351"/>
      <c r="C12" s="31" t="s">
        <v>232</v>
      </c>
      <c r="D12" s="296" t="s">
        <v>61</v>
      </c>
      <c r="E12" s="296" t="s">
        <v>62</v>
      </c>
      <c r="F12" s="31" t="s">
        <v>63</v>
      </c>
      <c r="G12" s="31" t="s">
        <v>19</v>
      </c>
      <c r="H12" s="79"/>
      <c r="I12" s="79"/>
      <c r="J12" s="79"/>
      <c r="K12" s="79"/>
      <c r="L12" s="79"/>
      <c r="M12" s="79"/>
    </row>
    <row r="13" spans="1:13" s="30" customFormat="1" x14ac:dyDescent="0.2">
      <c r="A13" s="296">
        <v>1</v>
      </c>
      <c r="B13" s="186"/>
      <c r="C13" s="124" t="str">
        <f>IF(B16="-",13,"")</f>
        <v/>
      </c>
      <c r="D13" s="124"/>
      <c r="E13" s="32"/>
      <c r="F13" s="314"/>
      <c r="G13" s="32" t="str">
        <f>IF(AND(COUNT(F13:F16)=2,F13=MAX(F13:F16),COUNT(C13:F13)=3),A12&amp;"2",IF(AND(COUNT(E13:E16)=2,ISNUMBER(E13),E13=MIN(E13:E16),D13="",F13=""),A12&amp;"4",IF(AND(COUNT(D13:D16)=2,D13=MAX(D13:D16),E13="",F13=""),A12&amp;"1",IF(COUNT(F13:F16)=2,A12&amp;"3",""))))</f>
        <v/>
      </c>
      <c r="H13" s="79"/>
      <c r="I13" s="79"/>
      <c r="J13" s="79"/>
      <c r="K13" s="79"/>
      <c r="L13" s="79"/>
      <c r="M13" s="79"/>
    </row>
    <row r="14" spans="1:13" s="30" customFormat="1" x14ac:dyDescent="0.2">
      <c r="A14" s="296">
        <v>2</v>
      </c>
      <c r="B14" s="122"/>
      <c r="C14" s="336"/>
      <c r="D14" s="124"/>
      <c r="E14" s="32" t="str">
        <f>IF(AND(B16="-",ISNUMBER(C14),C14&lt;C15),13,"")</f>
        <v/>
      </c>
      <c r="F14" s="314"/>
      <c r="G14" s="32" t="str">
        <f>IF(AND(COUNT(F13:F16)=2,F14=MAX(F13:F16),COUNT(C14:F14)=3),A12&amp;"2",IF(AND(COUNT(E13:E16)=2,ISNUMBER(E14),E14=MIN(E13:E16),D14="",F14=""),A12&amp;"4",IF(AND(COUNT(D13:D16)=2,D14=MAX(D13:D16),E14="",F14=""),A12&amp;"1",IF(COUNT(F13:F16)=2,A12&amp;"3",""))))</f>
        <v/>
      </c>
      <c r="H14" s="79"/>
      <c r="I14" s="79"/>
      <c r="J14" s="79"/>
      <c r="K14" s="79"/>
      <c r="L14" s="79"/>
      <c r="M14" s="79"/>
    </row>
    <row r="15" spans="1:13" s="30" customFormat="1" x14ac:dyDescent="0.2">
      <c r="A15" s="296">
        <v>3</v>
      </c>
      <c r="B15" s="122"/>
      <c r="C15" s="336"/>
      <c r="D15" s="32"/>
      <c r="E15" s="32" t="str">
        <f>IF(AND(B16="-",ISNUMBER(C15),C15&lt;C14),13,"")</f>
        <v/>
      </c>
      <c r="F15" s="314"/>
      <c r="G15" s="32" t="str">
        <f>IF(AND(COUNT(F13:F16)=2,F15=MAX(F13:F16),COUNT(C15:F15)=3),A12&amp;"2",IF(AND(COUNT(E13:E16)=2,ISNUMBER(E15),E15=MIN(E13:E16),D15="",F15=""),A12&amp;"4",IF(AND(COUNT(D13:D16)=2,D15=MAX(D13:D16),E15="",F15=""),A12&amp;"1",IF(COUNT(F13:F16)=2,A12&amp;"3",""))))</f>
        <v/>
      </c>
      <c r="H15" s="79"/>
      <c r="I15" s="79"/>
      <c r="J15" s="79"/>
      <c r="K15" s="79"/>
      <c r="L15" s="79"/>
      <c r="M15" s="79"/>
    </row>
    <row r="16" spans="1:13" s="30" customFormat="1" x14ac:dyDescent="0.2">
      <c r="A16" s="296">
        <v>4</v>
      </c>
      <c r="B16" s="123"/>
      <c r="C16" s="124" t="str">
        <f>IF(B16="-",0,"")</f>
        <v/>
      </c>
      <c r="D16" s="124"/>
      <c r="E16" s="32" t="str">
        <f>IF(B16="-",0,"")</f>
        <v/>
      </c>
      <c r="F16" s="314"/>
      <c r="G16" s="32" t="str">
        <f>IF(AND(COUNT(F13:F16)=2,F16=MAX(F13:F16),COUNT(C16:F16)=3),A12&amp;"2",IF(AND(COUNT(E13:E16)=2,ISNUMBER(E16),E16=MIN(E13:E16),D16="",F16=""),A12&amp;"4",IF(AND(COUNT(D13:D16)=2,D16=MAX(D13:D16),E16="",F16=""),A12&amp;"1",IF(COUNT(F13:F16)=2,A12&amp;"3",""))))</f>
        <v/>
      </c>
      <c r="H16" s="79"/>
      <c r="I16" s="79"/>
      <c r="J16" s="79"/>
      <c r="K16" s="79"/>
      <c r="L16" s="79"/>
      <c r="M16" s="79"/>
    </row>
    <row r="18" spans="1:13" s="30" customFormat="1" x14ac:dyDescent="0.2">
      <c r="A18" s="296" t="s">
        <v>292</v>
      </c>
      <c r="B18" s="351"/>
      <c r="C18" s="31" t="s">
        <v>232</v>
      </c>
      <c r="D18" s="296" t="s">
        <v>61</v>
      </c>
      <c r="E18" s="296" t="s">
        <v>62</v>
      </c>
      <c r="F18" s="31" t="s">
        <v>63</v>
      </c>
      <c r="G18" s="31" t="s">
        <v>19</v>
      </c>
      <c r="H18" s="79"/>
      <c r="I18" s="79"/>
      <c r="J18" s="79"/>
      <c r="K18" s="79"/>
      <c r="L18" s="79"/>
      <c r="M18" s="79"/>
    </row>
    <row r="19" spans="1:13" s="30" customFormat="1" x14ac:dyDescent="0.2">
      <c r="A19" s="296">
        <v>1</v>
      </c>
      <c r="B19" s="186"/>
      <c r="C19" s="124" t="str">
        <f>IF(B22="-",13,"")</f>
        <v/>
      </c>
      <c r="D19" s="124"/>
      <c r="E19" s="32"/>
      <c r="F19" s="314"/>
      <c r="G19" s="32" t="str">
        <f>IF(AND(COUNT(F19:F22)=2,F19=MAX(F19:F22),COUNT(C19:F19)=3),A18&amp;"2",IF(AND(COUNT(E19:E22)=2,ISNUMBER(E19),E19=MIN(E19:E22),D19="",F19=""),A18&amp;"4",IF(AND(COUNT(D19:D22)=2,D19=MAX(D19:D22),E19="",F19=""),A18&amp;"1",IF(COUNT(F19:F22)=2,A18&amp;"3",""))))</f>
        <v/>
      </c>
      <c r="H19" s="79"/>
      <c r="I19" s="79"/>
      <c r="J19" s="79"/>
      <c r="K19" s="79"/>
      <c r="L19" s="79"/>
      <c r="M19" s="79"/>
    </row>
    <row r="20" spans="1:13" s="30" customFormat="1" x14ac:dyDescent="0.2">
      <c r="A20" s="296">
        <v>2</v>
      </c>
      <c r="B20" s="122"/>
      <c r="C20" s="336"/>
      <c r="D20" s="124"/>
      <c r="E20" s="32" t="str">
        <f>IF(AND(B22="-",ISNUMBER(C20),C20&lt;C21),13,"")</f>
        <v/>
      </c>
      <c r="F20" s="314"/>
      <c r="G20" s="32" t="str">
        <f>IF(AND(COUNT(F19:F22)=2,F20=MAX(F19:F22),COUNT(C20:F20)=3),A18&amp;"2",IF(AND(COUNT(E19:E22)=2,ISNUMBER(E20),E20=MIN(E19:E22),D20="",F20=""),A18&amp;"4",IF(AND(COUNT(D19:D22)=2,D20=MAX(D19:D22),E20="",F20=""),A18&amp;"1",IF(COUNT(F19:F22)=2,A18&amp;"3",""))))</f>
        <v/>
      </c>
      <c r="H20" s="79"/>
      <c r="I20" s="79"/>
      <c r="J20" s="79"/>
      <c r="K20" s="79"/>
      <c r="L20" s="79"/>
      <c r="M20" s="79"/>
    </row>
    <row r="21" spans="1:13" s="30" customFormat="1" x14ac:dyDescent="0.2">
      <c r="A21" s="296">
        <v>3</v>
      </c>
      <c r="B21" s="122"/>
      <c r="C21" s="336"/>
      <c r="D21" s="32"/>
      <c r="E21" s="32" t="str">
        <f>IF(AND(B22="-",ISNUMBER(C21),C21&lt;C20),13,"")</f>
        <v/>
      </c>
      <c r="F21" s="314"/>
      <c r="G21" s="32" t="str">
        <f>IF(AND(COUNT(F19:F22)=2,F21=MAX(F19:F22),COUNT(C21:F21)=3),A18&amp;"2",IF(AND(COUNT(E19:E22)=2,ISNUMBER(E21),E21=MIN(E19:E22),D21="",F21=""),A18&amp;"4",IF(AND(COUNT(D19:D22)=2,D21=MAX(D19:D22),E21="",F21=""),A18&amp;"1",IF(COUNT(F19:F22)=2,A18&amp;"3",""))))</f>
        <v/>
      </c>
      <c r="H21" s="79"/>
      <c r="I21" s="79"/>
      <c r="J21" s="79"/>
      <c r="K21" s="79"/>
      <c r="L21" s="79"/>
      <c r="M21" s="79"/>
    </row>
    <row r="22" spans="1:13" s="30" customFormat="1" x14ac:dyDescent="0.2">
      <c r="A22" s="296">
        <v>4</v>
      </c>
      <c r="B22" s="123"/>
      <c r="C22" s="124" t="str">
        <f>IF(B22="-",0,"")</f>
        <v/>
      </c>
      <c r="D22" s="124"/>
      <c r="E22" s="32" t="str">
        <f>IF(B22="-",0,"")</f>
        <v/>
      </c>
      <c r="F22" s="314"/>
      <c r="G22" s="32" t="str">
        <f>IF(AND(COUNT(F19:F22)=2,F22=MAX(F19:F22),COUNT(C22:F22)=3),A18&amp;"2",IF(AND(COUNT(E19:E22)=2,ISNUMBER(E22),E22=MIN(E19:E22),D22="",F22=""),A18&amp;"4",IF(AND(COUNT(D19:D22)=2,D22=MAX(D19:D22),E22="",F22=""),A18&amp;"1",IF(COUNT(F19:F22)=2,A18&amp;"3",""))))</f>
        <v/>
      </c>
      <c r="H22" s="79"/>
      <c r="I22" s="79"/>
      <c r="J22" s="79"/>
      <c r="K22" s="79"/>
      <c r="L22" s="79"/>
      <c r="M22" s="79"/>
    </row>
    <row r="23" spans="1:13" s="30" customFormat="1" x14ac:dyDescent="0.2">
      <c r="A23" s="34"/>
      <c r="B23" s="38"/>
      <c r="C23" s="36"/>
      <c r="D23" s="36"/>
      <c r="E23" s="36"/>
      <c r="F23" s="36"/>
      <c r="G23" s="39"/>
    </row>
    <row r="24" spans="1:13" s="42" customFormat="1" x14ac:dyDescent="0.2">
      <c r="A24" s="60" t="s">
        <v>581</v>
      </c>
      <c r="B24" s="45"/>
      <c r="C24" s="35"/>
      <c r="D24" s="35"/>
      <c r="E24" s="35"/>
      <c r="F24" s="36"/>
      <c r="G24" s="37"/>
    </row>
    <row r="25" spans="1:13" s="42" customFormat="1" x14ac:dyDescent="0.2"/>
    <row r="26" spans="1:13" s="42" customFormat="1" x14ac:dyDescent="0.2">
      <c r="A26" s="61"/>
      <c r="B26" s="310" t="str">
        <f>IFERROR(INDEX(B$7:B$22,MATCH(A26,G$7:G$22,0)),"")</f>
        <v/>
      </c>
      <c r="C26" s="81" t="str">
        <f>IF(B26="-",0,IF(B28="-",13,""))</f>
        <v/>
      </c>
      <c r="M26" s="42" t="s">
        <v>257</v>
      </c>
    </row>
    <row r="27" spans="1:13" s="42" customFormat="1" x14ac:dyDescent="0.2">
      <c r="A27" s="43"/>
      <c r="B27" s="311"/>
      <c r="C27" s="126" t="str">
        <f>IF(COUNT(C26,C28)=2,IF(C26&gt;C28,B26,B28),"")</f>
        <v/>
      </c>
      <c r="E27" s="81" t="str">
        <f>IF(C27="-",0,IF(C31="-",13,""))</f>
        <v/>
      </c>
      <c r="M27" s="42" t="s">
        <v>257</v>
      </c>
    </row>
    <row r="28" spans="1:13" s="42" customFormat="1" x14ac:dyDescent="0.2">
      <c r="A28" s="43"/>
      <c r="B28" s="312" t="str">
        <f>IFERROR(INDEX(B$7:B$22,MATCH(A28,G$7:G$22,0)),"")</f>
        <v/>
      </c>
      <c r="C28" s="63" t="str">
        <f>IF(B28="-",0,IF(B26="-",13,""))</f>
        <v/>
      </c>
      <c r="D28" s="345"/>
    </row>
    <row r="29" spans="1:13" s="42" customFormat="1" x14ac:dyDescent="0.2">
      <c r="A29" s="43"/>
      <c r="B29" s="313"/>
      <c r="D29" s="46"/>
      <c r="E29" s="126" t="str">
        <f>IF(COUNT(E27,E31)=2,IF(E27&gt;E31,C27,C31),"")</f>
        <v/>
      </c>
      <c r="G29" s="81" t="str">
        <f>IF(E29="-",0,IF(E37="-",13,""))</f>
        <v/>
      </c>
    </row>
    <row r="30" spans="1:13" s="42" customFormat="1" x14ac:dyDescent="0.2">
      <c r="A30" s="43"/>
      <c r="B30" s="310" t="str">
        <f>IFERROR(INDEX(B$7:B$22,MATCH(A30,G$7:G$22,0)),"")</f>
        <v/>
      </c>
      <c r="C30" s="81" t="str">
        <f>IF(B30="-",0,IF(B32="-",13,""))</f>
        <v/>
      </c>
      <c r="D30" s="46"/>
      <c r="E30" s="343"/>
      <c r="F30" s="345"/>
    </row>
    <row r="31" spans="1:13" s="42" customFormat="1" x14ac:dyDescent="0.2">
      <c r="A31" s="43"/>
      <c r="B31" s="311"/>
      <c r="C31" s="126" t="str">
        <f>IF(COUNT(C30,C32)=2,IF(C30&gt;C32,B30,B32),"")</f>
        <v/>
      </c>
      <c r="D31" s="50"/>
      <c r="E31" s="63" t="str">
        <f>IF(C31="-",0,IF(C27="-",13,""))</f>
        <v/>
      </c>
      <c r="F31" s="46"/>
    </row>
    <row r="32" spans="1:13" s="42" customFormat="1" x14ac:dyDescent="0.2">
      <c r="A32" s="43"/>
      <c r="B32" s="312" t="str">
        <f>IFERROR(INDEX(B$7:B$22,MATCH(A32,G$7:G$22,0)),"")</f>
        <v/>
      </c>
      <c r="C32" s="63" t="str">
        <f>IF(B32="-",0,IF(B30="-",13,""))</f>
        <v/>
      </c>
      <c r="E32" s="45"/>
      <c r="F32" s="46"/>
    </row>
    <row r="33" spans="1:9" s="42" customFormat="1" ht="13.5" thickBot="1" x14ac:dyDescent="0.25">
      <c r="A33" s="52"/>
      <c r="B33" s="313"/>
      <c r="E33" s="45"/>
      <c r="F33" s="46"/>
      <c r="H33" s="224" t="str">
        <f>IF(COUNT(G29,G37)=2,IF(G29&gt;G37,E29,E37),"")</f>
        <v/>
      </c>
    </row>
    <row r="34" spans="1:9" s="42" customFormat="1" x14ac:dyDescent="0.2">
      <c r="A34" s="61"/>
      <c r="B34" s="310" t="str">
        <f>IFERROR(INDEX(B$7:B$22,MATCH(A34,G$7:G$22,0)),"")</f>
        <v/>
      </c>
      <c r="C34" s="81" t="str">
        <f>IF(B34="-",0,IF(B36="-",13,""))</f>
        <v/>
      </c>
      <c r="F34" s="46"/>
      <c r="G34" s="48"/>
      <c r="H34" s="62" t="s">
        <v>277</v>
      </c>
      <c r="I34" s="49"/>
    </row>
    <row r="35" spans="1:9" s="42" customFormat="1" x14ac:dyDescent="0.2">
      <c r="A35" s="43"/>
      <c r="B35" s="311"/>
      <c r="C35" s="126" t="str">
        <f>IF(COUNT(C34,C36)=2,IF(C34&gt;C36,B34,B36),"")</f>
        <v/>
      </c>
      <c r="E35" s="81" t="str">
        <f>IF(C35="-",0,IF(C39="-",13,""))</f>
        <v/>
      </c>
      <c r="F35" s="46"/>
      <c r="G35" s="45"/>
    </row>
    <row r="36" spans="1:9" s="42" customFormat="1" x14ac:dyDescent="0.2">
      <c r="A36" s="43"/>
      <c r="B36" s="312" t="str">
        <f>IFERROR(INDEX(B$7:B$22,MATCH(A36,G$7:G$22,0)),"")</f>
        <v/>
      </c>
      <c r="C36" s="63" t="str">
        <f>IF(B36="-",0,IF(B34="-",13,""))</f>
        <v/>
      </c>
      <c r="D36" s="345"/>
      <c r="F36" s="46"/>
      <c r="G36" s="45"/>
    </row>
    <row r="37" spans="1:9" s="42" customFormat="1" x14ac:dyDescent="0.2">
      <c r="A37" s="43"/>
      <c r="B37" s="313"/>
      <c r="D37" s="46"/>
      <c r="E37" s="126" t="str">
        <f>IF(COUNT(E35,E39)=2,IF(E35&gt;E39,C35,C39),"")</f>
        <v/>
      </c>
      <c r="F37" s="50"/>
      <c r="G37" s="63" t="str">
        <f>IF(E37="-",0,IF(E29="-",13,""))</f>
        <v/>
      </c>
    </row>
    <row r="38" spans="1:9" s="42" customFormat="1" ht="13.5" thickBot="1" x14ac:dyDescent="0.25">
      <c r="A38" s="43"/>
      <c r="B38" s="310" t="str">
        <f>IFERROR(INDEX(B$7:B$22,MATCH(A38,G$7:G$22,0)),"")</f>
        <v/>
      </c>
      <c r="C38" s="81" t="str">
        <f>IF(B38="-",0,IF(B40="-",13,""))</f>
        <v/>
      </c>
      <c r="D38" s="46"/>
      <c r="E38" s="343"/>
      <c r="F38" s="45"/>
      <c r="G38" s="45"/>
      <c r="H38" s="224" t="str">
        <f>IF(COUNT(G29,G37)=2,IF(G29&lt;G37,E29,E37),"")</f>
        <v/>
      </c>
      <c r="I38" s="47"/>
    </row>
    <row r="39" spans="1:9" s="42" customFormat="1" x14ac:dyDescent="0.2">
      <c r="A39" s="43"/>
      <c r="B39" s="311"/>
      <c r="C39" s="126" t="str">
        <f>IF(COUNT(C38,C40)=2,IF(C38&gt;C40,B38,B40),"")</f>
        <v/>
      </c>
      <c r="D39" s="50"/>
      <c r="E39" s="63" t="str">
        <f>IF(C39="-",0,IF(C35="-",13,""))</f>
        <v/>
      </c>
      <c r="G39" s="45"/>
      <c r="H39" s="62" t="s">
        <v>278</v>
      </c>
      <c r="I39" s="45"/>
    </row>
    <row r="40" spans="1:9" s="42" customFormat="1" x14ac:dyDescent="0.2">
      <c r="A40" s="43"/>
      <c r="B40" s="312" t="str">
        <f>IFERROR(INDEX(B$7:B$22,MATCH(A40,G$7:G$22,0)),"")</f>
        <v/>
      </c>
      <c r="C40" s="63" t="str">
        <f>IF(B40="-",0,IF(B38="-",13,""))</f>
        <v/>
      </c>
      <c r="E40" s="45"/>
      <c r="F40" s="45"/>
      <c r="G40" s="45"/>
    </row>
    <row r="41" spans="1:9" s="42" customFormat="1" x14ac:dyDescent="0.2">
      <c r="A41" s="52"/>
      <c r="B41" s="313"/>
      <c r="E41" s="223" t="str">
        <f>IF(COUNT(E27,E31)=2,IF(E27&lt;E31,C27,C31),"")</f>
        <v/>
      </c>
      <c r="G41" s="81" t="str">
        <f>IF(E41="-",0,IF(E43="-",13,""))</f>
        <v/>
      </c>
    </row>
    <row r="42" spans="1:9" s="42" customFormat="1" ht="13.5" thickBot="1" x14ac:dyDescent="0.25">
      <c r="E42" s="309"/>
      <c r="F42" s="345"/>
      <c r="G42" s="47"/>
      <c r="H42" s="224" t="str">
        <f>IF(COUNT(G41,G43)=2,IF(G41&gt;G43,E41,E43),"")</f>
        <v/>
      </c>
      <c r="I42" s="47"/>
    </row>
    <row r="43" spans="1:9" s="42" customFormat="1" x14ac:dyDescent="0.2">
      <c r="E43" s="127" t="str">
        <f>IF(COUNT(E35,E39)=2,IF(E35&lt;E39,C35,C39),"")</f>
        <v/>
      </c>
      <c r="F43" s="50"/>
      <c r="G43" s="63" t="str">
        <f>IF(E43="-",0,IF(E41="-",13,""))</f>
        <v/>
      </c>
      <c r="H43" s="53" t="s">
        <v>279</v>
      </c>
      <c r="I43" s="45"/>
    </row>
    <row r="44" spans="1:9" s="42" customFormat="1" x14ac:dyDescent="0.2">
      <c r="H44" s="45"/>
      <c r="I44" s="45"/>
    </row>
    <row r="45" spans="1:9" s="42" customFormat="1" ht="13.5" thickBot="1" x14ac:dyDescent="0.25">
      <c r="E45" s="45"/>
      <c r="F45" s="45"/>
      <c r="H45" s="224" t="str">
        <f>IF(COUNT(G41,G43)=2,IF(G41&lt;G43,E41,E43),"")</f>
        <v/>
      </c>
      <c r="I45" s="47"/>
    </row>
    <row r="46" spans="1:9" s="42" customFormat="1" x14ac:dyDescent="0.2">
      <c r="H46" s="52" t="s">
        <v>75</v>
      </c>
    </row>
    <row r="47" spans="1:9" s="42" customFormat="1" x14ac:dyDescent="0.2">
      <c r="C47" s="127" t="str">
        <f>IF(COUNT(C26,C28)=2,IF(C26&lt;C28,B26,B28),"")</f>
        <v/>
      </c>
      <c r="E47" s="81" t="str">
        <f>IF(C47="-",0,IF(C49="-",13,""))</f>
        <v/>
      </c>
      <c r="F47" s="81"/>
      <c r="G47" s="81"/>
    </row>
    <row r="48" spans="1:9" s="42" customFormat="1" x14ac:dyDescent="0.2">
      <c r="C48" s="65"/>
      <c r="D48" s="66"/>
      <c r="E48" s="126" t="str">
        <f>IF(COUNT(E47,E49)=2,IF(E47&gt;E49,C47,C49),"")</f>
        <v/>
      </c>
      <c r="G48" s="81" t="str">
        <f>IF(E48="-",0,IF(E52="-",13,""))</f>
        <v/>
      </c>
    </row>
    <row r="49" spans="1:9" s="42" customFormat="1" x14ac:dyDescent="0.2">
      <c r="C49" s="127" t="str">
        <f>IF(COUNT(C30,C32)=2,IF(C30&lt;C32,B30,B32),"")</f>
        <v/>
      </c>
      <c r="D49" s="67"/>
      <c r="E49" s="63" t="str">
        <f>IF(C49="-",0,IF(C47="-",13,""))</f>
        <v/>
      </c>
      <c r="F49" s="66"/>
      <c r="G49" s="81"/>
    </row>
    <row r="50" spans="1:9" s="42" customFormat="1" ht="13.5" thickBot="1" x14ac:dyDescent="0.25">
      <c r="C50" s="81"/>
      <c r="D50" s="81"/>
      <c r="E50" s="51"/>
      <c r="F50" s="68"/>
      <c r="G50" s="81"/>
      <c r="H50" s="224" t="str">
        <f>IF(COUNT(G48,G52)=2,IF(G48&gt;G52,E48,E52),"")</f>
        <v/>
      </c>
    </row>
    <row r="51" spans="1:9" s="42" customFormat="1" x14ac:dyDescent="0.2">
      <c r="C51" s="127" t="str">
        <f>IF(COUNT(C34,C36)=2,IF(C34&lt;C36,B34,B36),"")</f>
        <v/>
      </c>
      <c r="D51" s="81"/>
      <c r="E51" s="81" t="str">
        <f>IF(C51="-",0,IF(C53="-",13,""))</f>
        <v/>
      </c>
      <c r="F51" s="68"/>
      <c r="G51" s="69"/>
      <c r="H51" s="62" t="s">
        <v>76</v>
      </c>
      <c r="I51" s="49"/>
    </row>
    <row r="52" spans="1:9" s="42" customFormat="1" x14ac:dyDescent="0.2">
      <c r="C52" s="65"/>
      <c r="D52" s="66"/>
      <c r="E52" s="126" t="str">
        <f>IF(COUNT(E51,E53)=2,IF(E51&gt;E53,C51,C53),"")</f>
        <v/>
      </c>
      <c r="F52" s="50"/>
      <c r="G52" s="63" t="str">
        <f>IF(E52="-",0,IF(E48="-",13,""))</f>
        <v/>
      </c>
    </row>
    <row r="53" spans="1:9" s="42" customFormat="1" ht="13.5" thickBot="1" x14ac:dyDescent="0.25">
      <c r="C53" s="127" t="str">
        <f>IF(COUNT(C38,C40)=2,IF(C38&lt;C40,B38,B40),"")</f>
        <v/>
      </c>
      <c r="D53" s="67"/>
      <c r="E53" s="63" t="str">
        <f>IF(C53="-",0,IF(C51="-",13,""))</f>
        <v/>
      </c>
      <c r="F53" s="81"/>
      <c r="G53" s="51"/>
      <c r="H53" s="224" t="str">
        <f>IF(COUNT(G48,G52)=2,IF(G48&lt;G52,E48,E52),"")</f>
        <v/>
      </c>
      <c r="I53" s="47"/>
    </row>
    <row r="54" spans="1:9" s="42" customFormat="1" x14ac:dyDescent="0.2">
      <c r="C54" s="81"/>
      <c r="D54" s="81"/>
      <c r="E54" s="81"/>
      <c r="F54" s="81"/>
      <c r="G54" s="51"/>
      <c r="H54" s="62" t="s">
        <v>77</v>
      </c>
      <c r="I54" s="45"/>
    </row>
    <row r="55" spans="1:9" s="42" customFormat="1" x14ac:dyDescent="0.2">
      <c r="C55" s="81"/>
      <c r="D55" s="51"/>
      <c r="E55" s="223" t="str">
        <f>IF(COUNT(E47,E49)=2,IF(E47&lt;E49,C47,C49),"")</f>
        <v/>
      </c>
      <c r="G55" s="81" t="str">
        <f>IF(E55="-",0,IF(E57="-",13,""))</f>
        <v/>
      </c>
      <c r="H55" s="45"/>
      <c r="I55" s="45"/>
    </row>
    <row r="56" spans="1:9" s="42" customFormat="1" ht="13.5" thickBot="1" x14ac:dyDescent="0.25">
      <c r="C56" s="81"/>
      <c r="D56" s="51"/>
      <c r="E56" s="309"/>
      <c r="F56" s="44"/>
      <c r="G56" s="47"/>
      <c r="H56" s="224" t="str">
        <f>IF(COUNT(G55,G57)=2,IF(G55&gt;G57,E55,E57),"")</f>
        <v/>
      </c>
      <c r="I56" s="47"/>
    </row>
    <row r="57" spans="1:9" s="42" customFormat="1" x14ac:dyDescent="0.2">
      <c r="C57" s="81"/>
      <c r="D57" s="51"/>
      <c r="E57" s="127" t="str">
        <f>IF(COUNT(E51,E53)=2,IF(E51&lt;E53,C51,C53),"")</f>
        <v/>
      </c>
      <c r="F57" s="50"/>
      <c r="G57" s="63" t="str">
        <f>IF(E57="-",0,IF(E55="-",13,""))</f>
        <v/>
      </c>
      <c r="H57" s="53"/>
      <c r="I57" s="45"/>
    </row>
    <row r="58" spans="1:9" s="42" customFormat="1" x14ac:dyDescent="0.2">
      <c r="D58" s="45"/>
      <c r="H58" s="45"/>
      <c r="I58" s="45"/>
    </row>
    <row r="59" spans="1:9" s="42" customFormat="1" ht="13.5" thickBot="1" x14ac:dyDescent="0.25">
      <c r="E59" s="45"/>
      <c r="F59" s="45"/>
      <c r="H59" s="47" t="str">
        <f>IF(COUNT(G55,G57)=2,IF(G55&lt;G57,E55,E57),"")</f>
        <v/>
      </c>
      <c r="I59" s="47"/>
    </row>
    <row r="60" spans="1:9" s="30" customFormat="1" x14ac:dyDescent="0.2">
      <c r="A60" s="34"/>
      <c r="B60" s="38"/>
      <c r="C60" s="36"/>
      <c r="D60" s="36"/>
      <c r="E60" s="36"/>
      <c r="F60" s="36"/>
      <c r="G60" s="39"/>
    </row>
    <row r="61" spans="1:9" s="42" customFormat="1" x14ac:dyDescent="0.2">
      <c r="A61" s="60" t="s">
        <v>531</v>
      </c>
      <c r="B61" s="45"/>
      <c r="C61" s="35"/>
      <c r="D61" s="35"/>
      <c r="E61" s="35"/>
      <c r="F61" s="36"/>
      <c r="G61" s="37"/>
    </row>
    <row r="62" spans="1:9" s="42" customFormat="1" x14ac:dyDescent="0.2"/>
    <row r="63" spans="1:9" s="42" customFormat="1" x14ac:dyDescent="0.2">
      <c r="A63" s="61"/>
      <c r="B63" s="310" t="str">
        <f>IFERROR(INDEX(B$7:B$22,MATCH(A63,G$7:G$22,0)),"")</f>
        <v/>
      </c>
      <c r="C63" s="81" t="str">
        <f>IF(B63="-",0,IF(B65="-",13,""))</f>
        <v/>
      </c>
    </row>
    <row r="64" spans="1:9" s="42" customFormat="1" x14ac:dyDescent="0.2">
      <c r="A64" s="43"/>
      <c r="B64" s="311"/>
      <c r="C64" s="126" t="str">
        <f>IF(COUNT(C63,C65)=2,IF(C63&gt;C65,B63,B65),"")</f>
        <v/>
      </c>
      <c r="E64" s="81" t="str">
        <f>IF(C64="-",0,IF(C68="-",13,""))</f>
        <v/>
      </c>
    </row>
    <row r="65" spans="1:9" s="42" customFormat="1" x14ac:dyDescent="0.2">
      <c r="A65" s="43"/>
      <c r="B65" s="312" t="str">
        <f>IFERROR(INDEX(B$7:B$22,MATCH(A65,G$7:G$22,0)),"")</f>
        <v/>
      </c>
      <c r="C65" s="63" t="str">
        <f>IF(B65="-",0,IF(B63="-",13,""))</f>
        <v/>
      </c>
      <c r="D65" s="345"/>
    </row>
    <row r="66" spans="1:9" s="42" customFormat="1" x14ac:dyDescent="0.2">
      <c r="A66" s="43"/>
      <c r="B66" s="313"/>
      <c r="D66" s="46"/>
      <c r="E66" s="126" t="str">
        <f>IF(COUNT(E64,E68)=2,IF(E64&gt;E68,C64,C68),"")</f>
        <v/>
      </c>
      <c r="G66" s="81" t="str">
        <f>IF(E66="-",0,IF(E74="-",13,""))</f>
        <v/>
      </c>
    </row>
    <row r="67" spans="1:9" s="42" customFormat="1" x14ac:dyDescent="0.2">
      <c r="A67" s="43"/>
      <c r="B67" s="310" t="str">
        <f>IFERROR(INDEX(B$7:B$22,MATCH(A67,G$7:G$22,0)),"")</f>
        <v/>
      </c>
      <c r="C67" s="81" t="str">
        <f>IF(B67="-",0,IF(B69="-",13,""))</f>
        <v/>
      </c>
      <c r="D67" s="46"/>
      <c r="E67" s="343"/>
      <c r="F67" s="345"/>
    </row>
    <row r="68" spans="1:9" s="42" customFormat="1" x14ac:dyDescent="0.2">
      <c r="A68" s="43"/>
      <c r="B68" s="311"/>
      <c r="C68" s="126" t="str">
        <f>IF(COUNT(C67,C69)=2,IF(C67&gt;C69,B67,B69),"")</f>
        <v/>
      </c>
      <c r="D68" s="50"/>
      <c r="E68" s="63" t="str">
        <f>IF(C68="-",0,IF(C64="-",13,""))</f>
        <v/>
      </c>
      <c r="F68" s="46"/>
    </row>
    <row r="69" spans="1:9" s="42" customFormat="1" x14ac:dyDescent="0.2">
      <c r="A69" s="43"/>
      <c r="B69" s="312" t="str">
        <f>IFERROR(INDEX(B$7:B$22,MATCH(A69,G$7:G$22,0)),"")</f>
        <v/>
      </c>
      <c r="C69" s="63" t="str">
        <f>IF(B69="-",0,IF(B67="-",13,""))</f>
        <v/>
      </c>
      <c r="E69" s="45"/>
      <c r="F69" s="46"/>
    </row>
    <row r="70" spans="1:9" s="42" customFormat="1" ht="13.5" thickBot="1" x14ac:dyDescent="0.25">
      <c r="A70" s="52"/>
      <c r="B70" s="313"/>
      <c r="E70" s="45"/>
      <c r="F70" s="46"/>
      <c r="H70" s="224" t="str">
        <f>IF(COUNT(G66,G74)=2,IF(G66&gt;G74,E66,E74),"")</f>
        <v/>
      </c>
    </row>
    <row r="71" spans="1:9" s="42" customFormat="1" x14ac:dyDescent="0.2">
      <c r="A71" s="61"/>
      <c r="B71" s="310" t="str">
        <f>IFERROR(INDEX(B$7:B$22,MATCH(A71,G$7:G$22,0)),"")</f>
        <v/>
      </c>
      <c r="C71" s="81" t="str">
        <f>IF(B71="-",0,IF(B73="-",13,""))</f>
        <v/>
      </c>
      <c r="F71" s="46"/>
      <c r="G71" s="48"/>
      <c r="H71" s="62" t="s">
        <v>78</v>
      </c>
      <c r="I71" s="49"/>
    </row>
    <row r="72" spans="1:9" s="42" customFormat="1" x14ac:dyDescent="0.2">
      <c r="A72" s="43"/>
      <c r="B72" s="311"/>
      <c r="C72" s="126" t="str">
        <f>IF(COUNT(C71,C73)=2,IF(C71&gt;C73,B71,B73),"")</f>
        <v/>
      </c>
      <c r="E72" s="81" t="str">
        <f>IF(C72="-",0,IF(C76="-",13,""))</f>
        <v/>
      </c>
      <c r="F72" s="46"/>
      <c r="G72" s="45"/>
    </row>
    <row r="73" spans="1:9" s="42" customFormat="1" x14ac:dyDescent="0.2">
      <c r="A73" s="43"/>
      <c r="B73" s="312" t="str">
        <f>IFERROR(INDEX(B$7:B$22,MATCH(A73,G$7:G$22,0)),"")</f>
        <v/>
      </c>
      <c r="C73" s="63" t="str">
        <f>IF(B73="-",0,IF(B71="-",13,""))</f>
        <v/>
      </c>
      <c r="D73" s="345"/>
      <c r="F73" s="46"/>
      <c r="G73" s="45"/>
    </row>
    <row r="74" spans="1:9" s="42" customFormat="1" x14ac:dyDescent="0.2">
      <c r="A74" s="43"/>
      <c r="B74" s="313"/>
      <c r="D74" s="46"/>
      <c r="E74" s="126" t="str">
        <f>IF(COUNT(E72,E76)=2,IF(E72&gt;E76,C72,C76),"")</f>
        <v/>
      </c>
      <c r="F74" s="50"/>
      <c r="G74" s="63" t="str">
        <f>IF(E74="-",0,IF(E66="-",13,""))</f>
        <v/>
      </c>
    </row>
    <row r="75" spans="1:9" s="42" customFormat="1" ht="13.5" thickBot="1" x14ac:dyDescent="0.25">
      <c r="A75" s="43"/>
      <c r="B75" s="310" t="str">
        <f>IFERROR(INDEX(B$7:B$22,MATCH(A75,G$7:G$22,0)),"")</f>
        <v/>
      </c>
      <c r="C75" s="81" t="str">
        <f>IF(B75="-",0,IF(B77="-",13,""))</f>
        <v/>
      </c>
      <c r="D75" s="46"/>
      <c r="E75" s="343"/>
      <c r="F75" s="45"/>
      <c r="G75" s="45"/>
      <c r="H75" s="224" t="str">
        <f>IF(COUNT(G66,G74)=2,IF(G66&lt;G74,E66,E74),"")</f>
        <v/>
      </c>
      <c r="I75" s="47"/>
    </row>
    <row r="76" spans="1:9" s="42" customFormat="1" x14ac:dyDescent="0.2">
      <c r="A76" s="43"/>
      <c r="B76" s="311"/>
      <c r="C76" s="126" t="str">
        <f>IF(COUNT(C75,C77)=2,IF(C75&gt;C77,B75,B77),"")</f>
        <v/>
      </c>
      <c r="D76" s="50"/>
      <c r="E76" s="63" t="str">
        <f>IF(C76="-",0,IF(C72="-",13,""))</f>
        <v/>
      </c>
      <c r="G76" s="45"/>
      <c r="H76" s="62" t="s">
        <v>79</v>
      </c>
      <c r="I76" s="45"/>
    </row>
    <row r="77" spans="1:9" s="42" customFormat="1" x14ac:dyDescent="0.2">
      <c r="A77" s="43"/>
      <c r="B77" s="312" t="str">
        <f>IFERROR(INDEX(B$7:B$22,MATCH(A77,G$7:G$22,0)),"")</f>
        <v/>
      </c>
      <c r="C77" s="63" t="str">
        <f>IF(B77="-",0,IF(B75="-",13,""))</f>
        <v/>
      </c>
      <c r="E77" s="45"/>
      <c r="F77" s="45"/>
      <c r="G77" s="45"/>
    </row>
    <row r="78" spans="1:9" s="42" customFormat="1" x14ac:dyDescent="0.2">
      <c r="A78" s="52"/>
      <c r="B78" s="313"/>
      <c r="E78" s="223" t="str">
        <f>IF(COUNT(E64,E68)=2,IF(E64&lt;E68,C64,C68),"")</f>
        <v/>
      </c>
      <c r="G78" s="81" t="str">
        <f>IF(E78="-",0,IF(E80="-",13,""))</f>
        <v/>
      </c>
    </row>
    <row r="79" spans="1:9" s="42" customFormat="1" ht="13.5" thickBot="1" x14ac:dyDescent="0.25">
      <c r="E79" s="309"/>
      <c r="F79" s="345"/>
      <c r="G79" s="47"/>
      <c r="H79" s="224" t="str">
        <f>IF(COUNT(G78,G80)=2,IF(G78&gt;G80,E78,E80),"")</f>
        <v/>
      </c>
      <c r="I79" s="47"/>
    </row>
    <row r="80" spans="1:9" s="42" customFormat="1" x14ac:dyDescent="0.2">
      <c r="E80" s="127" t="str">
        <f>IF(COUNT(E72,E76)=2,IF(E72&lt;E76,C72,C76),"")</f>
        <v/>
      </c>
      <c r="F80" s="50"/>
      <c r="G80" s="63" t="str">
        <f>IF(E80="-",0,IF(E78="-",13,""))</f>
        <v/>
      </c>
      <c r="H80" s="53" t="s">
        <v>84</v>
      </c>
      <c r="I80" s="45"/>
    </row>
    <row r="81" spans="2:9" s="42" customFormat="1" x14ac:dyDescent="0.2">
      <c r="H81" s="45"/>
      <c r="I81" s="45"/>
    </row>
    <row r="82" spans="2:9" s="42" customFormat="1" ht="13.5" thickBot="1" x14ac:dyDescent="0.25">
      <c r="E82" s="45"/>
      <c r="F82" s="45"/>
      <c r="H82" s="224" t="str">
        <f>IF(COUNT(G78,G80)=2,IF(G78&lt;G80,E78,E80),"")</f>
        <v/>
      </c>
      <c r="I82" s="47"/>
    </row>
    <row r="83" spans="2:9" s="42" customFormat="1" x14ac:dyDescent="0.2">
      <c r="H83" s="52" t="s">
        <v>85</v>
      </c>
    </row>
    <row r="84" spans="2:9" s="42" customFormat="1" x14ac:dyDescent="0.2">
      <c r="H84" s="52"/>
    </row>
    <row r="85" spans="2:9" s="42" customFormat="1" ht="13.5" thickBot="1" x14ac:dyDescent="0.25">
      <c r="G85" s="45"/>
      <c r="H85" s="224"/>
      <c r="I85" s="47"/>
    </row>
    <row r="86" spans="2:9" s="42" customFormat="1" x14ac:dyDescent="0.2">
      <c r="F86" s="81"/>
      <c r="G86" s="81"/>
      <c r="H86" s="52" t="s">
        <v>86</v>
      </c>
    </row>
    <row r="87" spans="2:9" s="42" customFormat="1" x14ac:dyDescent="0.2">
      <c r="C87" s="319"/>
      <c r="D87" s="79"/>
      <c r="E87" s="79"/>
      <c r="F87" s="79"/>
      <c r="G87" s="79"/>
      <c r="H87" s="79"/>
      <c r="I87" s="79"/>
    </row>
    <row r="88" spans="2:9" s="42" customFormat="1" hidden="1" x14ac:dyDescent="0.2">
      <c r="C88" s="79"/>
      <c r="D88" s="79"/>
      <c r="E88" s="79"/>
      <c r="F88" s="79"/>
      <c r="G88" s="79"/>
      <c r="H88" s="79"/>
      <c r="I88" s="79"/>
    </row>
    <row r="89" spans="2:9" s="42" customFormat="1" hidden="1" x14ac:dyDescent="0.2">
      <c r="C89" s="79"/>
      <c r="D89" s="79"/>
      <c r="E89" s="79"/>
      <c r="F89" s="79"/>
      <c r="G89" s="79"/>
      <c r="H89" s="79"/>
      <c r="I89" s="79"/>
    </row>
    <row r="90" spans="2:9" s="42" customFormat="1" hidden="1" x14ac:dyDescent="0.2">
      <c r="C90" s="79"/>
      <c r="D90" s="79"/>
      <c r="E90" s="79"/>
      <c r="F90" s="79"/>
      <c r="G90" s="79"/>
      <c r="H90" s="79"/>
      <c r="I90" s="79"/>
    </row>
    <row r="91" spans="2:9" s="42" customFormat="1" hidden="1" x14ac:dyDescent="0.2">
      <c r="C91" s="79"/>
      <c r="D91" s="79"/>
      <c r="E91" s="79"/>
      <c r="F91" s="79"/>
      <c r="G91" s="79"/>
      <c r="H91" s="79"/>
      <c r="I91" s="79"/>
    </row>
    <row r="92" spans="2:9" s="42" customFormat="1" hidden="1" x14ac:dyDescent="0.2">
      <c r="C92" s="79"/>
      <c r="D92" s="79"/>
      <c r="E92" s="79"/>
      <c r="F92" s="79"/>
      <c r="G92" s="79"/>
      <c r="H92" s="79"/>
      <c r="I92" s="79"/>
    </row>
    <row r="93" spans="2:9" s="42" customFormat="1" hidden="1" x14ac:dyDescent="0.2">
      <c r="C93" s="79"/>
      <c r="D93" s="79"/>
      <c r="E93" s="79"/>
      <c r="F93" s="79"/>
      <c r="G93" s="79"/>
      <c r="H93" s="79"/>
      <c r="I93" s="79"/>
    </row>
    <row r="94" spans="2:9" s="82" customFormat="1" hidden="1" x14ac:dyDescent="0.2">
      <c r="B94" s="42"/>
      <c r="C94" s="79"/>
      <c r="D94" s="79"/>
      <c r="E94" s="79"/>
      <c r="F94" s="79"/>
      <c r="G94" s="79"/>
      <c r="H94" s="79"/>
      <c r="I94" s="79"/>
    </row>
    <row r="95" spans="2:9" hidden="1" x14ac:dyDescent="0.2">
      <c r="B95" s="42"/>
    </row>
    <row r="96" spans="2:9" hidden="1" x14ac:dyDescent="0.2">
      <c r="B96" s="42"/>
    </row>
    <row r="97" spans="3:5" hidden="1" x14ac:dyDescent="0.2"/>
    <row r="98" spans="3:5" hidden="1" x14ac:dyDescent="0.2">
      <c r="C98" s="42"/>
    </row>
    <row r="99" spans="3:5" hidden="1" x14ac:dyDescent="0.2">
      <c r="C99" s="42"/>
    </row>
    <row r="100" spans="3:5" hidden="1" x14ac:dyDescent="0.2">
      <c r="C100" s="42"/>
    </row>
    <row r="101" spans="3:5" hidden="1" x14ac:dyDescent="0.2">
      <c r="C101" s="42"/>
      <c r="D101" s="42"/>
      <c r="E101" s="42"/>
    </row>
    <row r="102" spans="3:5" hidden="1" x14ac:dyDescent="0.2">
      <c r="C102" s="42"/>
      <c r="D102" s="42"/>
      <c r="E102" s="42"/>
    </row>
    <row r="103" spans="3:5" hidden="1" x14ac:dyDescent="0.2">
      <c r="C103" s="42"/>
      <c r="D103" s="42"/>
      <c r="E103" s="42"/>
    </row>
    <row r="104" spans="3:5" hidden="1" x14ac:dyDescent="0.2">
      <c r="C104" s="42"/>
      <c r="D104" s="42"/>
      <c r="E104" s="42"/>
    </row>
    <row r="105" spans="3:5" hidden="1" x14ac:dyDescent="0.2">
      <c r="C105" s="42"/>
      <c r="D105" s="42"/>
      <c r="E105" s="42"/>
    </row>
    <row r="106" spans="3:5" hidden="1" x14ac:dyDescent="0.2">
      <c r="C106" s="42"/>
      <c r="D106" s="42"/>
      <c r="E106" s="42"/>
    </row>
    <row r="107" spans="3:5" hidden="1" x14ac:dyDescent="0.2">
      <c r="C107" s="42"/>
      <c r="D107" s="42"/>
      <c r="E107" s="42"/>
    </row>
    <row r="108" spans="3:5" hidden="1" x14ac:dyDescent="0.2">
      <c r="C108" s="42"/>
      <c r="D108" s="42"/>
      <c r="E108" s="42"/>
    </row>
    <row r="109" spans="3:5" hidden="1" x14ac:dyDescent="0.2">
      <c r="C109" s="42"/>
      <c r="D109" s="42"/>
      <c r="E109" s="42"/>
    </row>
    <row r="110" spans="3:5" hidden="1" x14ac:dyDescent="0.2">
      <c r="C110" s="42"/>
      <c r="D110" s="42"/>
      <c r="E110" s="42"/>
    </row>
    <row r="111" spans="3:5" hidden="1" x14ac:dyDescent="0.2">
      <c r="C111" s="42"/>
      <c r="D111" s="42"/>
      <c r="E111" s="42"/>
    </row>
    <row r="112" spans="3:5" hidden="1" x14ac:dyDescent="0.2">
      <c r="C112" s="42"/>
      <c r="D112" s="42"/>
      <c r="E112" s="42"/>
    </row>
    <row r="113" spans="3:5" hidden="1" x14ac:dyDescent="0.2">
      <c r="C113" s="42"/>
      <c r="D113" s="42"/>
      <c r="E113" s="42"/>
    </row>
    <row r="114" spans="3:5" hidden="1" x14ac:dyDescent="0.2">
      <c r="C114" s="42"/>
      <c r="D114" s="42"/>
      <c r="E114" s="42"/>
    </row>
    <row r="115" spans="3:5" hidden="1" x14ac:dyDescent="0.2">
      <c r="C115" s="42"/>
      <c r="D115" s="42"/>
      <c r="E115" s="42"/>
    </row>
    <row r="116" spans="3:5" hidden="1" x14ac:dyDescent="0.2">
      <c r="C116" s="42"/>
      <c r="D116" s="42"/>
      <c r="E116" s="42"/>
    </row>
    <row r="117" spans="3:5" hidden="1" x14ac:dyDescent="0.2">
      <c r="C117" s="42"/>
      <c r="D117" s="42"/>
      <c r="E117" s="42"/>
    </row>
    <row r="118" spans="3:5" hidden="1" x14ac:dyDescent="0.2">
      <c r="C118" s="42"/>
      <c r="D118" s="42"/>
      <c r="E118" s="42"/>
    </row>
    <row r="119" spans="3:5" hidden="1" x14ac:dyDescent="0.2">
      <c r="C119" s="42"/>
      <c r="D119" s="42"/>
      <c r="E119" s="42"/>
    </row>
    <row r="120" spans="3:5" hidden="1" x14ac:dyDescent="0.2">
      <c r="C120" s="42"/>
      <c r="D120" s="42"/>
      <c r="E120" s="42"/>
    </row>
    <row r="121" spans="3:5" hidden="1" x14ac:dyDescent="0.2">
      <c r="C121" s="42"/>
      <c r="D121" s="42"/>
      <c r="E121" s="42"/>
    </row>
    <row r="122" spans="3:5" hidden="1" x14ac:dyDescent="0.2">
      <c r="C122" s="42"/>
      <c r="D122" s="42"/>
      <c r="E122" s="42"/>
    </row>
    <row r="123" spans="3:5" hidden="1" x14ac:dyDescent="0.2">
      <c r="C123" s="42"/>
      <c r="D123" s="42"/>
      <c r="E123" s="42"/>
    </row>
    <row r="124" spans="3:5" hidden="1" x14ac:dyDescent="0.2">
      <c r="C124" s="42"/>
      <c r="D124" s="42"/>
      <c r="E124" s="42"/>
    </row>
    <row r="125" spans="3:5" hidden="1" x14ac:dyDescent="0.2">
      <c r="C125" s="42"/>
      <c r="D125" s="42"/>
      <c r="E125" s="42"/>
    </row>
    <row r="126" spans="3:5" hidden="1" x14ac:dyDescent="0.2">
      <c r="C126" s="42"/>
      <c r="D126" s="42"/>
      <c r="E126" s="42"/>
    </row>
    <row r="127" spans="3:5" hidden="1" x14ac:dyDescent="0.2">
      <c r="C127" s="42"/>
      <c r="D127" s="42"/>
      <c r="E127" s="42"/>
    </row>
    <row r="128" spans="3:5" hidden="1" x14ac:dyDescent="0.2">
      <c r="C128" s="42"/>
      <c r="D128" s="42"/>
      <c r="E128" s="42"/>
    </row>
    <row r="129" spans="3:5" hidden="1" x14ac:dyDescent="0.2">
      <c r="C129" s="42"/>
      <c r="D129" s="42"/>
      <c r="E129" s="42"/>
    </row>
    <row r="130" spans="3:5" hidden="1" x14ac:dyDescent="0.2">
      <c r="C130" s="42"/>
      <c r="D130" s="42"/>
      <c r="E130" s="42"/>
    </row>
    <row r="131" spans="3:5" hidden="1" x14ac:dyDescent="0.2">
      <c r="C131" s="42"/>
      <c r="D131" s="42"/>
      <c r="E131" s="42"/>
    </row>
    <row r="132" spans="3:5" hidden="1" x14ac:dyDescent="0.2">
      <c r="C132" s="42"/>
      <c r="D132" s="42"/>
      <c r="E132" s="42"/>
    </row>
    <row r="133" spans="3:5" hidden="1" x14ac:dyDescent="0.2">
      <c r="C133" s="42"/>
      <c r="D133" s="42"/>
      <c r="E133" s="42"/>
    </row>
    <row r="134" spans="3:5" hidden="1" x14ac:dyDescent="0.2">
      <c r="C134" s="42"/>
      <c r="D134" s="42"/>
      <c r="E134" s="42"/>
    </row>
    <row r="135" spans="3:5" hidden="1" x14ac:dyDescent="0.2">
      <c r="C135" s="42"/>
      <c r="D135" s="42"/>
      <c r="E135" s="42"/>
    </row>
    <row r="136" spans="3:5" hidden="1" x14ac:dyDescent="0.2">
      <c r="C136" s="42"/>
      <c r="D136" s="42"/>
      <c r="E136" s="42"/>
    </row>
    <row r="137" spans="3:5" hidden="1" x14ac:dyDescent="0.2">
      <c r="C137" s="42"/>
      <c r="D137" s="42"/>
      <c r="E137" s="42"/>
    </row>
    <row r="138" spans="3:5" hidden="1" x14ac:dyDescent="0.2">
      <c r="C138" s="42"/>
      <c r="D138" s="42"/>
      <c r="E138" s="42"/>
    </row>
    <row r="139" spans="3:5" hidden="1" x14ac:dyDescent="0.2">
      <c r="C139" s="42"/>
      <c r="D139" s="42"/>
      <c r="E139" s="42"/>
    </row>
    <row r="140" spans="3:5" hidden="1" x14ac:dyDescent="0.2">
      <c r="C140" s="42"/>
      <c r="D140" s="42"/>
      <c r="E140" s="42"/>
    </row>
    <row r="141" spans="3:5" hidden="1" x14ac:dyDescent="0.2">
      <c r="C141" s="42"/>
      <c r="D141" s="42"/>
      <c r="E141" s="42"/>
    </row>
    <row r="142" spans="3:5" hidden="1" x14ac:dyDescent="0.2">
      <c r="C142" s="42"/>
      <c r="D142" s="42"/>
      <c r="E142" s="42"/>
    </row>
    <row r="143" spans="3:5" hidden="1" x14ac:dyDescent="0.2">
      <c r="C143" s="42"/>
      <c r="D143" s="42"/>
      <c r="E143" s="42"/>
    </row>
    <row r="144" spans="3:5" hidden="1" x14ac:dyDescent="0.2">
      <c r="C144" s="42"/>
      <c r="D144" s="42"/>
      <c r="E144" s="42"/>
    </row>
    <row r="145" spans="3:5" hidden="1" x14ac:dyDescent="0.2">
      <c r="C145" s="42"/>
      <c r="D145" s="42"/>
      <c r="E145" s="42"/>
    </row>
    <row r="146" spans="3:5" hidden="1" x14ac:dyDescent="0.2">
      <c r="C146" s="42"/>
      <c r="D146" s="42"/>
      <c r="E146" s="42"/>
    </row>
    <row r="147" spans="3:5" hidden="1" x14ac:dyDescent="0.2">
      <c r="C147" s="42"/>
      <c r="D147" s="42"/>
      <c r="E147" s="42"/>
    </row>
    <row r="148" spans="3:5" hidden="1" x14ac:dyDescent="0.2">
      <c r="C148" s="42"/>
      <c r="D148" s="42"/>
      <c r="E148" s="42"/>
    </row>
    <row r="149" spans="3:5" hidden="1" x14ac:dyDescent="0.2">
      <c r="C149" s="42"/>
      <c r="D149" s="42"/>
      <c r="E149" s="42"/>
    </row>
    <row r="150" spans="3:5" hidden="1" x14ac:dyDescent="0.2">
      <c r="C150" s="42"/>
      <c r="D150" s="42"/>
      <c r="E150" s="42"/>
    </row>
    <row r="151" spans="3:5" hidden="1" x14ac:dyDescent="0.2">
      <c r="C151" s="42"/>
      <c r="D151" s="42"/>
      <c r="E151" s="42"/>
    </row>
    <row r="152" spans="3:5" hidden="1" x14ac:dyDescent="0.2">
      <c r="C152" s="42"/>
      <c r="D152" s="42"/>
      <c r="E152" s="42"/>
    </row>
    <row r="153" spans="3:5" hidden="1" x14ac:dyDescent="0.2">
      <c r="C153" s="42"/>
      <c r="D153" s="42"/>
      <c r="E153" s="42"/>
    </row>
    <row r="154" spans="3:5" hidden="1" x14ac:dyDescent="0.2">
      <c r="C154" s="42"/>
      <c r="D154" s="42"/>
      <c r="E154" s="42"/>
    </row>
    <row r="155" spans="3:5" hidden="1" x14ac:dyDescent="0.2">
      <c r="C155" s="42"/>
      <c r="D155" s="42"/>
      <c r="E155" s="42"/>
    </row>
    <row r="156" spans="3:5" hidden="1" x14ac:dyDescent="0.2">
      <c r="C156" s="42"/>
      <c r="D156" s="42"/>
      <c r="E156" s="42"/>
    </row>
    <row r="157" spans="3:5" hidden="1" x14ac:dyDescent="0.2">
      <c r="C157" s="42"/>
      <c r="D157" s="42"/>
      <c r="E157" s="42"/>
    </row>
    <row r="158" spans="3:5" hidden="1" x14ac:dyDescent="0.2">
      <c r="C158" s="42"/>
      <c r="D158" s="42"/>
      <c r="E158" s="42"/>
    </row>
    <row r="159" spans="3:5" hidden="1" x14ac:dyDescent="0.2">
      <c r="C159" s="42"/>
      <c r="D159" s="42"/>
      <c r="E159" s="42"/>
    </row>
    <row r="160" spans="3:5" hidden="1" x14ac:dyDescent="0.2">
      <c r="C160" s="42"/>
      <c r="D160" s="42"/>
      <c r="E160" s="42"/>
    </row>
    <row r="161" spans="3:5" hidden="1" x14ac:dyDescent="0.2">
      <c r="C161" s="42"/>
      <c r="D161" s="42"/>
      <c r="E161" s="42"/>
    </row>
    <row r="162" spans="3:5" hidden="1" x14ac:dyDescent="0.2">
      <c r="C162" s="42"/>
      <c r="D162" s="42"/>
      <c r="E162" s="42"/>
    </row>
    <row r="163" spans="3:5" hidden="1" x14ac:dyDescent="0.2">
      <c r="C163" s="42"/>
      <c r="D163" s="42"/>
      <c r="E163" s="42"/>
    </row>
    <row r="164" spans="3:5" hidden="1" x14ac:dyDescent="0.2">
      <c r="C164" s="42"/>
      <c r="D164" s="42"/>
      <c r="E164" s="42"/>
    </row>
    <row r="165" spans="3:5" hidden="1" x14ac:dyDescent="0.2">
      <c r="C165" s="42"/>
      <c r="D165" s="42"/>
      <c r="E165" s="42"/>
    </row>
    <row r="166" spans="3:5" hidden="1" x14ac:dyDescent="0.2">
      <c r="C166" s="42"/>
      <c r="D166" s="42"/>
      <c r="E166" s="42"/>
    </row>
    <row r="167" spans="3:5" hidden="1" x14ac:dyDescent="0.2">
      <c r="C167" s="42"/>
      <c r="D167" s="42"/>
      <c r="E167" s="42"/>
    </row>
    <row r="168" spans="3:5" hidden="1" x14ac:dyDescent="0.2">
      <c r="C168" s="42"/>
      <c r="D168" s="42"/>
      <c r="E168" s="42"/>
    </row>
    <row r="169" spans="3:5" hidden="1" x14ac:dyDescent="0.2">
      <c r="C169" s="42"/>
      <c r="D169" s="42"/>
      <c r="E169" s="42"/>
    </row>
    <row r="170" spans="3:5" hidden="1" x14ac:dyDescent="0.2">
      <c r="C170" s="42"/>
      <c r="D170" s="42"/>
      <c r="E170" s="42"/>
    </row>
    <row r="171" spans="3:5" hidden="1" x14ac:dyDescent="0.2">
      <c r="C171" s="42"/>
      <c r="D171" s="42"/>
      <c r="E171" s="42"/>
    </row>
    <row r="172" spans="3:5" hidden="1" x14ac:dyDescent="0.2">
      <c r="C172" s="42"/>
      <c r="D172" s="42"/>
      <c r="E172" s="42"/>
    </row>
    <row r="173" spans="3:5" hidden="1" x14ac:dyDescent="0.2">
      <c r="C173" s="42"/>
      <c r="D173" s="42"/>
      <c r="E173" s="42"/>
    </row>
    <row r="174" spans="3:5" hidden="1" x14ac:dyDescent="0.2">
      <c r="C174" s="42"/>
      <c r="D174" s="42"/>
      <c r="E174" s="42"/>
    </row>
    <row r="175" spans="3:5" hidden="1" x14ac:dyDescent="0.2">
      <c r="C175" s="42"/>
      <c r="D175" s="42"/>
      <c r="E175" s="42"/>
    </row>
    <row r="176" spans="3:5" hidden="1" x14ac:dyDescent="0.2">
      <c r="C176" s="42"/>
      <c r="D176" s="42"/>
      <c r="E176" s="42"/>
    </row>
    <row r="177" spans="3:5" hidden="1" x14ac:dyDescent="0.2">
      <c r="C177" s="42"/>
      <c r="D177" s="42"/>
      <c r="E177" s="42"/>
    </row>
    <row r="178" spans="3:5" hidden="1" x14ac:dyDescent="0.2">
      <c r="C178" s="42"/>
      <c r="D178" s="42"/>
      <c r="E178" s="42"/>
    </row>
    <row r="179" spans="3:5" hidden="1" x14ac:dyDescent="0.2">
      <c r="C179" s="42"/>
      <c r="D179" s="42"/>
      <c r="E179" s="42"/>
    </row>
    <row r="180" spans="3:5" hidden="1" x14ac:dyDescent="0.2">
      <c r="C180" s="42"/>
      <c r="D180" s="42"/>
      <c r="E180" s="42"/>
    </row>
    <row r="181" spans="3:5" hidden="1" x14ac:dyDescent="0.2">
      <c r="C181" s="42"/>
      <c r="D181" s="42"/>
      <c r="E181" s="42"/>
    </row>
    <row r="182" spans="3:5" hidden="1" x14ac:dyDescent="0.2">
      <c r="C182" s="42"/>
      <c r="D182" s="42"/>
      <c r="E182" s="42"/>
    </row>
    <row r="183" spans="3:5" hidden="1" x14ac:dyDescent="0.2">
      <c r="C183" s="42"/>
      <c r="D183" s="42"/>
      <c r="E183" s="42"/>
    </row>
    <row r="184" spans="3:5" hidden="1" x14ac:dyDescent="0.2">
      <c r="C184" s="42"/>
      <c r="D184" s="42"/>
      <c r="E184" s="42"/>
    </row>
    <row r="185" spans="3:5" hidden="1" x14ac:dyDescent="0.2">
      <c r="C185" s="42"/>
      <c r="D185" s="42"/>
      <c r="E185" s="42"/>
    </row>
    <row r="186" spans="3:5" hidden="1" x14ac:dyDescent="0.2">
      <c r="C186" s="42"/>
      <c r="D186" s="42"/>
      <c r="E186" s="42"/>
    </row>
    <row r="187" spans="3:5" hidden="1" x14ac:dyDescent="0.2">
      <c r="C187" s="42"/>
      <c r="D187" s="42"/>
      <c r="E187" s="42"/>
    </row>
    <row r="188" spans="3:5" hidden="1" x14ac:dyDescent="0.2">
      <c r="C188" s="42"/>
      <c r="D188" s="42"/>
      <c r="E188" s="42"/>
    </row>
    <row r="189" spans="3:5" hidden="1" x14ac:dyDescent="0.2">
      <c r="C189" s="42"/>
      <c r="D189" s="42"/>
      <c r="E189" s="42"/>
    </row>
    <row r="190" spans="3:5" hidden="1" x14ac:dyDescent="0.2">
      <c r="C190" s="42"/>
      <c r="D190" s="42"/>
      <c r="E190" s="42"/>
    </row>
    <row r="191" spans="3:5" hidden="1" x14ac:dyDescent="0.2">
      <c r="C191" s="42"/>
      <c r="D191" s="42"/>
      <c r="E191" s="42"/>
    </row>
    <row r="192" spans="3:5" hidden="1" x14ac:dyDescent="0.2">
      <c r="C192" s="42"/>
      <c r="D192" s="42"/>
      <c r="E192" s="42"/>
    </row>
    <row r="193" spans="3:5" hidden="1" x14ac:dyDescent="0.2">
      <c r="C193" s="42"/>
      <c r="D193" s="42"/>
      <c r="E193" s="42"/>
    </row>
    <row r="194" spans="3:5" hidden="1" x14ac:dyDescent="0.2">
      <c r="C194" s="42"/>
      <c r="D194" s="42"/>
      <c r="E194" s="42"/>
    </row>
    <row r="195" spans="3:5" hidden="1" x14ac:dyDescent="0.2">
      <c r="C195" s="42"/>
      <c r="D195" s="42"/>
      <c r="E195" s="42"/>
    </row>
    <row r="196" spans="3:5" hidden="1" x14ac:dyDescent="0.2">
      <c r="C196" s="42"/>
      <c r="D196" s="42"/>
      <c r="E196" s="42"/>
    </row>
    <row r="197" spans="3:5" hidden="1" x14ac:dyDescent="0.2">
      <c r="E197" s="42"/>
    </row>
    <row r="198" spans="3:5" hidden="1" x14ac:dyDescent="0.2">
      <c r="E198" s="42"/>
    </row>
    <row r="199" spans="3:5" hidden="1" x14ac:dyDescent="0.2"/>
    <row r="200" spans="3:5" hidden="1" x14ac:dyDescent="0.2"/>
    <row r="201" spans="3:5" hidden="1" x14ac:dyDescent="0.2"/>
    <row r="202" spans="3:5" hidden="1" x14ac:dyDescent="0.2"/>
    <row r="203" spans="3:5" hidden="1" x14ac:dyDescent="0.2"/>
    <row r="204" spans="3:5" hidden="1" x14ac:dyDescent="0.2"/>
    <row r="205" spans="3:5" hidden="1" x14ac:dyDescent="0.2"/>
    <row r="206" spans="3:5" hidden="1" x14ac:dyDescent="0.2"/>
    <row r="207" spans="3:5" hidden="1" x14ac:dyDescent="0.2"/>
    <row r="208" spans="3:5"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8" spans="1:4" hidden="1" x14ac:dyDescent="0.2"/>
    <row r="299" spans="1:4" x14ac:dyDescent="0.2">
      <c r="C299" s="319" t="s">
        <v>577</v>
      </c>
      <c r="D299" s="347" t="s">
        <v>577</v>
      </c>
    </row>
    <row r="300" spans="1:4" x14ac:dyDescent="0.2">
      <c r="A300" s="54">
        <v>1</v>
      </c>
      <c r="B300" s="55" t="str">
        <f t="shared" ref="B300:B310" si="0">IFERROR(INDEX(H$33:H$85,MATCH(A300&amp;". koht",H$34:H$86,0)),"")</f>
        <v/>
      </c>
      <c r="C300" s="79">
        <v>20</v>
      </c>
      <c r="D300" s="347">
        <v>25</v>
      </c>
    </row>
    <row r="301" spans="1:4" x14ac:dyDescent="0.2">
      <c r="A301" s="54">
        <v>2</v>
      </c>
      <c r="B301" s="56" t="str">
        <f t="shared" si="0"/>
        <v/>
      </c>
      <c r="C301" s="79">
        <v>16</v>
      </c>
      <c r="D301" s="347">
        <v>20</v>
      </c>
    </row>
    <row r="302" spans="1:4" x14ac:dyDescent="0.2">
      <c r="A302" s="54">
        <v>3</v>
      </c>
      <c r="B302" s="57" t="str">
        <f t="shared" si="0"/>
        <v/>
      </c>
      <c r="C302" s="79">
        <v>12</v>
      </c>
      <c r="D302" s="347">
        <v>16</v>
      </c>
    </row>
    <row r="303" spans="1:4" x14ac:dyDescent="0.2">
      <c r="A303" s="54">
        <v>4</v>
      </c>
      <c r="B303" s="58" t="str">
        <f t="shared" si="0"/>
        <v/>
      </c>
      <c r="C303" s="79">
        <v>9</v>
      </c>
      <c r="D303" s="347">
        <v>12</v>
      </c>
    </row>
    <row r="304" spans="1:4" x14ac:dyDescent="0.2">
      <c r="A304" s="54">
        <v>5</v>
      </c>
      <c r="B304" s="58" t="str">
        <f t="shared" si="0"/>
        <v/>
      </c>
      <c r="C304" s="79">
        <v>7</v>
      </c>
      <c r="D304" s="347">
        <v>9</v>
      </c>
    </row>
    <row r="305" spans="1:4" x14ac:dyDescent="0.2">
      <c r="A305" s="54">
        <v>6</v>
      </c>
      <c r="B305" s="58" t="str">
        <f t="shared" si="0"/>
        <v/>
      </c>
      <c r="C305" s="79">
        <v>5</v>
      </c>
      <c r="D305" s="347">
        <v>7</v>
      </c>
    </row>
    <row r="306" spans="1:4" x14ac:dyDescent="0.2">
      <c r="A306" s="54">
        <v>7</v>
      </c>
      <c r="B306" s="58" t="str">
        <f t="shared" si="0"/>
        <v/>
      </c>
      <c r="C306" s="79">
        <v>4</v>
      </c>
      <c r="D306" s="347">
        <v>5</v>
      </c>
    </row>
    <row r="307" spans="1:4" x14ac:dyDescent="0.2">
      <c r="A307" s="54">
        <v>8</v>
      </c>
      <c r="B307" s="58" t="str">
        <f t="shared" si="0"/>
        <v/>
      </c>
      <c r="C307" s="79">
        <v>3</v>
      </c>
      <c r="D307" s="347">
        <v>4</v>
      </c>
    </row>
    <row r="308" spans="1:4" x14ac:dyDescent="0.2">
      <c r="A308" s="54">
        <v>9</v>
      </c>
      <c r="B308" s="58" t="str">
        <f t="shared" si="0"/>
        <v/>
      </c>
      <c r="C308" s="79">
        <v>1</v>
      </c>
      <c r="D308" s="347">
        <v>2</v>
      </c>
    </row>
    <row r="309" spans="1:4" x14ac:dyDescent="0.2">
      <c r="A309" s="54">
        <v>10</v>
      </c>
      <c r="B309" s="58" t="str">
        <f t="shared" si="0"/>
        <v/>
      </c>
      <c r="C309" s="79">
        <v>1</v>
      </c>
      <c r="D309" s="347">
        <v>2</v>
      </c>
    </row>
    <row r="310" spans="1:4" x14ac:dyDescent="0.2">
      <c r="A310" s="54">
        <v>11</v>
      </c>
      <c r="B310" s="58">
        <f t="shared" si="0"/>
        <v>0</v>
      </c>
      <c r="C310" s="79">
        <v>1</v>
      </c>
      <c r="D310" s="347">
        <v>2</v>
      </c>
    </row>
  </sheetData>
  <conditionalFormatting sqref="B7:B10">
    <cfRule type="duplicateValues" dxfId="450" priority="450"/>
  </conditionalFormatting>
  <conditionalFormatting sqref="B13:B16">
    <cfRule type="duplicateValues" dxfId="449" priority="348"/>
  </conditionalFormatting>
  <conditionalFormatting sqref="B19:B22">
    <cfRule type="duplicateValues" dxfId="448" priority="319"/>
  </conditionalFormatting>
  <conditionalFormatting sqref="B300:B310">
    <cfRule type="containsBlanks" dxfId="447" priority="141">
      <formula>LEN(TRIM(B300))=0</formula>
    </cfRule>
    <cfRule type="duplicateValues" dxfId="446" priority="199"/>
  </conditionalFormatting>
  <conditionalFormatting sqref="A26:A40">
    <cfRule type="cellIs" dxfId="445" priority="140" operator="equal">
      <formula>"-"</formula>
    </cfRule>
    <cfRule type="duplicateValues" dxfId="444" priority="166"/>
  </conditionalFormatting>
  <conditionalFormatting sqref="A63:A77">
    <cfRule type="cellIs" dxfId="443" priority="139" operator="equal">
      <formula>"-"</formula>
    </cfRule>
    <cfRule type="duplicateValues" dxfId="442" priority="165"/>
  </conditionalFormatting>
  <conditionalFormatting sqref="E47 E49">
    <cfRule type="aboveAverage" dxfId="441" priority="164"/>
  </conditionalFormatting>
  <conditionalFormatting sqref="E51 E53">
    <cfRule type="aboveAverage" dxfId="440" priority="163"/>
  </conditionalFormatting>
  <conditionalFormatting sqref="G48 G52">
    <cfRule type="aboveAverage" dxfId="439" priority="162"/>
  </conditionalFormatting>
  <conditionalFormatting sqref="G55 G57">
    <cfRule type="aboveAverage" dxfId="438" priority="161"/>
  </conditionalFormatting>
  <conditionalFormatting sqref="E47 E49 E51 E53 G48 G52 G55 G57">
    <cfRule type="containsBlanks" dxfId="437" priority="160">
      <formula>LEN(TRIM(E47))=0</formula>
    </cfRule>
  </conditionalFormatting>
  <conditionalFormatting sqref="C26 C28">
    <cfRule type="aboveAverage" dxfId="436" priority="159"/>
  </conditionalFormatting>
  <conditionalFormatting sqref="C30 C32">
    <cfRule type="aboveAverage" dxfId="435" priority="158"/>
  </conditionalFormatting>
  <conditionalFormatting sqref="E27 E31">
    <cfRule type="aboveAverage" dxfId="434" priority="157"/>
  </conditionalFormatting>
  <conditionalFormatting sqref="C34 C36">
    <cfRule type="aboveAverage" dxfId="433" priority="156"/>
  </conditionalFormatting>
  <conditionalFormatting sqref="C38 C40">
    <cfRule type="aboveAverage" dxfId="432" priority="155"/>
  </conditionalFormatting>
  <conditionalFormatting sqref="E35 E39">
    <cfRule type="aboveAverage" dxfId="431" priority="154"/>
  </conditionalFormatting>
  <conditionalFormatting sqref="G29 G37">
    <cfRule type="aboveAverage" dxfId="430" priority="153"/>
  </conditionalFormatting>
  <conditionalFormatting sqref="G41 G43">
    <cfRule type="aboveAverage" dxfId="429" priority="152"/>
  </conditionalFormatting>
  <conditionalFormatting sqref="C26 C28 C30 C32 C34 C36 C38 C40 E27 E31 E35 E39 G29 G37 G41 G43">
    <cfRule type="containsBlanks" dxfId="428" priority="151">
      <formula>LEN(TRIM(C26))=0</formula>
    </cfRule>
  </conditionalFormatting>
  <conditionalFormatting sqref="C63 C65">
    <cfRule type="aboveAverage" dxfId="427" priority="150"/>
  </conditionalFormatting>
  <conditionalFormatting sqref="C67 C69">
    <cfRule type="aboveAverage" dxfId="426" priority="149"/>
  </conditionalFormatting>
  <conditionalFormatting sqref="E64 E68">
    <cfRule type="aboveAverage" dxfId="425" priority="148"/>
  </conditionalFormatting>
  <conditionalFormatting sqref="C71 C73">
    <cfRule type="aboveAverage" dxfId="424" priority="147"/>
  </conditionalFormatting>
  <conditionalFormatting sqref="C75 C77">
    <cfRule type="aboveAverage" dxfId="423" priority="146"/>
  </conditionalFormatting>
  <conditionalFormatting sqref="E72 E76">
    <cfRule type="aboveAverage" dxfId="422" priority="145"/>
  </conditionalFormatting>
  <conditionalFormatting sqref="G66 G74">
    <cfRule type="aboveAverage" dxfId="421" priority="144"/>
  </conditionalFormatting>
  <conditionalFormatting sqref="G78 G80">
    <cfRule type="aboveAverage" dxfId="420" priority="143"/>
  </conditionalFormatting>
  <conditionalFormatting sqref="C63 C65 C67 C69 C71 C73 C75 C77 E64 E68 E72 E76 G66 G74 G78 G80">
    <cfRule type="containsBlanks" dxfId="419" priority="142">
      <formula>LEN(TRIM(C63))=0</formula>
    </cfRule>
  </conditionalFormatting>
  <conditionalFormatting sqref="G7:G10">
    <cfRule type="containsText" dxfId="418" priority="114" operator="containsText" text="2">
      <formula>NOT(ISERROR(SEARCH("2",G7)))</formula>
    </cfRule>
    <cfRule type="containsText" dxfId="417" priority="115" operator="containsText" text="1">
      <formula>NOT(ISERROR(SEARCH("1",G7)))</formula>
    </cfRule>
  </conditionalFormatting>
  <conditionalFormatting sqref="G10">
    <cfRule type="expression" dxfId="416" priority="113">
      <formula>B10="-"</formula>
    </cfRule>
  </conditionalFormatting>
  <conditionalFormatting sqref="C7 C10">
    <cfRule type="aboveAverage" dxfId="415" priority="112"/>
  </conditionalFormatting>
  <conditionalFormatting sqref="C8:C9">
    <cfRule type="aboveAverage" dxfId="414" priority="111"/>
  </conditionalFormatting>
  <conditionalFormatting sqref="G13:G16">
    <cfRule type="containsText" dxfId="413" priority="90" operator="containsText" text="2">
      <formula>NOT(ISERROR(SEARCH("2",G13)))</formula>
    </cfRule>
    <cfRule type="containsText" dxfId="412" priority="91" operator="containsText" text="1">
      <formula>NOT(ISERROR(SEARCH("1",G13)))</formula>
    </cfRule>
  </conditionalFormatting>
  <conditionalFormatting sqref="G16">
    <cfRule type="expression" dxfId="411" priority="89">
      <formula>B16="-"</formula>
    </cfRule>
  </conditionalFormatting>
  <conditionalFormatting sqref="C13 C16">
    <cfRule type="aboveAverage" dxfId="410" priority="88"/>
  </conditionalFormatting>
  <conditionalFormatting sqref="C14:C15">
    <cfRule type="aboveAverage" dxfId="409" priority="87"/>
  </conditionalFormatting>
  <conditionalFormatting sqref="G19:G22">
    <cfRule type="containsText" dxfId="408" priority="66" operator="containsText" text="2">
      <formula>NOT(ISERROR(SEARCH("2",G19)))</formula>
    </cfRule>
    <cfRule type="containsText" dxfId="407" priority="67" operator="containsText" text="1">
      <formula>NOT(ISERROR(SEARCH("1",G19)))</formula>
    </cfRule>
  </conditionalFormatting>
  <conditionalFormatting sqref="G22">
    <cfRule type="expression" dxfId="406" priority="65">
      <formula>B22="-"</formula>
    </cfRule>
  </conditionalFormatting>
  <conditionalFormatting sqref="C19 C22">
    <cfRule type="aboveAverage" dxfId="405" priority="64"/>
  </conditionalFormatting>
  <conditionalFormatting sqref="C20:C21">
    <cfRule type="aboveAverage" dxfId="404" priority="63"/>
  </conditionalFormatting>
  <conditionalFormatting sqref="E10">
    <cfRule type="expression" dxfId="403" priority="57">
      <formula>AND(COUNT(E7:E10)&lt;2,IF(ISNUMBER(C10),C7&gt;C10))</formula>
    </cfRule>
  </conditionalFormatting>
  <conditionalFormatting sqref="E7">
    <cfRule type="expression" dxfId="402" priority="56">
      <formula>AND(COUNT(E7:E10)&lt;2,IF(ISNUMBER(C7),C10&gt;C7))</formula>
    </cfRule>
  </conditionalFormatting>
  <conditionalFormatting sqref="E8">
    <cfRule type="expression" dxfId="401" priority="55">
      <formula>AND(COUNT(E7:E10)&lt;2,IF(ISNUMBER(C8),C9&gt;C8))</formula>
    </cfRule>
  </conditionalFormatting>
  <conditionalFormatting sqref="E9">
    <cfRule type="expression" dxfId="400" priority="54">
      <formula>AND(COUNT(E7:E10)&lt;2,IF(ISNUMBER(C9),C8&gt;C9))</formula>
    </cfRule>
  </conditionalFormatting>
  <conditionalFormatting sqref="E7:E10">
    <cfRule type="aboveAverage" dxfId="399" priority="53"/>
  </conditionalFormatting>
  <conditionalFormatting sqref="F7">
    <cfRule type="expression" dxfId="398" priority="48">
      <formula>AND(COUNT(F7:F10)&lt;2,IF(COUNT(E7:E10)=2,IF(AND(ISNUMBER(E7),COUNTIF(E7:E10,E7)=1,E7=MAX(E7:E10)),TRUE,FALSE)))</formula>
    </cfRule>
    <cfRule type="expression" dxfId="397" priority="52">
      <formula>AND(COUNT(F7:F10)&lt;2,IF(COUNT(D7:D10)=2,IF(AND(ISNUMBER(D7),COUNTIF(D7:D10,D7)=1,D7=MIN(D7:D10)),TRUE,FALSE)))</formula>
    </cfRule>
  </conditionalFormatting>
  <conditionalFormatting sqref="F8">
    <cfRule type="expression" dxfId="396" priority="47">
      <formula>AND(COUNT(F7:F10)&lt;2,IF(COUNT(E7:E10)=2,IF(AND(ISNUMBER(E8),COUNTIF(E7:E10,E8)=1,E8=MAX(E7:E10)),TRUE,FALSE)))</formula>
    </cfRule>
    <cfRule type="expression" dxfId="395" priority="51">
      <formula>AND(COUNT(F7:F10)&lt;2,IF(COUNT(D7:D10)=2,IF(AND(ISNUMBER(D8),COUNTIF(D7:D10,D8)=1,D8=MIN(D7:D10)),TRUE,FALSE)))</formula>
    </cfRule>
  </conditionalFormatting>
  <conditionalFormatting sqref="F9">
    <cfRule type="expression" dxfId="394" priority="46">
      <formula>AND(COUNT(F7:F10)&lt;2,IF(COUNT(E7:E10)=2,IF(AND(ISNUMBER(E9),COUNTIF(E7:E10,E9)=1,E9=MAX(E7:E10)),TRUE,FALSE)))</formula>
    </cfRule>
    <cfRule type="expression" dxfId="393" priority="50">
      <formula>AND(COUNT(F7:F10)&lt;2,IF(COUNT(D7:D10)=2,IF(AND(ISNUMBER(D9),COUNTIF(D7:D10,D9)=1,D9=MIN(D7:D10)),TRUE,FALSE)))</formula>
    </cfRule>
  </conditionalFormatting>
  <conditionalFormatting sqref="F10">
    <cfRule type="expression" dxfId="392" priority="45">
      <formula>AND(COUNT(F7:F10)&lt;2,IF(COUNT(E7:E10)=2,IF(AND(ISNUMBER(E10),COUNTIF(E7:E10,E10)=1,E10=MAX(E7:E10)),TRUE,FALSE)))</formula>
    </cfRule>
    <cfRule type="expression" dxfId="391" priority="49">
      <formula>AND(COUNT(F7:F10)&lt;2,IF(COUNT(D7:D10)=2,IF(AND(ISNUMBER(D10),COUNTIF(D7:D10,D10)=1,D10=MIN(D7:D10)),TRUE,FALSE)))</formula>
    </cfRule>
  </conditionalFormatting>
  <conditionalFormatting sqref="F7:F10">
    <cfRule type="aboveAverage" dxfId="390" priority="44"/>
  </conditionalFormatting>
  <conditionalFormatting sqref="D7">
    <cfRule type="expression" dxfId="389" priority="43">
      <formula>AND(COUNT(D7:D10)&lt;2,IF(ISNUMBER(C10),C7&gt;C10))</formula>
    </cfRule>
  </conditionalFormatting>
  <conditionalFormatting sqref="D8">
    <cfRule type="expression" dxfId="388" priority="42">
      <formula>AND(COUNT(D7:D10)&lt;2,IF(ISNUMBER(C9),C8&gt;C9))</formula>
    </cfRule>
  </conditionalFormatting>
  <conditionalFormatting sqref="D9">
    <cfRule type="expression" dxfId="387" priority="41">
      <formula>AND(COUNT(D7:D10)&lt;2,IF(ISNUMBER(C8),C9&gt;C8))</formula>
    </cfRule>
  </conditionalFormatting>
  <conditionalFormatting sqref="D10">
    <cfRule type="expression" dxfId="386" priority="40">
      <formula>AND(COUNT(D7:D10)&lt;2,IF(ISNUMBER(C7),C10&gt;C7))</formula>
    </cfRule>
  </conditionalFormatting>
  <conditionalFormatting sqref="D7:D10">
    <cfRule type="aboveAverage" dxfId="385" priority="39"/>
  </conditionalFormatting>
  <conditionalFormatting sqref="E16">
    <cfRule type="expression" dxfId="384" priority="38">
      <formula>AND(COUNT(E13:E16)&lt;2,IF(ISNUMBER(C16),C13&gt;C16))</formula>
    </cfRule>
  </conditionalFormatting>
  <conditionalFormatting sqref="E13">
    <cfRule type="expression" dxfId="383" priority="37">
      <formula>AND(COUNT(E13:E16)&lt;2,IF(ISNUMBER(C13),C16&gt;C13))</formula>
    </cfRule>
  </conditionalFormatting>
  <conditionalFormatting sqref="E14">
    <cfRule type="expression" dxfId="382" priority="36">
      <formula>AND(COUNT(E13:E16)&lt;2,IF(ISNUMBER(C14),C15&gt;C14))</formula>
    </cfRule>
  </conditionalFormatting>
  <conditionalFormatting sqref="E15">
    <cfRule type="expression" dxfId="381" priority="35">
      <formula>AND(COUNT(E13:E16)&lt;2,IF(ISNUMBER(C15),C14&gt;C15))</formula>
    </cfRule>
  </conditionalFormatting>
  <conditionalFormatting sqref="E13:E16">
    <cfRule type="aboveAverage" dxfId="380" priority="34"/>
  </conditionalFormatting>
  <conditionalFormatting sqref="F13">
    <cfRule type="expression" dxfId="379" priority="29">
      <formula>AND(COUNT(F13:F16)&lt;2,IF(COUNT(E13:E16)=2,IF(AND(ISNUMBER(E13),COUNTIF(E13:E16,E13)=1,E13=MAX(E13:E16)),TRUE,FALSE)))</formula>
    </cfRule>
    <cfRule type="expression" dxfId="378" priority="33">
      <formula>AND(COUNT(F13:F16)&lt;2,IF(COUNT(D13:D16)=2,IF(AND(ISNUMBER(D13),COUNTIF(D13:D16,D13)=1,D13=MIN(D13:D16)),TRUE,FALSE)))</formula>
    </cfRule>
  </conditionalFormatting>
  <conditionalFormatting sqref="F14">
    <cfRule type="expression" dxfId="377" priority="28">
      <formula>AND(COUNT(F13:F16)&lt;2,IF(COUNT(E13:E16)=2,IF(AND(ISNUMBER(E14),COUNTIF(E13:E16,E14)=1,E14=MAX(E13:E16)),TRUE,FALSE)))</formula>
    </cfRule>
    <cfRule type="expression" dxfId="376" priority="32">
      <formula>AND(COUNT(F13:F16)&lt;2,IF(COUNT(D13:D16)=2,IF(AND(ISNUMBER(D14),COUNTIF(D13:D16,D14)=1,D14=MIN(D13:D16)),TRUE,FALSE)))</formula>
    </cfRule>
  </conditionalFormatting>
  <conditionalFormatting sqref="F15">
    <cfRule type="expression" dxfId="375" priority="27">
      <formula>AND(COUNT(F13:F16)&lt;2,IF(COUNT(E13:E16)=2,IF(AND(ISNUMBER(E15),COUNTIF(E13:E16,E15)=1,E15=MAX(E13:E16)),TRUE,FALSE)))</formula>
    </cfRule>
    <cfRule type="expression" dxfId="374" priority="31">
      <formula>AND(COUNT(F13:F16)&lt;2,IF(COUNT(D13:D16)=2,IF(AND(ISNUMBER(D15),COUNTIF(D13:D16,D15)=1,D15=MIN(D13:D16)),TRUE,FALSE)))</formula>
    </cfRule>
  </conditionalFormatting>
  <conditionalFormatting sqref="F16">
    <cfRule type="expression" dxfId="373" priority="26">
      <formula>AND(COUNT(F13:F16)&lt;2,IF(COUNT(E13:E16)=2,IF(AND(ISNUMBER(E16),COUNTIF(E13:E16,E16)=1,E16=MAX(E13:E16)),TRUE,FALSE)))</formula>
    </cfRule>
    <cfRule type="expression" dxfId="372" priority="30">
      <formula>AND(COUNT(F13:F16)&lt;2,IF(COUNT(D13:D16)=2,IF(AND(ISNUMBER(D16),COUNTIF(D13:D16,D16)=1,D16=MIN(D13:D16)),TRUE,FALSE)))</formula>
    </cfRule>
  </conditionalFormatting>
  <conditionalFormatting sqref="F13:F16">
    <cfRule type="aboveAverage" dxfId="371" priority="25"/>
  </conditionalFormatting>
  <conditionalFormatting sqref="D13">
    <cfRule type="expression" dxfId="370" priority="24">
      <formula>AND(COUNT(D13:D16)&lt;2,IF(ISNUMBER(C16),C13&gt;C16))</formula>
    </cfRule>
  </conditionalFormatting>
  <conditionalFormatting sqref="D14">
    <cfRule type="expression" dxfId="369" priority="23">
      <formula>AND(COUNT(D13:D16)&lt;2,IF(ISNUMBER(C15),C14&gt;C15))</formula>
    </cfRule>
  </conditionalFormatting>
  <conditionalFormatting sqref="D15">
    <cfRule type="expression" dxfId="368" priority="22">
      <formula>AND(COUNT(D13:D16)&lt;2,IF(ISNUMBER(C14),C15&gt;C14))</formula>
    </cfRule>
  </conditionalFormatting>
  <conditionalFormatting sqref="D16">
    <cfRule type="expression" dxfId="367" priority="21">
      <formula>AND(COUNT(D13:D16)&lt;2,IF(ISNUMBER(C13),C16&gt;C13))</formula>
    </cfRule>
  </conditionalFormatting>
  <conditionalFormatting sqref="D13:D16">
    <cfRule type="aboveAverage" dxfId="366" priority="20"/>
  </conditionalFormatting>
  <conditionalFormatting sqref="E22">
    <cfRule type="expression" dxfId="365" priority="19">
      <formula>AND(COUNT(E19:E22)&lt;2,IF(ISNUMBER(C22),C19&gt;C22))</formula>
    </cfRule>
  </conditionalFormatting>
  <conditionalFormatting sqref="E19">
    <cfRule type="expression" dxfId="364" priority="18">
      <formula>AND(COUNT(E19:E22)&lt;2,IF(ISNUMBER(C19),C22&gt;C19))</formula>
    </cfRule>
  </conditionalFormatting>
  <conditionalFormatting sqref="E20">
    <cfRule type="expression" dxfId="363" priority="17">
      <formula>AND(COUNT(E19:E22)&lt;2,IF(ISNUMBER(C20),C21&gt;C20))</formula>
    </cfRule>
  </conditionalFormatting>
  <conditionalFormatting sqref="E21">
    <cfRule type="expression" dxfId="362" priority="16">
      <formula>AND(COUNT(E19:E22)&lt;2,IF(ISNUMBER(C21),C20&gt;C21))</formula>
    </cfRule>
  </conditionalFormatting>
  <conditionalFormatting sqref="E19:E22">
    <cfRule type="aboveAverage" dxfId="361" priority="15"/>
  </conditionalFormatting>
  <conditionalFormatting sqref="F19">
    <cfRule type="expression" dxfId="360" priority="10">
      <formula>AND(COUNT(F19:F22)&lt;2,IF(COUNT(E19:E22)=2,IF(AND(ISNUMBER(E19),COUNTIF(E19:E22,E19)=1,E19=MAX(E19:E22)),TRUE,FALSE)))</formula>
    </cfRule>
    <cfRule type="expression" dxfId="359" priority="14">
      <formula>AND(COUNT(F19:F22)&lt;2,IF(COUNT(D19:D22)=2,IF(AND(ISNUMBER(D19),COUNTIF(D19:D22,D19)=1,D19=MIN(D19:D22)),TRUE,FALSE)))</formula>
    </cfRule>
  </conditionalFormatting>
  <conditionalFormatting sqref="F20">
    <cfRule type="expression" dxfId="358" priority="9">
      <formula>AND(COUNT(F19:F22)&lt;2,IF(COUNT(E19:E22)=2,IF(AND(ISNUMBER(E20),COUNTIF(E19:E22,E20)=1,E20=MAX(E19:E22)),TRUE,FALSE)))</formula>
    </cfRule>
    <cfRule type="expression" dxfId="357" priority="13">
      <formula>AND(COUNT(F19:F22)&lt;2,IF(COUNT(D19:D22)=2,IF(AND(ISNUMBER(D20),COUNTIF(D19:D22,D20)=1,D20=MIN(D19:D22)),TRUE,FALSE)))</formula>
    </cfRule>
  </conditionalFormatting>
  <conditionalFormatting sqref="F21">
    <cfRule type="expression" dxfId="356" priority="8">
      <formula>AND(COUNT(F19:F22)&lt;2,IF(COUNT(E19:E22)=2,IF(AND(ISNUMBER(E21),COUNTIF(E19:E22,E21)=1,E21=MAX(E19:E22)),TRUE,FALSE)))</formula>
    </cfRule>
    <cfRule type="expression" dxfId="355" priority="12">
      <formula>AND(COUNT(F19:F22)&lt;2,IF(COUNT(D19:D22)=2,IF(AND(ISNUMBER(D21),COUNTIF(D19:D22,D21)=1,D21=MIN(D19:D22)),TRUE,FALSE)))</formula>
    </cfRule>
  </conditionalFormatting>
  <conditionalFormatting sqref="F22">
    <cfRule type="expression" dxfId="354" priority="7">
      <formula>AND(COUNT(F19:F22)&lt;2,IF(COUNT(E19:E22)=2,IF(AND(ISNUMBER(E22),COUNTIF(E19:E22,E22)=1,E22=MAX(E19:E22)),TRUE,FALSE)))</formula>
    </cfRule>
    <cfRule type="expression" dxfId="353" priority="11">
      <formula>AND(COUNT(F19:F22)&lt;2,IF(COUNT(D19:D22)=2,IF(AND(ISNUMBER(D22),COUNTIF(D19:D22,D22)=1,D22=MIN(D19:D22)),TRUE,FALSE)))</formula>
    </cfRule>
  </conditionalFormatting>
  <conditionalFormatting sqref="F19:F22">
    <cfRule type="aboveAverage" dxfId="352" priority="6"/>
  </conditionalFormatting>
  <conditionalFormatting sqref="D19">
    <cfRule type="expression" dxfId="351" priority="5">
      <formula>AND(COUNT(D19:D22)&lt;2,IF(ISNUMBER(C22),C19&gt;C22))</formula>
    </cfRule>
  </conditionalFormatting>
  <conditionalFormatting sqref="D20">
    <cfRule type="expression" dxfId="350" priority="4">
      <formula>AND(COUNT(D19:D22)&lt;2,IF(ISNUMBER(C21),C20&gt;C21))</formula>
    </cfRule>
  </conditionalFormatting>
  <conditionalFormatting sqref="D21">
    <cfRule type="expression" dxfId="349" priority="3">
      <formula>AND(COUNT(D19:D22)&lt;2,IF(ISNUMBER(C20),C21&gt;C20))</formula>
    </cfRule>
  </conditionalFormatting>
  <conditionalFormatting sqref="D22">
    <cfRule type="expression" dxfId="348" priority="2">
      <formula>AND(COUNT(D19:D22)&lt;2,IF(ISNUMBER(C19),C22&gt;C19))</formula>
    </cfRule>
  </conditionalFormatting>
  <conditionalFormatting sqref="D19:D22">
    <cfRule type="aboveAverage" dxfId="347" priority="1"/>
  </conditionalFormatting>
  <pageMargins left="0.78740157480314965" right="0.39370078740157483" top="0.78740157480314965" bottom="0.31496062992125984" header="0.59055118110236227" footer="0"/>
  <pageSetup paperSize="9" scale="98" fitToHeight="0" orientation="landscape" verticalDpi="1200" r:id="rId1"/>
  <headerFooter>
    <oddHeader>&amp;R&amp;"Arial,Regular"&amp;9Page &amp;P of &amp;N</oddHeader>
  </headerFooter>
  <rowBreaks count="2" manualBreakCount="2">
    <brk id="22" max="16383" man="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315"/>
  <sheetViews>
    <sheetView showGridLines="0" showRowColHeader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79" customWidth="1"/>
    <col min="2" max="2" width="46.42578125" style="79"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3" width="9.140625" style="79" customWidth="1"/>
    <col min="14" max="16384" width="9.140625" style="79"/>
  </cols>
  <sheetData>
    <row r="1" spans="1:13" x14ac:dyDescent="0.2">
      <c r="A1" s="72" t="str">
        <f>UPPER((Kalend!E10)&amp;" - "&amp;(Kalend!C10)&amp;" - "&amp;(Kalend!D10))</f>
        <v>3 - EESTI REITINGUVÕISTLUS - DUO</v>
      </c>
      <c r="D1" s="41" t="str">
        <f>HYPERLINK("#'Kalend'!I1","Kalender")</f>
        <v>Kalender</v>
      </c>
      <c r="F1" s="41" t="str">
        <f>HYPERLINK("#Üldreiting!s1","Reiting")</f>
        <v>Reiting</v>
      </c>
    </row>
    <row r="2" spans="1:13" x14ac:dyDescent="0.2">
      <c r="A2" s="79" t="str">
        <f>"Toimumisaeg: "&amp;(Kalend!A10)&amp;" kell "&amp;(Kalend!B10)</f>
        <v>Toimumisaeg: P, 26.11.2017 kell 10:00</v>
      </c>
    </row>
    <row r="3" spans="1:13" x14ac:dyDescent="0.2">
      <c r="A3" s="79" t="str">
        <f>"Toimumiskoht: "&amp;(Kalend!F10)</f>
        <v>Toimumiskoht: Tallinn, Algi 38</v>
      </c>
    </row>
    <row r="4" spans="1:13" x14ac:dyDescent="0.2">
      <c r="A4" s="79" t="str">
        <f>"Korraldaja: "&amp;(Kalend!G10)</f>
        <v>Korraldaja: EPKL</v>
      </c>
    </row>
    <row r="6" spans="1:13" s="30" customFormat="1" x14ac:dyDescent="0.2">
      <c r="A6" s="296" t="s">
        <v>291</v>
      </c>
      <c r="B6" s="351"/>
      <c r="C6" s="31" t="s">
        <v>232</v>
      </c>
      <c r="D6" s="296" t="s">
        <v>61</v>
      </c>
      <c r="E6" s="296" t="s">
        <v>62</v>
      </c>
      <c r="F6" s="31" t="s">
        <v>63</v>
      </c>
      <c r="G6" s="31" t="s">
        <v>19</v>
      </c>
      <c r="H6" s="79"/>
      <c r="I6" s="79"/>
      <c r="J6" s="79"/>
      <c r="K6" s="79"/>
      <c r="L6" s="79"/>
      <c r="M6" s="79"/>
    </row>
    <row r="7" spans="1:13" s="30" customFormat="1" x14ac:dyDescent="0.2">
      <c r="A7" s="296">
        <v>1</v>
      </c>
      <c r="B7" s="186"/>
      <c r="C7" s="124" t="str">
        <f>IF(B10="-",13,"")</f>
        <v/>
      </c>
      <c r="D7" s="124"/>
      <c r="E7" s="32"/>
      <c r="F7" s="314"/>
      <c r="G7" s="32" t="str">
        <f>IF(AND(COUNT(F7:F10)=2,F7=MAX(F7:F10),COUNT(C7:F7)=3),A6&amp;"2",IF(AND(COUNT(E7:E10)=2,ISNUMBER(E7),E7=MIN(E7:E10),D7="",F7=""),A6&amp;"4",IF(AND(COUNT(D7:D10)=2,D7=MAX(D7:D10),E7="",F7=""),A6&amp;"1",IF(COUNT(F7:F10)=2,A6&amp;"3",""))))</f>
        <v/>
      </c>
      <c r="H7" s="79"/>
      <c r="I7" s="79"/>
      <c r="J7" s="79"/>
      <c r="K7" s="79"/>
      <c r="L7" s="79"/>
      <c r="M7" s="79"/>
    </row>
    <row r="8" spans="1:13" s="30" customFormat="1" x14ac:dyDescent="0.2">
      <c r="A8" s="296">
        <v>2</v>
      </c>
      <c r="B8" s="122"/>
      <c r="C8" s="336"/>
      <c r="D8" s="124"/>
      <c r="E8" s="32" t="str">
        <f>IF(AND(B10="-",ISNUMBER(C8),C8&lt;C9),13,"")</f>
        <v/>
      </c>
      <c r="F8" s="314"/>
      <c r="G8" s="32" t="str">
        <f>IF(AND(COUNT(F7:F10)=2,F8=MAX(F7:F10),COUNT(C8:F8)=3),A6&amp;"2",IF(AND(COUNT(E7:E10)=2,ISNUMBER(E8),E8=MIN(E7:E10),D8="",F8=""),A6&amp;"4",IF(AND(COUNT(D7:D10)=2,D8=MAX(D7:D10),E8="",F8=""),A6&amp;"1",IF(COUNT(F7:F10)=2,A6&amp;"3",""))))</f>
        <v/>
      </c>
      <c r="H8" s="79"/>
      <c r="I8" s="79"/>
      <c r="J8" s="79"/>
      <c r="K8" s="79"/>
      <c r="L8" s="79"/>
      <c r="M8" s="79"/>
    </row>
    <row r="9" spans="1:13" s="30" customFormat="1" x14ac:dyDescent="0.2">
      <c r="A9" s="296">
        <v>3</v>
      </c>
      <c r="B9" s="122"/>
      <c r="C9" s="336"/>
      <c r="D9" s="32"/>
      <c r="E9" s="32" t="str">
        <f>IF(AND(B10="-",ISNUMBER(C9),C9&lt;C8),13,"")</f>
        <v/>
      </c>
      <c r="F9" s="314"/>
      <c r="G9" s="32" t="str">
        <f>IF(AND(COUNT(F7:F10)=2,F9=MAX(F7:F10),COUNT(C9:F9)=3),A6&amp;"2",IF(AND(COUNT(E7:E10)=2,ISNUMBER(E9),E9=MIN(E7:E10),D9="",F9=""),A6&amp;"4",IF(AND(COUNT(D7:D10)=2,D9=MAX(D7:D10),E9="",F9=""),A6&amp;"1",IF(COUNT(F7:F10)=2,A6&amp;"3",""))))</f>
        <v/>
      </c>
      <c r="H9" s="79"/>
      <c r="I9" s="79"/>
      <c r="J9" s="79"/>
      <c r="K9" s="79"/>
      <c r="L9" s="79"/>
      <c r="M9" s="79"/>
    </row>
    <row r="10" spans="1:13" s="30" customFormat="1" x14ac:dyDescent="0.2">
      <c r="A10" s="296">
        <v>4</v>
      </c>
      <c r="B10" s="123"/>
      <c r="C10" s="124" t="str">
        <f>IF(B10="-",0,"")</f>
        <v/>
      </c>
      <c r="D10" s="124"/>
      <c r="E10" s="32" t="str">
        <f>IF(B10="-",0,"")</f>
        <v/>
      </c>
      <c r="F10" s="314"/>
      <c r="G10" s="32" t="str">
        <f>IF(AND(COUNT(F7:F10)=2,F10=MAX(F7:F10),COUNT(C10:F10)=3),A6&amp;"2",IF(AND(COUNT(E7:E10)=2,ISNUMBER(E10),E10=MIN(E7:E10),D10="",F10=""),A6&amp;"4",IF(AND(COUNT(D7:D10)=2,D10=MAX(D7:D10),E10="",F10=""),A6&amp;"1",IF(COUNT(F7:F10)=2,A6&amp;"3",""))))</f>
        <v/>
      </c>
      <c r="H10" s="79"/>
      <c r="I10" s="79"/>
      <c r="J10" s="79"/>
      <c r="K10" s="79"/>
      <c r="L10" s="79"/>
      <c r="M10" s="79"/>
    </row>
    <row r="11" spans="1:13" x14ac:dyDescent="0.2">
      <c r="B11" s="353" t="s">
        <v>81</v>
      </c>
      <c r="G11" s="353" t="s">
        <v>81</v>
      </c>
    </row>
    <row r="12" spans="1:13" s="30" customFormat="1" x14ac:dyDescent="0.2">
      <c r="A12" s="296" t="s">
        <v>275</v>
      </c>
      <c r="B12" s="351"/>
      <c r="C12" s="31" t="s">
        <v>232</v>
      </c>
      <c r="D12" s="296" t="s">
        <v>61</v>
      </c>
      <c r="E12" s="296" t="s">
        <v>62</v>
      </c>
      <c r="F12" s="31" t="s">
        <v>63</v>
      </c>
      <c r="G12" s="31" t="s">
        <v>19</v>
      </c>
      <c r="H12" s="79"/>
      <c r="I12" s="79"/>
      <c r="J12" s="79"/>
      <c r="K12" s="79"/>
      <c r="L12" s="79"/>
      <c r="M12" s="79"/>
    </row>
    <row r="13" spans="1:13" s="30" customFormat="1" x14ac:dyDescent="0.2">
      <c r="A13" s="296">
        <v>1</v>
      </c>
      <c r="B13" s="186"/>
      <c r="C13" s="124" t="str">
        <f>IF(B16="-",13,"")</f>
        <v/>
      </c>
      <c r="D13" s="124"/>
      <c r="E13" s="32"/>
      <c r="F13" s="314"/>
      <c r="G13" s="32" t="str">
        <f>IF(AND(COUNT(F13:F16)=2,F13=MAX(F13:F16),COUNT(C13:F13)=3),A12&amp;"2",IF(AND(COUNT(E13:E16)=2,ISNUMBER(E13),E13=MIN(E13:E16),D13="",F13=""),A12&amp;"4",IF(AND(COUNT(D13:D16)=2,D13=MAX(D13:D16),E13="",F13=""),A12&amp;"1",IF(COUNT(F13:F16)=2,A12&amp;"3",""))))</f>
        <v/>
      </c>
      <c r="H13" s="79"/>
      <c r="I13" s="79"/>
      <c r="J13" s="79"/>
      <c r="K13" s="79"/>
      <c r="L13" s="79"/>
      <c r="M13" s="79"/>
    </row>
    <row r="14" spans="1:13" s="30" customFormat="1" x14ac:dyDescent="0.2">
      <c r="A14" s="296">
        <v>2</v>
      </c>
      <c r="B14" s="122"/>
      <c r="C14" s="336"/>
      <c r="D14" s="124"/>
      <c r="E14" s="32" t="str">
        <f>IF(AND(B16="-",ISNUMBER(C14),C14&lt;C15),13,"")</f>
        <v/>
      </c>
      <c r="F14" s="314"/>
      <c r="G14" s="32" t="str">
        <f>IF(AND(COUNT(F13:F16)=2,F14=MAX(F13:F16),COUNT(C14:F14)=3),A12&amp;"2",IF(AND(COUNT(E13:E16)=2,ISNUMBER(E14),E14=MIN(E13:E16),D14="",F14=""),A12&amp;"4",IF(AND(COUNT(D13:D16)=2,D14=MAX(D13:D16),E14="",F14=""),A12&amp;"1",IF(COUNT(F13:F16)=2,A12&amp;"3",""))))</f>
        <v/>
      </c>
      <c r="H14" s="79"/>
      <c r="I14" s="79"/>
      <c r="J14" s="79"/>
      <c r="K14" s="79"/>
      <c r="L14" s="79"/>
      <c r="M14" s="79"/>
    </row>
    <row r="15" spans="1:13" s="30" customFormat="1" x14ac:dyDescent="0.2">
      <c r="A15" s="296">
        <v>3</v>
      </c>
      <c r="B15" s="122"/>
      <c r="C15" s="336"/>
      <c r="D15" s="32"/>
      <c r="E15" s="32" t="str">
        <f>IF(AND(B16="-",ISNUMBER(C15),C15&lt;C14),13,"")</f>
        <v/>
      </c>
      <c r="F15" s="314"/>
      <c r="G15" s="32" t="str">
        <f>IF(AND(COUNT(F13:F16)=2,F15=MAX(F13:F16),COUNT(C15:F15)=3),A12&amp;"2",IF(AND(COUNT(E13:E16)=2,ISNUMBER(E15),E15=MIN(E13:E16),D15="",F15=""),A12&amp;"4",IF(AND(COUNT(D13:D16)=2,D15=MAX(D13:D16),E15="",F15=""),A12&amp;"1",IF(COUNT(F13:F16)=2,A12&amp;"3",""))))</f>
        <v/>
      </c>
      <c r="H15" s="79"/>
      <c r="I15" s="79"/>
      <c r="J15" s="79"/>
      <c r="K15" s="79"/>
      <c r="L15" s="79"/>
      <c r="M15" s="79"/>
    </row>
    <row r="16" spans="1:13" s="30" customFormat="1" x14ac:dyDescent="0.2">
      <c r="A16" s="296">
        <v>4</v>
      </c>
      <c r="B16" s="123"/>
      <c r="C16" s="124" t="str">
        <f>IF(B16="-",0,"")</f>
        <v/>
      </c>
      <c r="D16" s="124"/>
      <c r="E16" s="32" t="str">
        <f>IF(B16="-",0,"")</f>
        <v/>
      </c>
      <c r="F16" s="314"/>
      <c r="G16" s="32" t="str">
        <f>IF(AND(COUNT(F13:F16)=2,F16=MAX(F13:F16),COUNT(C16:F16)=3),A12&amp;"2",IF(AND(COUNT(E13:E16)=2,ISNUMBER(E16),E16=MIN(E13:E16),D16="",F16=""),A12&amp;"4",IF(AND(COUNT(D13:D16)=2,D16=MAX(D13:D16),E16="",F16=""),A12&amp;"1",IF(COUNT(F13:F16)=2,A12&amp;"3",""))))</f>
        <v/>
      </c>
      <c r="H16" s="79"/>
      <c r="I16" s="79"/>
      <c r="J16" s="79"/>
      <c r="K16" s="79"/>
      <c r="L16" s="79"/>
      <c r="M16" s="79"/>
    </row>
    <row r="18" spans="1:13" s="30" customFormat="1" x14ac:dyDescent="0.2">
      <c r="A18" s="296" t="s">
        <v>292</v>
      </c>
      <c r="B18" s="351"/>
      <c r="C18" s="31" t="s">
        <v>232</v>
      </c>
      <c r="D18" s="296" t="s">
        <v>61</v>
      </c>
      <c r="E18" s="296" t="s">
        <v>62</v>
      </c>
      <c r="F18" s="31" t="s">
        <v>63</v>
      </c>
      <c r="G18" s="31" t="s">
        <v>19</v>
      </c>
      <c r="H18" s="79"/>
      <c r="I18" s="79"/>
      <c r="J18" s="79"/>
      <c r="K18" s="79"/>
      <c r="L18" s="79"/>
      <c r="M18" s="79"/>
    </row>
    <row r="19" spans="1:13" s="30" customFormat="1" x14ac:dyDescent="0.2">
      <c r="A19" s="296">
        <v>1</v>
      </c>
      <c r="B19" s="186"/>
      <c r="C19" s="124" t="str">
        <f>IF(B22="-",13,"")</f>
        <v/>
      </c>
      <c r="D19" s="124"/>
      <c r="E19" s="32"/>
      <c r="F19" s="314"/>
      <c r="G19" s="32" t="str">
        <f>IF(AND(COUNT(F19:F22)=2,F19=MAX(F19:F22),COUNT(C19:F19)=3),A18&amp;"2",IF(AND(COUNT(E19:E22)=2,ISNUMBER(E19),E19=MIN(E19:E22),D19="",F19=""),A18&amp;"4",IF(AND(COUNT(D19:D22)=2,D19=MAX(D19:D22),E19="",F19=""),A18&amp;"1",IF(COUNT(F19:F22)=2,A18&amp;"3",""))))</f>
        <v/>
      </c>
      <c r="H19" s="79"/>
      <c r="I19" s="79"/>
      <c r="J19" s="79"/>
      <c r="K19" s="79"/>
      <c r="L19" s="79"/>
      <c r="M19" s="79"/>
    </row>
    <row r="20" spans="1:13" s="30" customFormat="1" x14ac:dyDescent="0.2">
      <c r="A20" s="296">
        <v>2</v>
      </c>
      <c r="B20" s="122"/>
      <c r="C20" s="336"/>
      <c r="D20" s="124"/>
      <c r="E20" s="32" t="str">
        <f>IF(AND(B22="-",ISNUMBER(C20),C20&lt;C21),13,"")</f>
        <v/>
      </c>
      <c r="F20" s="314"/>
      <c r="G20" s="32" t="str">
        <f>IF(AND(COUNT(F19:F22)=2,F20=MAX(F19:F22),COUNT(C20:F20)=3),A18&amp;"2",IF(AND(COUNT(E19:E22)=2,ISNUMBER(E20),E20=MIN(E19:E22),D20="",F20=""),A18&amp;"4",IF(AND(COUNT(D19:D22)=2,D20=MAX(D19:D22),E20="",F20=""),A18&amp;"1",IF(COUNT(F19:F22)=2,A18&amp;"3",""))))</f>
        <v/>
      </c>
      <c r="H20" s="79"/>
      <c r="I20" s="79"/>
      <c r="J20" s="79"/>
      <c r="K20" s="79"/>
      <c r="L20" s="79"/>
      <c r="M20" s="79"/>
    </row>
    <row r="21" spans="1:13" s="30" customFormat="1" x14ac:dyDescent="0.2">
      <c r="A21" s="296">
        <v>3</v>
      </c>
      <c r="B21" s="122"/>
      <c r="C21" s="336"/>
      <c r="D21" s="32"/>
      <c r="E21" s="32" t="str">
        <f>IF(AND(B22="-",ISNUMBER(C21),C21&lt;C20),13,"")</f>
        <v/>
      </c>
      <c r="F21" s="314"/>
      <c r="G21" s="32" t="str">
        <f>IF(AND(COUNT(F19:F22)=2,F21=MAX(F19:F22),COUNT(C21:F21)=3),A18&amp;"2",IF(AND(COUNT(E19:E22)=2,ISNUMBER(E21),E21=MIN(E19:E22),D21="",F21=""),A18&amp;"4",IF(AND(COUNT(D19:D22)=2,D21=MAX(D19:D22),E21="",F21=""),A18&amp;"1",IF(COUNT(F19:F22)=2,A18&amp;"3",""))))</f>
        <v/>
      </c>
      <c r="H21" s="79"/>
      <c r="I21" s="79"/>
      <c r="J21" s="79"/>
      <c r="K21" s="79"/>
      <c r="L21" s="79"/>
      <c r="M21" s="79"/>
    </row>
    <row r="22" spans="1:13" s="30" customFormat="1" x14ac:dyDescent="0.2">
      <c r="A22" s="296">
        <v>4</v>
      </c>
      <c r="B22" s="123"/>
      <c r="C22" s="124" t="str">
        <f>IF(B22="-",0,"")</f>
        <v/>
      </c>
      <c r="D22" s="124"/>
      <c r="E22" s="32" t="str">
        <f>IF(B22="-",0,"")</f>
        <v/>
      </c>
      <c r="F22" s="314"/>
      <c r="G22" s="32" t="str">
        <f>IF(AND(COUNT(F19:F22)=2,F22=MAX(F19:F22),COUNT(C22:F22)=3),A18&amp;"2",IF(AND(COUNT(E19:E22)=2,ISNUMBER(E22),E22=MIN(E19:E22),D22="",F22=""),A18&amp;"4",IF(AND(COUNT(D19:D22)=2,D22=MAX(D19:D22),E22="",F22=""),A18&amp;"1",IF(COUNT(F19:F22)=2,A18&amp;"3",""))))</f>
        <v/>
      </c>
      <c r="H22" s="79"/>
      <c r="I22" s="79"/>
      <c r="J22" s="79"/>
      <c r="K22" s="79"/>
      <c r="L22" s="79"/>
      <c r="M22" s="79"/>
    </row>
    <row r="24" spans="1:13" s="30" customFormat="1" x14ac:dyDescent="0.2">
      <c r="A24" s="296" t="s">
        <v>293</v>
      </c>
      <c r="B24" s="351"/>
      <c r="C24" s="31" t="s">
        <v>232</v>
      </c>
      <c r="D24" s="296" t="s">
        <v>61</v>
      </c>
      <c r="E24" s="296" t="s">
        <v>62</v>
      </c>
      <c r="F24" s="31" t="s">
        <v>63</v>
      </c>
      <c r="G24" s="31" t="s">
        <v>19</v>
      </c>
      <c r="H24" s="79"/>
      <c r="I24" s="79"/>
      <c r="J24" s="79"/>
      <c r="K24" s="79"/>
      <c r="L24" s="79"/>
      <c r="M24" s="79"/>
    </row>
    <row r="25" spans="1:13" s="30" customFormat="1" x14ac:dyDescent="0.2">
      <c r="A25" s="296">
        <v>1</v>
      </c>
      <c r="B25" s="186"/>
      <c r="C25" s="124" t="str">
        <f>IF(B28="-",13,"")</f>
        <v/>
      </c>
      <c r="D25" s="124"/>
      <c r="E25" s="32"/>
      <c r="F25" s="314"/>
      <c r="G25" s="32" t="str">
        <f>IF(AND(COUNT(F25:F28)=2,F25=MAX(F25:F28),COUNT(C25:F25)=3),A24&amp;"2",IF(AND(COUNT(E25:E28)=2,ISNUMBER(E25),E25=MIN(E25:E28),D25="",F25=""),A24&amp;"4",IF(AND(COUNT(D25:D28)=2,D25=MAX(D25:D28),E25="",F25=""),A24&amp;"1",IF(COUNT(F25:F28)=2,A24&amp;"3",""))))</f>
        <v/>
      </c>
      <c r="H25" s="79"/>
      <c r="I25" s="79"/>
      <c r="J25" s="79"/>
      <c r="K25" s="79"/>
      <c r="L25" s="79"/>
      <c r="M25" s="79"/>
    </row>
    <row r="26" spans="1:13" s="30" customFormat="1" x14ac:dyDescent="0.2">
      <c r="A26" s="296">
        <v>2</v>
      </c>
      <c r="B26" s="122"/>
      <c r="C26" s="336"/>
      <c r="D26" s="124"/>
      <c r="E26" s="32" t="str">
        <f>IF(AND(B28="-",ISNUMBER(C26),C26&lt;C27),13,"")</f>
        <v/>
      </c>
      <c r="F26" s="314"/>
      <c r="G26" s="32" t="str">
        <f>IF(AND(COUNT(F25:F28)=2,F26=MAX(F25:F28),COUNT(C26:F26)=3),A24&amp;"2",IF(AND(COUNT(E25:E28)=2,ISNUMBER(E26),E26=MIN(E25:E28),D26="",F26=""),A24&amp;"4",IF(AND(COUNT(D25:D28)=2,D26=MAX(D25:D28),E26="",F26=""),A24&amp;"1",IF(COUNT(F25:F28)=2,A24&amp;"3",""))))</f>
        <v/>
      </c>
      <c r="H26" s="79"/>
      <c r="I26" s="79"/>
      <c r="J26" s="79"/>
      <c r="K26" s="79"/>
      <c r="L26" s="79"/>
      <c r="M26" s="79"/>
    </row>
    <row r="27" spans="1:13" s="30" customFormat="1" x14ac:dyDescent="0.2">
      <c r="A27" s="296">
        <v>3</v>
      </c>
      <c r="B27" s="122"/>
      <c r="C27" s="336"/>
      <c r="D27" s="32"/>
      <c r="E27" s="32" t="str">
        <f>IF(AND(B28="-",ISNUMBER(C27),C27&lt;C26),13,"")</f>
        <v/>
      </c>
      <c r="F27" s="314"/>
      <c r="G27" s="32" t="str">
        <f>IF(AND(COUNT(F25:F28)=2,F27=MAX(F25:F28),COUNT(C27:F27)=3),A24&amp;"2",IF(AND(COUNT(E25:E28)=2,ISNUMBER(E27),E27=MIN(E25:E28),D27="",F27=""),A24&amp;"4",IF(AND(COUNT(D25:D28)=2,D27=MAX(D25:D28),E27="",F27=""),A24&amp;"1",IF(COUNT(F25:F28)=2,A24&amp;"3",""))))</f>
        <v/>
      </c>
      <c r="H27" s="79"/>
      <c r="I27" s="79"/>
      <c r="J27" s="79"/>
      <c r="K27" s="79"/>
      <c r="L27" s="79"/>
      <c r="M27" s="79"/>
    </row>
    <row r="28" spans="1:13" s="30" customFormat="1" x14ac:dyDescent="0.2">
      <c r="A28" s="296">
        <v>4</v>
      </c>
      <c r="B28" s="123"/>
      <c r="C28" s="124" t="str">
        <f>IF(B28="-",0,"")</f>
        <v/>
      </c>
      <c r="D28" s="124"/>
      <c r="E28" s="32" t="str">
        <f>IF(B28="-",0,"")</f>
        <v/>
      </c>
      <c r="F28" s="314"/>
      <c r="G28" s="32" t="str">
        <f>IF(AND(COUNT(F25:F28)=2,F28=MAX(F25:F28),COUNT(C28:F28)=3),A24&amp;"2",IF(AND(COUNT(E25:E28)=2,ISNUMBER(E28),E28=MIN(E25:E28),D28="",F28=""),A24&amp;"4",IF(AND(COUNT(D25:D28)=2,D28=MAX(D25:D28),E28="",F28=""),A24&amp;"1",IF(COUNT(F25:F28)=2,A24&amp;"3",""))))</f>
        <v/>
      </c>
      <c r="H28" s="79"/>
      <c r="I28" s="79"/>
      <c r="J28" s="79"/>
      <c r="K28" s="79"/>
      <c r="L28" s="79"/>
      <c r="M28" s="79"/>
    </row>
    <row r="29" spans="1:13" s="30" customFormat="1" x14ac:dyDescent="0.2">
      <c r="A29" s="34"/>
      <c r="B29" s="38"/>
      <c r="C29" s="36"/>
      <c r="D29" s="36"/>
      <c r="E29" s="36"/>
      <c r="F29" s="36"/>
      <c r="G29" s="39"/>
    </row>
    <row r="30" spans="1:13" s="42" customFormat="1" x14ac:dyDescent="0.2">
      <c r="A30" s="60" t="s">
        <v>90</v>
      </c>
      <c r="B30" s="45"/>
      <c r="C30" s="35"/>
      <c r="D30" s="35"/>
      <c r="E30" s="35"/>
      <c r="F30" s="36"/>
      <c r="G30" s="37"/>
    </row>
    <row r="31" spans="1:13" s="42" customFormat="1" x14ac:dyDescent="0.2"/>
    <row r="32" spans="1:13" s="42" customFormat="1" x14ac:dyDescent="0.2">
      <c r="A32" s="61"/>
      <c r="B32" s="310" t="str">
        <f>IFERROR(INDEX(B$7:B$28,MATCH(A32,G$7:G$28,0)),"")</f>
        <v/>
      </c>
      <c r="C32" s="81" t="str">
        <f>IF(B32="-",0,IF(B34="-",13,""))</f>
        <v/>
      </c>
    </row>
    <row r="33" spans="1:9" s="42" customFormat="1" x14ac:dyDescent="0.2">
      <c r="A33" s="43"/>
      <c r="B33" s="311"/>
      <c r="C33" s="126" t="str">
        <f>IF(COUNT(C32,C34)=2,IF(C32&gt;C34,B32,B34),"")</f>
        <v/>
      </c>
      <c r="E33" s="81" t="str">
        <f>IF(C33="-",0,IF(C37="-",13,""))</f>
        <v/>
      </c>
    </row>
    <row r="34" spans="1:9" s="42" customFormat="1" x14ac:dyDescent="0.2">
      <c r="A34" s="43"/>
      <c r="B34" s="312" t="str">
        <f>IFERROR(INDEX(B$7:B$28,MATCH(A34,G$7:G$28,0)),"")</f>
        <v/>
      </c>
      <c r="C34" s="63" t="str">
        <f>IF(B34="-",0,IF(B32="-",13,""))</f>
        <v/>
      </c>
      <c r="D34" s="345"/>
    </row>
    <row r="35" spans="1:9" s="42" customFormat="1" x14ac:dyDescent="0.2">
      <c r="A35" s="43"/>
      <c r="B35" s="313"/>
      <c r="D35" s="46"/>
      <c r="E35" s="126" t="str">
        <f>IF(COUNT(E33,E37)=2,IF(E33&gt;E37,C33,C37),"")</f>
        <v/>
      </c>
      <c r="G35" s="81" t="str">
        <f>IF(E35="-",0,IF(E43="-",13,""))</f>
        <v/>
      </c>
    </row>
    <row r="36" spans="1:9" s="42" customFormat="1" x14ac:dyDescent="0.2">
      <c r="A36" s="43"/>
      <c r="B36" s="310" t="str">
        <f>IFERROR(INDEX(B$7:B$28,MATCH(A36,G$7:G$28,0)),"")</f>
        <v/>
      </c>
      <c r="C36" s="81" t="str">
        <f>IF(B36="-",0,IF(B38="-",13,""))</f>
        <v/>
      </c>
      <c r="D36" s="46"/>
      <c r="E36" s="343"/>
      <c r="F36" s="345"/>
    </row>
    <row r="37" spans="1:9" s="42" customFormat="1" x14ac:dyDescent="0.2">
      <c r="A37" s="43"/>
      <c r="B37" s="311"/>
      <c r="C37" s="126" t="str">
        <f>IF(COUNT(C36,C38)=2,IF(C36&gt;C38,B36,B38),"")</f>
        <v/>
      </c>
      <c r="D37" s="50"/>
      <c r="E37" s="63" t="str">
        <f>IF(C37="-",0,IF(C33="-",13,""))</f>
        <v/>
      </c>
      <c r="F37" s="46"/>
    </row>
    <row r="38" spans="1:9" s="42" customFormat="1" x14ac:dyDescent="0.2">
      <c r="A38" s="43"/>
      <c r="B38" s="312" t="str">
        <f>IFERROR(INDEX(B$7:B$28,MATCH(A38,G$7:G$28,0)),"")</f>
        <v/>
      </c>
      <c r="C38" s="63" t="str">
        <f>IF(B38="-",0,IF(B36="-",13,""))</f>
        <v/>
      </c>
      <c r="E38" s="45"/>
      <c r="F38" s="46"/>
    </row>
    <row r="39" spans="1:9" s="42" customFormat="1" ht="13.5" thickBot="1" x14ac:dyDescent="0.25">
      <c r="A39" s="52"/>
      <c r="B39" s="313"/>
      <c r="E39" s="45"/>
      <c r="F39" s="46"/>
      <c r="H39" s="224" t="str">
        <f>IF(COUNT(G35,G43)=2,IF(G35&gt;G43,E35,E43),"")</f>
        <v/>
      </c>
    </row>
    <row r="40" spans="1:9" s="42" customFormat="1" x14ac:dyDescent="0.2">
      <c r="A40" s="61"/>
      <c r="B40" s="310" t="str">
        <f>IFERROR(INDEX(B$7:B$28,MATCH(A40,G$7:G$28,0)),"")</f>
        <v/>
      </c>
      <c r="C40" s="81" t="str">
        <f>IF(B40="-",0,IF(B42="-",13,""))</f>
        <v/>
      </c>
      <c r="F40" s="46"/>
      <c r="G40" s="48"/>
      <c r="H40" s="62" t="s">
        <v>277</v>
      </c>
      <c r="I40" s="49"/>
    </row>
    <row r="41" spans="1:9" s="42" customFormat="1" x14ac:dyDescent="0.2">
      <c r="A41" s="43"/>
      <c r="B41" s="311"/>
      <c r="C41" s="126" t="str">
        <f>IF(COUNT(C40,C42)=2,IF(C40&gt;C42,B40,B42),"")</f>
        <v/>
      </c>
      <c r="E41" s="81" t="str">
        <f>IF(C41="-",0,IF(C45="-",13,""))</f>
        <v/>
      </c>
      <c r="F41" s="46"/>
      <c r="G41" s="45"/>
    </row>
    <row r="42" spans="1:9" s="42" customFormat="1" x14ac:dyDescent="0.2">
      <c r="A42" s="43"/>
      <c r="B42" s="312" t="str">
        <f>IFERROR(INDEX(B$7:B$28,MATCH(A42,G$7:G$28,0)),"")</f>
        <v/>
      </c>
      <c r="C42" s="63" t="str">
        <f>IF(B42="-",0,IF(B40="-",13,""))</f>
        <v/>
      </c>
      <c r="D42" s="345"/>
      <c r="F42" s="46"/>
      <c r="G42" s="45"/>
    </row>
    <row r="43" spans="1:9" s="42" customFormat="1" x14ac:dyDescent="0.2">
      <c r="A43" s="43"/>
      <c r="B43" s="313"/>
      <c r="D43" s="46"/>
      <c r="E43" s="126" t="str">
        <f>IF(COUNT(E41,E45)=2,IF(E41&gt;E45,C41,C45),"")</f>
        <v/>
      </c>
      <c r="F43" s="50"/>
      <c r="G43" s="63" t="str">
        <f>IF(E43="-",0,IF(E35="-",13,""))</f>
        <v/>
      </c>
    </row>
    <row r="44" spans="1:9" s="42" customFormat="1" ht="13.5" thickBot="1" x14ac:dyDescent="0.25">
      <c r="A44" s="43"/>
      <c r="B44" s="310" t="str">
        <f>IFERROR(INDEX(B$7:B$28,MATCH(A44,G$7:G$28,0)),"")</f>
        <v/>
      </c>
      <c r="C44" s="81" t="str">
        <f>IF(B44="-",0,IF(B46="-",13,""))</f>
        <v/>
      </c>
      <c r="D44" s="46"/>
      <c r="E44" s="343"/>
      <c r="F44" s="45"/>
      <c r="G44" s="45"/>
      <c r="H44" s="224" t="str">
        <f>IF(COUNT(G35,G43)=2,IF(G35&lt;G43,E35,E43),"")</f>
        <v/>
      </c>
      <c r="I44" s="47"/>
    </row>
    <row r="45" spans="1:9" s="42" customFormat="1" x14ac:dyDescent="0.2">
      <c r="A45" s="43"/>
      <c r="B45" s="311"/>
      <c r="C45" s="126" t="str">
        <f>IF(COUNT(C44,C46)=2,IF(C44&gt;C46,B44,B46),"")</f>
        <v/>
      </c>
      <c r="D45" s="50"/>
      <c r="E45" s="63" t="str">
        <f>IF(C45="-",0,IF(C41="-",13,""))</f>
        <v/>
      </c>
      <c r="G45" s="45"/>
      <c r="H45" s="62" t="s">
        <v>278</v>
      </c>
      <c r="I45" s="45"/>
    </row>
    <row r="46" spans="1:9" s="42" customFormat="1" x14ac:dyDescent="0.2">
      <c r="A46" s="43"/>
      <c r="B46" s="312" t="str">
        <f>IFERROR(INDEX(B$7:B$28,MATCH(A46,G$7:G$28,0)),"")</f>
        <v/>
      </c>
      <c r="C46" s="63" t="str">
        <f>IF(B46="-",0,IF(B44="-",13,""))</f>
        <v/>
      </c>
      <c r="E46" s="45"/>
      <c r="F46" s="45"/>
      <c r="G46" s="45"/>
    </row>
    <row r="47" spans="1:9" s="42" customFormat="1" x14ac:dyDescent="0.2">
      <c r="A47" s="52"/>
      <c r="B47" s="313"/>
      <c r="E47" s="223" t="str">
        <f>IF(COUNT(E33,E37)=2,IF(E33&lt;E37,C33,C37),"")</f>
        <v/>
      </c>
      <c r="G47" s="81" t="str">
        <f>IF(E47="-",0,IF(E49="-",13,""))</f>
        <v/>
      </c>
    </row>
    <row r="48" spans="1:9" s="42" customFormat="1" ht="13.5" thickBot="1" x14ac:dyDescent="0.25">
      <c r="E48" s="309"/>
      <c r="F48" s="345"/>
      <c r="G48" s="47"/>
      <c r="H48" s="224" t="str">
        <f>IF(COUNT(G47,G49)=2,IF(G47&gt;G49,E47,E49),"")</f>
        <v/>
      </c>
      <c r="I48" s="47"/>
    </row>
    <row r="49" spans="1:10" s="42" customFormat="1" x14ac:dyDescent="0.2">
      <c r="E49" s="127" t="str">
        <f>IF(COUNT(E41,E45)=2,IF(E41&lt;E45,C41,C45),"")</f>
        <v/>
      </c>
      <c r="F49" s="50"/>
      <c r="G49" s="63" t="str">
        <f>IF(E49="-",0,IF(E47="-",13,""))</f>
        <v/>
      </c>
      <c r="H49" s="53" t="s">
        <v>279</v>
      </c>
      <c r="I49" s="45"/>
    </row>
    <row r="50" spans="1:10" s="42" customFormat="1" x14ac:dyDescent="0.2">
      <c r="H50" s="45"/>
      <c r="I50" s="45"/>
    </row>
    <row r="51" spans="1:10" s="42" customFormat="1" ht="13.5" thickBot="1" x14ac:dyDescent="0.25">
      <c r="E51" s="45"/>
      <c r="F51" s="45"/>
      <c r="H51" s="224" t="str">
        <f>IF(COUNT(G47,G49)=2,IF(G47&lt;G49,E47,E49),"")</f>
        <v/>
      </c>
      <c r="I51" s="47"/>
    </row>
    <row r="52" spans="1:10" s="42" customFormat="1" x14ac:dyDescent="0.2">
      <c r="H52" s="52" t="s">
        <v>75</v>
      </c>
    </row>
    <row r="53" spans="1:10" s="42" customFormat="1" x14ac:dyDescent="0.2">
      <c r="J53" s="52"/>
    </row>
    <row r="54" spans="1:10" s="42" customFormat="1" x14ac:dyDescent="0.2">
      <c r="A54" s="64" t="s">
        <v>95</v>
      </c>
      <c r="G54" s="45"/>
      <c r="H54" s="45"/>
      <c r="J54" s="52"/>
    </row>
    <row r="55" spans="1:10" s="42" customFormat="1" x14ac:dyDescent="0.2">
      <c r="A55" s="125"/>
      <c r="G55" s="45"/>
      <c r="H55" s="45"/>
      <c r="J55" s="52"/>
    </row>
    <row r="56" spans="1:10" s="42" customFormat="1" x14ac:dyDescent="0.2">
      <c r="C56" s="127" t="str">
        <f>IF(COUNT(C32,C34)=2,IF(C32&lt;C34,B32,B34),"")</f>
        <v/>
      </c>
      <c r="E56" s="81" t="str">
        <f>IF(C56="-",0,IF(C58="-",13,""))</f>
        <v/>
      </c>
      <c r="F56" s="81"/>
      <c r="G56" s="81"/>
    </row>
    <row r="57" spans="1:10" s="42" customFormat="1" x14ac:dyDescent="0.2">
      <c r="C57" s="65"/>
      <c r="D57" s="66"/>
      <c r="E57" s="126" t="str">
        <f>IF(COUNT(E56,E58)=2,IF(E56&gt;E58,C56,C58),"")</f>
        <v/>
      </c>
      <c r="G57" s="81" t="str">
        <f>IF(E57="-",0,IF(E61="-",13,""))</f>
        <v/>
      </c>
    </row>
    <row r="58" spans="1:10" s="42" customFormat="1" x14ac:dyDescent="0.2">
      <c r="C58" s="127" t="str">
        <f>IF(COUNT(C36,C38)=2,IF(C36&lt;C38,B36,B38),"")</f>
        <v/>
      </c>
      <c r="D58" s="67"/>
      <c r="E58" s="63" t="str">
        <f>IF(C58="-",0,IF(C56="-",13,""))</f>
        <v/>
      </c>
      <c r="F58" s="66"/>
      <c r="G58" s="81"/>
    </row>
    <row r="59" spans="1:10" s="42" customFormat="1" ht="13.5" thickBot="1" x14ac:dyDescent="0.25">
      <c r="C59" s="81"/>
      <c r="D59" s="81"/>
      <c r="E59" s="51"/>
      <c r="F59" s="68"/>
      <c r="G59" s="81"/>
      <c r="H59" s="224" t="str">
        <f>IF(COUNT(G57,G61)=2,IF(G57&gt;G61,E57,E61),"")</f>
        <v/>
      </c>
    </row>
    <row r="60" spans="1:10" s="42" customFormat="1" x14ac:dyDescent="0.2">
      <c r="C60" s="127" t="str">
        <f>IF(COUNT(C40,C42)=2,IF(C40&lt;C42,B40,B42),"")</f>
        <v/>
      </c>
      <c r="D60" s="81"/>
      <c r="E60" s="81" t="str">
        <f>IF(C60="-",0,IF(C62="-",13,""))</f>
        <v/>
      </c>
      <c r="F60" s="68"/>
      <c r="G60" s="69"/>
      <c r="H60" s="62" t="s">
        <v>76</v>
      </c>
      <c r="I60" s="49"/>
    </row>
    <row r="61" spans="1:10" s="42" customFormat="1" x14ac:dyDescent="0.2">
      <c r="C61" s="65"/>
      <c r="D61" s="66"/>
      <c r="E61" s="126" t="str">
        <f>IF(COUNT(E60,E62)=2,IF(E60&gt;E62,C60,C62),"")</f>
        <v/>
      </c>
      <c r="F61" s="50"/>
      <c r="G61" s="63" t="str">
        <f>IF(E61="-",0,IF(E57="-",13,""))</f>
        <v/>
      </c>
    </row>
    <row r="62" spans="1:10" s="42" customFormat="1" ht="13.5" thickBot="1" x14ac:dyDescent="0.25">
      <c r="C62" s="127" t="str">
        <f>IF(COUNT(C44,C46)=2,IF(C44&lt;C46,B44,B46),"")</f>
        <v/>
      </c>
      <c r="D62" s="67"/>
      <c r="E62" s="63" t="str">
        <f>IF(C62="-",0,IF(C60="-",13,""))</f>
        <v/>
      </c>
      <c r="F62" s="81"/>
      <c r="G62" s="51"/>
      <c r="H62" s="224" t="str">
        <f>IF(COUNT(G57,G61)=2,IF(G57&lt;G61,E57,E61),"")</f>
        <v/>
      </c>
      <c r="I62" s="47"/>
    </row>
    <row r="63" spans="1:10" s="42" customFormat="1" x14ac:dyDescent="0.2">
      <c r="C63" s="81"/>
      <c r="D63" s="81"/>
      <c r="E63" s="81"/>
      <c r="F63" s="81"/>
      <c r="G63" s="51"/>
      <c r="H63" s="62" t="s">
        <v>77</v>
      </c>
      <c r="I63" s="45"/>
    </row>
    <row r="64" spans="1:10" s="42" customFormat="1" x14ac:dyDescent="0.2">
      <c r="C64" s="81"/>
      <c r="D64" s="51"/>
      <c r="E64" s="223" t="str">
        <f>IF(COUNT(E56,E58)=2,IF(E56&lt;E58,C56,C58),"")</f>
        <v/>
      </c>
      <c r="G64" s="81" t="str">
        <f>IF(E64="-",0,IF(E66="-",13,""))</f>
        <v/>
      </c>
      <c r="H64" s="45"/>
      <c r="I64" s="45"/>
    </row>
    <row r="65" spans="3:9" s="42" customFormat="1" ht="13.5" thickBot="1" x14ac:dyDescent="0.25">
      <c r="C65" s="81"/>
      <c r="D65" s="51"/>
      <c r="E65" s="309"/>
      <c r="F65" s="44"/>
      <c r="G65" s="47"/>
      <c r="H65" s="224" t="str">
        <f>IF(COUNT(G64,G66)=2,IF(G64&gt;G66,E64,E66),"")</f>
        <v/>
      </c>
      <c r="I65" s="47"/>
    </row>
    <row r="66" spans="3:9" s="42" customFormat="1" x14ac:dyDescent="0.2">
      <c r="C66" s="81"/>
      <c r="D66" s="51"/>
      <c r="E66" s="127" t="str">
        <f>IF(COUNT(E60,E62)=2,IF(E60&lt;E62,C60,C62),"")</f>
        <v/>
      </c>
      <c r="F66" s="50"/>
      <c r="G66" s="63" t="str">
        <f>IF(E66="-",0,IF(E64="-",13,""))</f>
        <v/>
      </c>
      <c r="H66" s="53" t="s">
        <v>78</v>
      </c>
      <c r="I66" s="45"/>
    </row>
    <row r="67" spans="3:9" s="42" customFormat="1" x14ac:dyDescent="0.2">
      <c r="D67" s="45"/>
      <c r="H67" s="45"/>
      <c r="I67" s="45"/>
    </row>
    <row r="68" spans="3:9" s="42" customFormat="1" ht="13.5" thickBot="1" x14ac:dyDescent="0.25">
      <c r="E68" s="45"/>
      <c r="F68" s="45"/>
      <c r="H68" s="47" t="str">
        <f>IF(COUNT(G64,G66)=2,IF(G64&lt;G66,E64,E66),"")</f>
        <v/>
      </c>
      <c r="I68" s="47"/>
    </row>
    <row r="69" spans="3:9" s="42" customFormat="1" x14ac:dyDescent="0.2">
      <c r="E69" s="45"/>
      <c r="F69" s="45"/>
      <c r="H69" s="53" t="s">
        <v>79</v>
      </c>
    </row>
    <row r="70" spans="3:9" s="82" customFormat="1" x14ac:dyDescent="0.2"/>
    <row r="71" spans="3:9" hidden="1" x14ac:dyDescent="0.2"/>
    <row r="72" spans="3:9" hidden="1" x14ac:dyDescent="0.2"/>
    <row r="73" spans="3:9" hidden="1" x14ac:dyDescent="0.2"/>
    <row r="74" spans="3:9" hidden="1" x14ac:dyDescent="0.2"/>
    <row r="75" spans="3:9" hidden="1" x14ac:dyDescent="0.2"/>
    <row r="76" spans="3:9" hidden="1" x14ac:dyDescent="0.2"/>
    <row r="77" spans="3:9" hidden="1" x14ac:dyDescent="0.2"/>
    <row r="78" spans="3:9" hidden="1" x14ac:dyDescent="0.2"/>
    <row r="79" spans="3:9" hidden="1" x14ac:dyDescent="0.2"/>
    <row r="80" spans="3:9"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8" spans="1:4" hidden="1" x14ac:dyDescent="0.2"/>
    <row r="299" spans="1:4" x14ac:dyDescent="0.2">
      <c r="C299" s="319" t="s">
        <v>577</v>
      </c>
      <c r="D299" s="347" t="s">
        <v>577</v>
      </c>
    </row>
    <row r="300" spans="1:4" x14ac:dyDescent="0.2">
      <c r="A300" s="54">
        <v>1</v>
      </c>
      <c r="B300" s="129" t="str">
        <f t="shared" ref="B300:B307" si="0">IFERROR(INDEX(H$39:H$68,MATCH(A300&amp;". koht",H$40:H$69,0)),"")</f>
        <v/>
      </c>
      <c r="C300" s="79">
        <v>20</v>
      </c>
      <c r="D300" s="347">
        <v>25</v>
      </c>
    </row>
    <row r="301" spans="1:4" x14ac:dyDescent="0.2">
      <c r="A301" s="54">
        <v>2</v>
      </c>
      <c r="B301" s="56" t="str">
        <f t="shared" si="0"/>
        <v/>
      </c>
      <c r="C301" s="79">
        <v>16</v>
      </c>
      <c r="D301" s="347">
        <v>20</v>
      </c>
    </row>
    <row r="302" spans="1:4" x14ac:dyDescent="0.2">
      <c r="A302" s="54">
        <v>3</v>
      </c>
      <c r="B302" s="57" t="str">
        <f t="shared" si="0"/>
        <v/>
      </c>
      <c r="C302" s="79">
        <v>12</v>
      </c>
      <c r="D302" s="347">
        <v>16</v>
      </c>
    </row>
    <row r="303" spans="1:4" x14ac:dyDescent="0.2">
      <c r="A303" s="54">
        <v>4</v>
      </c>
      <c r="B303" s="58" t="str">
        <f t="shared" si="0"/>
        <v/>
      </c>
      <c r="C303" s="79">
        <v>9</v>
      </c>
      <c r="D303" s="347">
        <v>12</v>
      </c>
    </row>
    <row r="304" spans="1:4" x14ac:dyDescent="0.2">
      <c r="A304" s="54">
        <v>5</v>
      </c>
      <c r="B304" s="58" t="str">
        <f t="shared" si="0"/>
        <v/>
      </c>
      <c r="C304" s="79">
        <v>7</v>
      </c>
      <c r="D304" s="347">
        <v>9</v>
      </c>
    </row>
    <row r="305" spans="1:4" x14ac:dyDescent="0.2">
      <c r="A305" s="54">
        <v>6</v>
      </c>
      <c r="B305" s="58" t="str">
        <f t="shared" si="0"/>
        <v/>
      </c>
      <c r="C305" s="79">
        <v>5</v>
      </c>
      <c r="D305" s="347">
        <v>7</v>
      </c>
    </row>
    <row r="306" spans="1:4" x14ac:dyDescent="0.2">
      <c r="A306" s="54">
        <v>7</v>
      </c>
      <c r="B306" s="58" t="str">
        <f t="shared" si="0"/>
        <v/>
      </c>
      <c r="C306" s="79">
        <v>4</v>
      </c>
      <c r="D306" s="347">
        <v>5</v>
      </c>
    </row>
    <row r="307" spans="1:4" x14ac:dyDescent="0.2">
      <c r="A307" s="54">
        <v>8</v>
      </c>
      <c r="B307" s="58" t="str">
        <f t="shared" si="0"/>
        <v/>
      </c>
      <c r="C307" s="79">
        <v>3</v>
      </c>
      <c r="D307" s="347">
        <v>4</v>
      </c>
    </row>
    <row r="308" spans="1:4" x14ac:dyDescent="0.2">
      <c r="A308" s="350" t="s">
        <v>579</v>
      </c>
      <c r="B308" s="122"/>
      <c r="C308" s="79">
        <v>1</v>
      </c>
      <c r="D308" s="347">
        <v>2</v>
      </c>
    </row>
    <row r="309" spans="1:4" x14ac:dyDescent="0.2">
      <c r="A309" s="350" t="s">
        <v>579</v>
      </c>
      <c r="B309" s="122"/>
      <c r="C309" s="79">
        <v>1</v>
      </c>
      <c r="D309" s="347">
        <v>2</v>
      </c>
    </row>
    <row r="310" spans="1:4" x14ac:dyDescent="0.2">
      <c r="A310" s="350" t="s">
        <v>579</v>
      </c>
      <c r="B310" s="122"/>
      <c r="C310" s="79">
        <v>1</v>
      </c>
      <c r="D310" s="347">
        <v>2</v>
      </c>
    </row>
    <row r="311" spans="1:4" x14ac:dyDescent="0.2">
      <c r="A311" s="350" t="s">
        <v>579</v>
      </c>
      <c r="B311" s="122"/>
      <c r="C311" s="79">
        <v>1</v>
      </c>
      <c r="D311" s="347">
        <v>2</v>
      </c>
    </row>
    <row r="312" spans="1:4" x14ac:dyDescent="0.2">
      <c r="A312" s="350" t="s">
        <v>580</v>
      </c>
      <c r="B312" s="122"/>
      <c r="C312" s="79">
        <v>1</v>
      </c>
      <c r="D312" s="347">
        <v>2</v>
      </c>
    </row>
    <row r="313" spans="1:4" x14ac:dyDescent="0.2">
      <c r="A313" s="350" t="s">
        <v>580</v>
      </c>
      <c r="B313" s="186"/>
      <c r="C313" s="79">
        <v>1</v>
      </c>
      <c r="D313" s="347">
        <v>2</v>
      </c>
    </row>
    <row r="314" spans="1:4" x14ac:dyDescent="0.2">
      <c r="A314" s="350" t="s">
        <v>580</v>
      </c>
      <c r="B314" s="122"/>
      <c r="C314" s="79">
        <v>1</v>
      </c>
      <c r="D314" s="347">
        <v>2</v>
      </c>
    </row>
    <row r="315" spans="1:4" x14ac:dyDescent="0.2">
      <c r="A315" s="350" t="s">
        <v>580</v>
      </c>
      <c r="B315" s="122"/>
      <c r="C315" s="79">
        <v>1</v>
      </c>
      <c r="D315" s="347">
        <v>2</v>
      </c>
    </row>
  </sheetData>
  <conditionalFormatting sqref="B7:B10">
    <cfRule type="duplicateValues" dxfId="346" priority="475"/>
  </conditionalFormatting>
  <conditionalFormatting sqref="B25:B28">
    <cfRule type="duplicateValues" dxfId="345" priority="334"/>
  </conditionalFormatting>
  <conditionalFormatting sqref="B19:B22">
    <cfRule type="duplicateValues" dxfId="344" priority="306"/>
  </conditionalFormatting>
  <conditionalFormatting sqref="B13:B16">
    <cfRule type="duplicateValues" dxfId="343" priority="278"/>
  </conditionalFormatting>
  <conditionalFormatting sqref="A32:A46">
    <cfRule type="cellIs" dxfId="342" priority="185" operator="equal">
      <formula>"-"</formula>
    </cfRule>
    <cfRule type="duplicateValues" dxfId="341" priority="201"/>
  </conditionalFormatting>
  <conditionalFormatting sqref="E56 E58">
    <cfRule type="aboveAverage" dxfId="340" priority="200"/>
  </conditionalFormatting>
  <conditionalFormatting sqref="E60 E62">
    <cfRule type="aboveAverage" dxfId="339" priority="199"/>
  </conditionalFormatting>
  <conditionalFormatting sqref="G57 G61">
    <cfRule type="aboveAverage" dxfId="338" priority="198"/>
  </conditionalFormatting>
  <conditionalFormatting sqref="G64 G66">
    <cfRule type="aboveAverage" dxfId="337" priority="197"/>
  </conditionalFormatting>
  <conditionalFormatting sqref="E56 E58 E60 E62 G57 G61 G64 G66">
    <cfRule type="containsBlanks" dxfId="336" priority="196">
      <formula>LEN(TRIM(E56))=0</formula>
    </cfRule>
  </conditionalFormatting>
  <conditionalFormatting sqref="C32 C34">
    <cfRule type="aboveAverage" dxfId="335" priority="195"/>
  </conditionalFormatting>
  <conditionalFormatting sqref="C36 C38">
    <cfRule type="aboveAverage" dxfId="334" priority="194"/>
  </conditionalFormatting>
  <conditionalFormatting sqref="E33 E37">
    <cfRule type="aboveAverage" dxfId="333" priority="193"/>
  </conditionalFormatting>
  <conditionalFormatting sqref="C40 C42">
    <cfRule type="aboveAverage" dxfId="332" priority="192"/>
  </conditionalFormatting>
  <conditionalFormatting sqref="C44 C46">
    <cfRule type="aboveAverage" dxfId="331" priority="191"/>
  </conditionalFormatting>
  <conditionalFormatting sqref="E41 E45">
    <cfRule type="aboveAverage" dxfId="330" priority="190"/>
  </conditionalFormatting>
  <conditionalFormatting sqref="G35 G43">
    <cfRule type="aboveAverage" dxfId="329" priority="189"/>
  </conditionalFormatting>
  <conditionalFormatting sqref="G47 G49">
    <cfRule type="aboveAverage" dxfId="328" priority="188"/>
  </conditionalFormatting>
  <conditionalFormatting sqref="C32 C34 C36 C38 C40 C42 C44 C46 E33 E37 E41 E45 G35 G43 G47 G49">
    <cfRule type="containsBlanks" dxfId="327" priority="187">
      <formula>LEN(TRIM(C32))=0</formula>
    </cfRule>
  </conditionalFormatting>
  <conditionalFormatting sqref="B300:B315">
    <cfRule type="containsBlanks" dxfId="326" priority="7090">
      <formula>LEN(TRIM(B300))=0</formula>
    </cfRule>
    <cfRule type="duplicateValues" dxfId="325" priority="7091"/>
  </conditionalFormatting>
  <conditionalFormatting sqref="G7:G10">
    <cfRule type="containsText" dxfId="324" priority="157" operator="containsText" text="2">
      <formula>NOT(ISERROR(SEARCH("2",G7)))</formula>
    </cfRule>
    <cfRule type="containsText" dxfId="323" priority="158" operator="containsText" text="1">
      <formula>NOT(ISERROR(SEARCH("1",G7)))</formula>
    </cfRule>
  </conditionalFormatting>
  <conditionalFormatting sqref="G10">
    <cfRule type="expression" dxfId="322" priority="156">
      <formula>B10="-"</formula>
    </cfRule>
  </conditionalFormatting>
  <conditionalFormatting sqref="C7 C10">
    <cfRule type="aboveAverage" dxfId="321" priority="155"/>
  </conditionalFormatting>
  <conditionalFormatting sqref="C8:C9">
    <cfRule type="aboveAverage" dxfId="320" priority="154"/>
  </conditionalFormatting>
  <conditionalFormatting sqref="G13:G16">
    <cfRule type="containsText" dxfId="319" priority="133" operator="containsText" text="2">
      <formula>NOT(ISERROR(SEARCH("2",G13)))</formula>
    </cfRule>
    <cfRule type="containsText" dxfId="318" priority="134" operator="containsText" text="1">
      <formula>NOT(ISERROR(SEARCH("1",G13)))</formula>
    </cfRule>
  </conditionalFormatting>
  <conditionalFormatting sqref="G16">
    <cfRule type="expression" dxfId="317" priority="132">
      <formula>B16="-"</formula>
    </cfRule>
  </conditionalFormatting>
  <conditionalFormatting sqref="C13 C16">
    <cfRule type="aboveAverage" dxfId="316" priority="131"/>
  </conditionalFormatting>
  <conditionalFormatting sqref="C14:C15">
    <cfRule type="aboveAverage" dxfId="315" priority="130"/>
  </conditionalFormatting>
  <conditionalFormatting sqref="G19:G22">
    <cfRule type="containsText" dxfId="314" priority="109" operator="containsText" text="2">
      <formula>NOT(ISERROR(SEARCH("2",G19)))</formula>
    </cfRule>
    <cfRule type="containsText" dxfId="313" priority="110" operator="containsText" text="1">
      <formula>NOT(ISERROR(SEARCH("1",G19)))</formula>
    </cfRule>
  </conditionalFormatting>
  <conditionalFormatting sqref="G22">
    <cfRule type="expression" dxfId="312" priority="108">
      <formula>B22="-"</formula>
    </cfRule>
  </conditionalFormatting>
  <conditionalFormatting sqref="C19 C22">
    <cfRule type="aboveAverage" dxfId="311" priority="107"/>
  </conditionalFormatting>
  <conditionalFormatting sqref="C20:C21">
    <cfRule type="aboveAverage" dxfId="310" priority="106"/>
  </conditionalFormatting>
  <conditionalFormatting sqref="G25:G28">
    <cfRule type="containsText" dxfId="309" priority="85" operator="containsText" text="2">
      <formula>NOT(ISERROR(SEARCH("2",G25)))</formula>
    </cfRule>
    <cfRule type="containsText" dxfId="308" priority="86" operator="containsText" text="1">
      <formula>NOT(ISERROR(SEARCH("1",G25)))</formula>
    </cfRule>
  </conditionalFormatting>
  <conditionalFormatting sqref="G28">
    <cfRule type="expression" dxfId="307" priority="84">
      <formula>B28="-"</formula>
    </cfRule>
  </conditionalFormatting>
  <conditionalFormatting sqref="C25 C28">
    <cfRule type="aboveAverage" dxfId="306" priority="83"/>
  </conditionalFormatting>
  <conditionalFormatting sqref="C26:C27">
    <cfRule type="aboveAverage" dxfId="305" priority="82"/>
  </conditionalFormatting>
  <conditionalFormatting sqref="E10">
    <cfRule type="expression" dxfId="304" priority="76">
      <formula>AND(COUNT(E7:E10)&lt;2,IF(ISNUMBER(C10),C7&gt;C10))</formula>
    </cfRule>
  </conditionalFormatting>
  <conditionalFormatting sqref="E7">
    <cfRule type="expression" dxfId="303" priority="75">
      <formula>AND(COUNT(E7:E10)&lt;2,IF(ISNUMBER(C7),C10&gt;C7))</formula>
    </cfRule>
  </conditionalFormatting>
  <conditionalFormatting sqref="E8">
    <cfRule type="expression" dxfId="302" priority="74">
      <formula>AND(COUNT(E7:E10)&lt;2,IF(ISNUMBER(C8),C9&gt;C8))</formula>
    </cfRule>
  </conditionalFormatting>
  <conditionalFormatting sqref="E9">
    <cfRule type="expression" dxfId="301" priority="73">
      <formula>AND(COUNT(E7:E10)&lt;2,IF(ISNUMBER(C9),C8&gt;C9))</formula>
    </cfRule>
  </conditionalFormatting>
  <conditionalFormatting sqref="E7:E10">
    <cfRule type="aboveAverage" dxfId="300" priority="72"/>
  </conditionalFormatting>
  <conditionalFormatting sqref="F7">
    <cfRule type="expression" dxfId="299" priority="67">
      <formula>AND(COUNT(F7:F10)&lt;2,IF(COUNT(E7:E10)=2,IF(AND(ISNUMBER(E7),COUNTIF(E7:E10,E7)=1,E7=MAX(E7:E10)),TRUE,FALSE)))</formula>
    </cfRule>
    <cfRule type="expression" dxfId="298" priority="71">
      <formula>AND(COUNT(F7:F10)&lt;2,IF(COUNT(D7:D10)=2,IF(AND(ISNUMBER(D7),COUNTIF(D7:D10,D7)=1,D7=MIN(D7:D10)),TRUE,FALSE)))</formula>
    </cfRule>
  </conditionalFormatting>
  <conditionalFormatting sqref="F8">
    <cfRule type="expression" dxfId="297" priority="66">
      <formula>AND(COUNT(F7:F10)&lt;2,IF(COUNT(E7:E10)=2,IF(AND(ISNUMBER(E8),COUNTIF(E7:E10,E8)=1,E8=MAX(E7:E10)),TRUE,FALSE)))</formula>
    </cfRule>
    <cfRule type="expression" dxfId="296" priority="70">
      <formula>AND(COUNT(F7:F10)&lt;2,IF(COUNT(D7:D10)=2,IF(AND(ISNUMBER(D8),COUNTIF(D7:D10,D8)=1,D8=MIN(D7:D10)),TRUE,FALSE)))</formula>
    </cfRule>
  </conditionalFormatting>
  <conditionalFormatting sqref="F9">
    <cfRule type="expression" dxfId="295" priority="65">
      <formula>AND(COUNT(F7:F10)&lt;2,IF(COUNT(E7:E10)=2,IF(AND(ISNUMBER(E9),COUNTIF(E7:E10,E9)=1,E9=MAX(E7:E10)),TRUE,FALSE)))</formula>
    </cfRule>
    <cfRule type="expression" dxfId="294" priority="69">
      <formula>AND(COUNT(F7:F10)&lt;2,IF(COUNT(D7:D10)=2,IF(AND(ISNUMBER(D9),COUNTIF(D7:D10,D9)=1,D9=MIN(D7:D10)),TRUE,FALSE)))</formula>
    </cfRule>
  </conditionalFormatting>
  <conditionalFormatting sqref="F10">
    <cfRule type="expression" dxfId="293" priority="64">
      <formula>AND(COUNT(F7:F10)&lt;2,IF(COUNT(E7:E10)=2,IF(AND(ISNUMBER(E10),COUNTIF(E7:E10,E10)=1,E10=MAX(E7:E10)),TRUE,FALSE)))</formula>
    </cfRule>
    <cfRule type="expression" dxfId="292" priority="68">
      <formula>AND(COUNT(F7:F10)&lt;2,IF(COUNT(D7:D10)=2,IF(AND(ISNUMBER(D10),COUNTIF(D7:D10,D10)=1,D10=MIN(D7:D10)),TRUE,FALSE)))</formula>
    </cfRule>
  </conditionalFormatting>
  <conditionalFormatting sqref="F7:F10">
    <cfRule type="aboveAverage" dxfId="291" priority="63"/>
  </conditionalFormatting>
  <conditionalFormatting sqref="D7">
    <cfRule type="expression" dxfId="290" priority="62">
      <formula>AND(COUNT(D7:D10)&lt;2,IF(ISNUMBER(C10),C7&gt;C10))</formula>
    </cfRule>
  </conditionalFormatting>
  <conditionalFormatting sqref="D8">
    <cfRule type="expression" dxfId="289" priority="61">
      <formula>AND(COUNT(D7:D10)&lt;2,IF(ISNUMBER(C9),C8&gt;C9))</formula>
    </cfRule>
  </conditionalFormatting>
  <conditionalFormatting sqref="D9">
    <cfRule type="expression" dxfId="288" priority="60">
      <formula>AND(COUNT(D7:D10)&lt;2,IF(ISNUMBER(C8),C9&gt;C8))</formula>
    </cfRule>
  </conditionalFormatting>
  <conditionalFormatting sqref="D10">
    <cfRule type="expression" dxfId="287" priority="59">
      <formula>AND(COUNT(D7:D10)&lt;2,IF(ISNUMBER(C7),C10&gt;C7))</formula>
    </cfRule>
  </conditionalFormatting>
  <conditionalFormatting sqref="D7:D10">
    <cfRule type="aboveAverage" dxfId="286" priority="58"/>
  </conditionalFormatting>
  <conditionalFormatting sqref="E16">
    <cfRule type="expression" dxfId="285" priority="57">
      <formula>AND(COUNT(E13:E16)&lt;2,IF(ISNUMBER(C16),C13&gt;C16))</formula>
    </cfRule>
  </conditionalFormatting>
  <conditionalFormatting sqref="E13">
    <cfRule type="expression" dxfId="284" priority="56">
      <formula>AND(COUNT(E13:E16)&lt;2,IF(ISNUMBER(C13),C16&gt;C13))</formula>
    </cfRule>
  </conditionalFormatting>
  <conditionalFormatting sqref="E14">
    <cfRule type="expression" dxfId="283" priority="55">
      <formula>AND(COUNT(E13:E16)&lt;2,IF(ISNUMBER(C14),C15&gt;C14))</formula>
    </cfRule>
  </conditionalFormatting>
  <conditionalFormatting sqref="E15">
    <cfRule type="expression" dxfId="282" priority="54">
      <formula>AND(COUNT(E13:E16)&lt;2,IF(ISNUMBER(C15),C14&gt;C15))</formula>
    </cfRule>
  </conditionalFormatting>
  <conditionalFormatting sqref="E13:E16">
    <cfRule type="aboveAverage" dxfId="281" priority="53"/>
  </conditionalFormatting>
  <conditionalFormatting sqref="F13">
    <cfRule type="expression" dxfId="280" priority="48">
      <formula>AND(COUNT(F13:F16)&lt;2,IF(COUNT(E13:E16)=2,IF(AND(ISNUMBER(E13),COUNTIF(E13:E16,E13)=1,E13=MAX(E13:E16)),TRUE,FALSE)))</formula>
    </cfRule>
    <cfRule type="expression" dxfId="279" priority="52">
      <formula>AND(COUNT(F13:F16)&lt;2,IF(COUNT(D13:D16)=2,IF(AND(ISNUMBER(D13),COUNTIF(D13:D16,D13)=1,D13=MIN(D13:D16)),TRUE,FALSE)))</formula>
    </cfRule>
  </conditionalFormatting>
  <conditionalFormatting sqref="F14">
    <cfRule type="expression" dxfId="278" priority="47">
      <formula>AND(COUNT(F13:F16)&lt;2,IF(COUNT(E13:E16)=2,IF(AND(ISNUMBER(E14),COUNTIF(E13:E16,E14)=1,E14=MAX(E13:E16)),TRUE,FALSE)))</formula>
    </cfRule>
    <cfRule type="expression" dxfId="277" priority="51">
      <formula>AND(COUNT(F13:F16)&lt;2,IF(COUNT(D13:D16)=2,IF(AND(ISNUMBER(D14),COUNTIF(D13:D16,D14)=1,D14=MIN(D13:D16)),TRUE,FALSE)))</formula>
    </cfRule>
  </conditionalFormatting>
  <conditionalFormatting sqref="F15">
    <cfRule type="expression" dxfId="276" priority="46">
      <formula>AND(COUNT(F13:F16)&lt;2,IF(COUNT(E13:E16)=2,IF(AND(ISNUMBER(E15),COUNTIF(E13:E16,E15)=1,E15=MAX(E13:E16)),TRUE,FALSE)))</formula>
    </cfRule>
    <cfRule type="expression" dxfId="275" priority="50">
      <formula>AND(COUNT(F13:F16)&lt;2,IF(COUNT(D13:D16)=2,IF(AND(ISNUMBER(D15),COUNTIF(D13:D16,D15)=1,D15=MIN(D13:D16)),TRUE,FALSE)))</formula>
    </cfRule>
  </conditionalFormatting>
  <conditionalFormatting sqref="F16">
    <cfRule type="expression" dxfId="274" priority="45">
      <formula>AND(COUNT(F13:F16)&lt;2,IF(COUNT(E13:E16)=2,IF(AND(ISNUMBER(E16),COUNTIF(E13:E16,E16)=1,E16=MAX(E13:E16)),TRUE,FALSE)))</formula>
    </cfRule>
    <cfRule type="expression" dxfId="273" priority="49">
      <formula>AND(COUNT(F13:F16)&lt;2,IF(COUNT(D13:D16)=2,IF(AND(ISNUMBER(D16),COUNTIF(D13:D16,D16)=1,D16=MIN(D13:D16)),TRUE,FALSE)))</formula>
    </cfRule>
  </conditionalFormatting>
  <conditionalFormatting sqref="F13:F16">
    <cfRule type="aboveAverage" dxfId="272" priority="44"/>
  </conditionalFormatting>
  <conditionalFormatting sqref="D13">
    <cfRule type="expression" dxfId="271" priority="43">
      <formula>AND(COUNT(D13:D16)&lt;2,IF(ISNUMBER(C16),C13&gt;C16))</formula>
    </cfRule>
  </conditionalFormatting>
  <conditionalFormatting sqref="D14">
    <cfRule type="expression" dxfId="270" priority="42">
      <formula>AND(COUNT(D13:D16)&lt;2,IF(ISNUMBER(C15),C14&gt;C15))</formula>
    </cfRule>
  </conditionalFormatting>
  <conditionalFormatting sqref="D15">
    <cfRule type="expression" dxfId="269" priority="41">
      <formula>AND(COUNT(D13:D16)&lt;2,IF(ISNUMBER(C14),C15&gt;C14))</formula>
    </cfRule>
  </conditionalFormatting>
  <conditionalFormatting sqref="D16">
    <cfRule type="expression" dxfId="268" priority="40">
      <formula>AND(COUNT(D13:D16)&lt;2,IF(ISNUMBER(C13),C16&gt;C13))</formula>
    </cfRule>
  </conditionalFormatting>
  <conditionalFormatting sqref="D13:D16">
    <cfRule type="aboveAverage" dxfId="267" priority="39"/>
  </conditionalFormatting>
  <conditionalFormatting sqref="E22">
    <cfRule type="expression" dxfId="266" priority="38">
      <formula>AND(COUNT(E19:E22)&lt;2,IF(ISNUMBER(C22),C19&gt;C22))</formula>
    </cfRule>
  </conditionalFormatting>
  <conditionalFormatting sqref="E19">
    <cfRule type="expression" dxfId="265" priority="37">
      <formula>AND(COUNT(E19:E22)&lt;2,IF(ISNUMBER(C19),C22&gt;C19))</formula>
    </cfRule>
  </conditionalFormatting>
  <conditionalFormatting sqref="E20">
    <cfRule type="expression" dxfId="264" priority="36">
      <formula>AND(COUNT(E19:E22)&lt;2,IF(ISNUMBER(C20),C21&gt;C20))</formula>
    </cfRule>
  </conditionalFormatting>
  <conditionalFormatting sqref="E21">
    <cfRule type="expression" dxfId="263" priority="35">
      <formula>AND(COUNT(E19:E22)&lt;2,IF(ISNUMBER(C21),C20&gt;C21))</formula>
    </cfRule>
  </conditionalFormatting>
  <conditionalFormatting sqref="E19:E22">
    <cfRule type="aboveAverage" dxfId="262" priority="34"/>
  </conditionalFormatting>
  <conditionalFormatting sqref="F19">
    <cfRule type="expression" dxfId="261" priority="29">
      <formula>AND(COUNT(F19:F22)&lt;2,IF(COUNT(E19:E22)=2,IF(AND(ISNUMBER(E19),COUNTIF(E19:E22,E19)=1,E19=MAX(E19:E22)),TRUE,FALSE)))</formula>
    </cfRule>
    <cfRule type="expression" dxfId="260" priority="33">
      <formula>AND(COUNT(F19:F22)&lt;2,IF(COUNT(D19:D22)=2,IF(AND(ISNUMBER(D19),COUNTIF(D19:D22,D19)=1,D19=MIN(D19:D22)),TRUE,FALSE)))</formula>
    </cfRule>
  </conditionalFormatting>
  <conditionalFormatting sqref="F20">
    <cfRule type="expression" dxfId="259" priority="28">
      <formula>AND(COUNT(F19:F22)&lt;2,IF(COUNT(E19:E22)=2,IF(AND(ISNUMBER(E20),COUNTIF(E19:E22,E20)=1,E20=MAX(E19:E22)),TRUE,FALSE)))</formula>
    </cfRule>
    <cfRule type="expression" dxfId="258" priority="32">
      <formula>AND(COUNT(F19:F22)&lt;2,IF(COUNT(D19:D22)=2,IF(AND(ISNUMBER(D20),COUNTIF(D19:D22,D20)=1,D20=MIN(D19:D22)),TRUE,FALSE)))</formula>
    </cfRule>
  </conditionalFormatting>
  <conditionalFormatting sqref="F21">
    <cfRule type="expression" dxfId="257" priority="27">
      <formula>AND(COUNT(F19:F22)&lt;2,IF(COUNT(E19:E22)=2,IF(AND(ISNUMBER(E21),COUNTIF(E19:E22,E21)=1,E21=MAX(E19:E22)),TRUE,FALSE)))</formula>
    </cfRule>
    <cfRule type="expression" dxfId="256" priority="31">
      <formula>AND(COUNT(F19:F22)&lt;2,IF(COUNT(D19:D22)=2,IF(AND(ISNUMBER(D21),COUNTIF(D19:D22,D21)=1,D21=MIN(D19:D22)),TRUE,FALSE)))</formula>
    </cfRule>
  </conditionalFormatting>
  <conditionalFormatting sqref="F22">
    <cfRule type="expression" dxfId="255" priority="26">
      <formula>AND(COUNT(F19:F22)&lt;2,IF(COUNT(E19:E22)=2,IF(AND(ISNUMBER(E22),COUNTIF(E19:E22,E22)=1,E22=MAX(E19:E22)),TRUE,FALSE)))</formula>
    </cfRule>
    <cfRule type="expression" dxfId="254" priority="30">
      <formula>AND(COUNT(F19:F22)&lt;2,IF(COUNT(D19:D22)=2,IF(AND(ISNUMBER(D22),COUNTIF(D19:D22,D22)=1,D22=MIN(D19:D22)),TRUE,FALSE)))</formula>
    </cfRule>
  </conditionalFormatting>
  <conditionalFormatting sqref="F19:F22">
    <cfRule type="aboveAverage" dxfId="253" priority="25"/>
  </conditionalFormatting>
  <conditionalFormatting sqref="D19">
    <cfRule type="expression" dxfId="252" priority="24">
      <formula>AND(COUNT(D19:D22)&lt;2,IF(ISNUMBER(C22),C19&gt;C22))</formula>
    </cfRule>
  </conditionalFormatting>
  <conditionalFormatting sqref="D20">
    <cfRule type="expression" dxfId="251" priority="23">
      <formula>AND(COUNT(D19:D22)&lt;2,IF(ISNUMBER(C21),C20&gt;C21))</formula>
    </cfRule>
  </conditionalFormatting>
  <conditionalFormatting sqref="D21">
    <cfRule type="expression" dxfId="250" priority="22">
      <formula>AND(COUNT(D19:D22)&lt;2,IF(ISNUMBER(C20),C21&gt;C20))</formula>
    </cfRule>
  </conditionalFormatting>
  <conditionalFormatting sqref="D22">
    <cfRule type="expression" dxfId="249" priority="21">
      <formula>AND(COUNT(D19:D22)&lt;2,IF(ISNUMBER(C19),C22&gt;C19))</formula>
    </cfRule>
  </conditionalFormatting>
  <conditionalFormatting sqref="D19:D22">
    <cfRule type="aboveAverage" dxfId="248" priority="20"/>
  </conditionalFormatting>
  <conditionalFormatting sqref="E28">
    <cfRule type="expression" dxfId="247" priority="19">
      <formula>AND(COUNT(E25:E28)&lt;2,IF(ISNUMBER(C28),C25&gt;C28))</formula>
    </cfRule>
  </conditionalFormatting>
  <conditionalFormatting sqref="E25">
    <cfRule type="expression" dxfId="246" priority="18">
      <formula>AND(COUNT(E25:E28)&lt;2,IF(ISNUMBER(C25),C28&gt;C25))</formula>
    </cfRule>
  </conditionalFormatting>
  <conditionalFormatting sqref="E26">
    <cfRule type="expression" dxfId="245" priority="17">
      <formula>AND(COUNT(E25:E28)&lt;2,IF(ISNUMBER(C26),C27&gt;C26))</formula>
    </cfRule>
  </conditionalFormatting>
  <conditionalFormatting sqref="E27">
    <cfRule type="expression" dxfId="244" priority="16">
      <formula>AND(COUNT(E25:E28)&lt;2,IF(ISNUMBER(C27),C26&gt;C27))</formula>
    </cfRule>
  </conditionalFormatting>
  <conditionalFormatting sqref="E25:E28">
    <cfRule type="aboveAverage" dxfId="243" priority="15"/>
  </conditionalFormatting>
  <conditionalFormatting sqref="F25">
    <cfRule type="expression" dxfId="242" priority="10">
      <formula>AND(COUNT(F25:F28)&lt;2,IF(COUNT(E25:E28)=2,IF(AND(ISNUMBER(E25),COUNTIF(E25:E28,E25)=1,E25=MAX(E25:E28)),TRUE,FALSE)))</formula>
    </cfRule>
    <cfRule type="expression" dxfId="241" priority="14">
      <formula>AND(COUNT(F25:F28)&lt;2,IF(COUNT(D25:D28)=2,IF(AND(ISNUMBER(D25),COUNTIF(D25:D28,D25)=1,D25=MIN(D25:D28)),TRUE,FALSE)))</formula>
    </cfRule>
  </conditionalFormatting>
  <conditionalFormatting sqref="F26">
    <cfRule type="expression" dxfId="240" priority="9">
      <formula>AND(COUNT(F25:F28)&lt;2,IF(COUNT(E25:E28)=2,IF(AND(ISNUMBER(E26),COUNTIF(E25:E28,E26)=1,E26=MAX(E25:E28)),TRUE,FALSE)))</formula>
    </cfRule>
    <cfRule type="expression" dxfId="239" priority="13">
      <formula>AND(COUNT(F25:F28)&lt;2,IF(COUNT(D25:D28)=2,IF(AND(ISNUMBER(D26),COUNTIF(D25:D28,D26)=1,D26=MIN(D25:D28)),TRUE,FALSE)))</formula>
    </cfRule>
  </conditionalFormatting>
  <conditionalFormatting sqref="F27">
    <cfRule type="expression" dxfId="238" priority="8">
      <formula>AND(COUNT(F25:F28)&lt;2,IF(COUNT(E25:E28)=2,IF(AND(ISNUMBER(E27),COUNTIF(E25:E28,E27)=1,E27=MAX(E25:E28)),TRUE,FALSE)))</formula>
    </cfRule>
    <cfRule type="expression" dxfId="237" priority="12">
      <formula>AND(COUNT(F25:F28)&lt;2,IF(COUNT(D25:D28)=2,IF(AND(ISNUMBER(D27),COUNTIF(D25:D28,D27)=1,D27=MIN(D25:D28)),TRUE,FALSE)))</formula>
    </cfRule>
  </conditionalFormatting>
  <conditionalFormatting sqref="F28">
    <cfRule type="expression" dxfId="236" priority="7">
      <formula>AND(COUNT(F25:F28)&lt;2,IF(COUNT(E25:E28)=2,IF(AND(ISNUMBER(E28),COUNTIF(E25:E28,E28)=1,E28=MAX(E25:E28)),TRUE,FALSE)))</formula>
    </cfRule>
    <cfRule type="expression" dxfId="235" priority="11">
      <formula>AND(COUNT(F25:F28)&lt;2,IF(COUNT(D25:D28)=2,IF(AND(ISNUMBER(D28),COUNTIF(D25:D28,D28)=1,D28=MIN(D25:D28)),TRUE,FALSE)))</formula>
    </cfRule>
  </conditionalFormatting>
  <conditionalFormatting sqref="F25:F28">
    <cfRule type="aboveAverage" dxfId="234" priority="6"/>
  </conditionalFormatting>
  <conditionalFormatting sqref="D25">
    <cfRule type="expression" dxfId="233" priority="5">
      <formula>AND(COUNT(D25:D28)&lt;2,IF(ISNUMBER(C28),C25&gt;C28))</formula>
    </cfRule>
  </conditionalFormatting>
  <conditionalFormatting sqref="D26">
    <cfRule type="expression" dxfId="232" priority="4">
      <formula>AND(COUNT(D25:D28)&lt;2,IF(ISNUMBER(C27),C26&gt;C27))</formula>
    </cfRule>
  </conditionalFormatting>
  <conditionalFormatting sqref="D27">
    <cfRule type="expression" dxfId="231" priority="3">
      <formula>AND(COUNT(D25:D28)&lt;2,IF(ISNUMBER(C26),C27&gt;C26))</formula>
    </cfRule>
  </conditionalFormatting>
  <conditionalFormatting sqref="D28">
    <cfRule type="expression" dxfId="230" priority="2">
      <formula>AND(COUNT(D25:D28)&lt;2,IF(ISNUMBER(C25),C28&gt;C25))</formula>
    </cfRule>
  </conditionalFormatting>
  <conditionalFormatting sqref="D25:D28">
    <cfRule type="aboveAverage" dxfId="229"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28" max="16383" man="1"/>
    <brk id="5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331"/>
  <sheetViews>
    <sheetView showGridLine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79" customWidth="1"/>
    <col min="2" max="2" width="45.140625" style="79" customWidth="1"/>
    <col min="3" max="3" width="7.28515625" style="79" customWidth="1"/>
    <col min="4" max="4" width="7.42578125" style="79" bestFit="1" customWidth="1"/>
    <col min="5" max="5" width="9.140625" style="79" bestFit="1" customWidth="1"/>
    <col min="6" max="6" width="6.7109375" style="79" customWidth="1"/>
    <col min="7" max="7" width="5.140625" style="79" customWidth="1"/>
    <col min="8" max="8" width="9.140625" style="79" customWidth="1"/>
    <col min="9" max="9" width="4.28515625" style="79" customWidth="1"/>
    <col min="10" max="13" width="9.140625" style="79" customWidth="1"/>
    <col min="14" max="16384" width="9.140625" style="79"/>
  </cols>
  <sheetData>
    <row r="1" spans="1:13" x14ac:dyDescent="0.2">
      <c r="A1" s="72" t="str">
        <f>UPPER((Kalend!E10)&amp;" - "&amp;(Kalend!C10)&amp;" - "&amp;(Kalend!D10))</f>
        <v>3 - EESTI REITINGUVÕISTLUS - DUO</v>
      </c>
      <c r="D1" s="41" t="str">
        <f>HYPERLINK("#'Kalend'!I1","Kalender")</f>
        <v>Kalender</v>
      </c>
      <c r="F1" s="41" t="str">
        <f>HYPERLINK("#Üldreiting!s1","Reiting")</f>
        <v>Reiting</v>
      </c>
    </row>
    <row r="2" spans="1:13" x14ac:dyDescent="0.2">
      <c r="A2" s="79" t="str">
        <f>"Toimumisaeg: "&amp;(Kalend!A10)&amp;" kell "&amp;(Kalend!B10)</f>
        <v>Toimumisaeg: P, 26.11.2017 kell 10:00</v>
      </c>
    </row>
    <row r="3" spans="1:13" x14ac:dyDescent="0.2">
      <c r="A3" s="79" t="str">
        <f>"Toimumiskoht: "&amp;(Kalend!F10)</f>
        <v>Toimumiskoht: Tallinn, Algi 38</v>
      </c>
    </row>
    <row r="4" spans="1:13" x14ac:dyDescent="0.2">
      <c r="A4" s="79" t="str">
        <f>"Korraldaja: "&amp;(Kalend!G10)</f>
        <v>Korraldaja: EPKL</v>
      </c>
    </row>
    <row r="6" spans="1:13" s="30" customFormat="1" x14ac:dyDescent="0.2">
      <c r="A6" s="296" t="s">
        <v>291</v>
      </c>
      <c r="B6" s="351"/>
      <c r="C6" s="31" t="s">
        <v>232</v>
      </c>
      <c r="D6" s="296" t="s">
        <v>61</v>
      </c>
      <c r="E6" s="296" t="s">
        <v>62</v>
      </c>
      <c r="F6" s="31" t="s">
        <v>63</v>
      </c>
      <c r="G6" s="31" t="s">
        <v>19</v>
      </c>
      <c r="H6" s="79"/>
      <c r="I6" s="79"/>
      <c r="J6" s="79"/>
      <c r="K6" s="79"/>
      <c r="L6" s="79"/>
      <c r="M6" s="79"/>
    </row>
    <row r="7" spans="1:13" s="30" customFormat="1" x14ac:dyDescent="0.2">
      <c r="A7" s="296">
        <v>1</v>
      </c>
      <c r="B7" s="186"/>
      <c r="C7" s="124" t="str">
        <f>IF(B10="-",13,"")</f>
        <v/>
      </c>
      <c r="D7" s="124"/>
      <c r="E7" s="32"/>
      <c r="F7" s="314"/>
      <c r="G7" s="32" t="str">
        <f>IF(AND(COUNT(F7:F10)=2,F7=MAX(F7:F10),COUNT(C7:F7)=3),A6&amp;"2",IF(AND(COUNT(E7:E10)=2,ISNUMBER(E7),E7=MIN(E7:E10),D7="",F7=""),A6&amp;"4",IF(AND(COUNT(D7:D10)=2,D7=MAX(D7:D10),E7="",F7=""),A6&amp;"1",IF(COUNT(F7:F10)=2,A6&amp;"3",""))))</f>
        <v/>
      </c>
      <c r="H7" s="79"/>
      <c r="I7" s="79"/>
      <c r="J7" s="79"/>
      <c r="K7" s="79"/>
      <c r="L7" s="79"/>
      <c r="M7" s="79"/>
    </row>
    <row r="8" spans="1:13" s="30" customFormat="1" x14ac:dyDescent="0.2">
      <c r="A8" s="296">
        <v>2</v>
      </c>
      <c r="B8" s="122"/>
      <c r="C8" s="336"/>
      <c r="D8" s="124"/>
      <c r="E8" s="32" t="str">
        <f>IF(AND(B10="-",ISNUMBER(C8),C8&lt;C9),13,"")</f>
        <v/>
      </c>
      <c r="F8" s="314"/>
      <c r="G8" s="32" t="str">
        <f>IF(AND(COUNT(F7:F10)=2,F8=MAX(F7:F10),COUNT(C8:F8)=3),A6&amp;"2",IF(AND(COUNT(E7:E10)=2,ISNUMBER(E8),E8=MIN(E7:E10),D8="",F8=""),A6&amp;"4",IF(AND(COUNT(D7:D10)=2,D8=MAX(D7:D10),E8="",F8=""),A6&amp;"1",IF(COUNT(F7:F10)=2,A6&amp;"3",""))))</f>
        <v/>
      </c>
      <c r="H8" s="79"/>
      <c r="I8" s="79"/>
      <c r="J8" s="79"/>
      <c r="K8" s="79"/>
      <c r="L8" s="79"/>
      <c r="M8" s="79"/>
    </row>
    <row r="9" spans="1:13" s="30" customFormat="1" x14ac:dyDescent="0.2">
      <c r="A9" s="296">
        <v>3</v>
      </c>
      <c r="B9" s="122"/>
      <c r="C9" s="336"/>
      <c r="D9" s="32"/>
      <c r="E9" s="32" t="str">
        <f>IF(AND(B10="-",ISNUMBER(C9),C9&lt;C8),13,"")</f>
        <v/>
      </c>
      <c r="F9" s="314"/>
      <c r="G9" s="32" t="str">
        <f>IF(AND(COUNT(F7:F10)=2,F9=MAX(F7:F10),COUNT(C9:F9)=3),A6&amp;"2",IF(AND(COUNT(E7:E10)=2,ISNUMBER(E9),E9=MIN(E7:E10),D9="",F9=""),A6&amp;"4",IF(AND(COUNT(D7:D10)=2,D9=MAX(D7:D10),E9="",F9=""),A6&amp;"1",IF(COUNT(F7:F10)=2,A6&amp;"3",""))))</f>
        <v/>
      </c>
      <c r="H9" s="79"/>
      <c r="I9" s="79"/>
      <c r="J9" s="79"/>
      <c r="K9" s="79"/>
      <c r="L9" s="79"/>
      <c r="M9" s="79"/>
    </row>
    <row r="10" spans="1:13" s="30" customFormat="1" x14ac:dyDescent="0.2">
      <c r="A10" s="296">
        <v>4</v>
      </c>
      <c r="B10" s="123"/>
      <c r="C10" s="124" t="str">
        <f>IF(B10="-",0,"")</f>
        <v/>
      </c>
      <c r="D10" s="124"/>
      <c r="E10" s="32" t="str">
        <f>IF(B10="-",0,"")</f>
        <v/>
      </c>
      <c r="F10" s="314"/>
      <c r="G10" s="32" t="str">
        <f>IF(AND(COUNT(F7:F10)=2,F10=MAX(F7:F10),COUNT(C10:F10)=3),A6&amp;"2",IF(AND(COUNT(E7:E10)=2,ISNUMBER(E10),E10=MIN(E7:E10),D10="",F10=""),A6&amp;"4",IF(AND(COUNT(D7:D10)=2,D10=MAX(D7:D10),E10="",F10=""),A6&amp;"1",IF(COUNT(F7:F10)=2,A6&amp;"3",""))))</f>
        <v/>
      </c>
      <c r="H10" s="79"/>
      <c r="I10" s="79"/>
      <c r="J10" s="79"/>
      <c r="K10" s="79"/>
      <c r="L10" s="79"/>
      <c r="M10" s="79"/>
    </row>
    <row r="11" spans="1:13" x14ac:dyDescent="0.2">
      <c r="B11" s="353" t="s">
        <v>81</v>
      </c>
      <c r="G11" s="353" t="s">
        <v>81</v>
      </c>
    </row>
    <row r="12" spans="1:13" s="30" customFormat="1" x14ac:dyDescent="0.2">
      <c r="A12" s="296" t="s">
        <v>275</v>
      </c>
      <c r="B12" s="351"/>
      <c r="C12" s="31" t="s">
        <v>232</v>
      </c>
      <c r="D12" s="296" t="s">
        <v>61</v>
      </c>
      <c r="E12" s="296" t="s">
        <v>62</v>
      </c>
      <c r="F12" s="31" t="s">
        <v>63</v>
      </c>
      <c r="G12" s="31" t="s">
        <v>19</v>
      </c>
      <c r="H12" s="79"/>
      <c r="I12" s="79"/>
      <c r="J12" s="79"/>
      <c r="K12" s="79"/>
      <c r="L12" s="79"/>
      <c r="M12" s="79"/>
    </row>
    <row r="13" spans="1:13" s="30" customFormat="1" x14ac:dyDescent="0.2">
      <c r="A13" s="296">
        <v>1</v>
      </c>
      <c r="B13" s="186"/>
      <c r="C13" s="124" t="str">
        <f>IF(B16="-",13,"")</f>
        <v/>
      </c>
      <c r="D13" s="124"/>
      <c r="E13" s="32"/>
      <c r="F13" s="314"/>
      <c r="G13" s="32" t="str">
        <f>IF(AND(COUNT(F13:F16)=2,F13=MAX(F13:F16),COUNT(C13:F13)=3),A12&amp;"2",IF(AND(COUNT(E13:E16)=2,ISNUMBER(E13),E13=MIN(E13:E16),D13="",F13=""),A12&amp;"4",IF(AND(COUNT(D13:D16)=2,D13=MAX(D13:D16),E13="",F13=""),A12&amp;"1",IF(COUNT(F13:F16)=2,A12&amp;"3",""))))</f>
        <v/>
      </c>
      <c r="H13" s="79"/>
      <c r="I13" s="79"/>
      <c r="J13" s="79"/>
      <c r="K13" s="79"/>
      <c r="L13" s="79"/>
      <c r="M13" s="79"/>
    </row>
    <row r="14" spans="1:13" s="30" customFormat="1" x14ac:dyDescent="0.2">
      <c r="A14" s="296">
        <v>2</v>
      </c>
      <c r="B14" s="122"/>
      <c r="C14" s="336"/>
      <c r="D14" s="124"/>
      <c r="E14" s="32" t="str">
        <f>IF(AND(B16="-",ISNUMBER(C14),C14&lt;C15),13,"")</f>
        <v/>
      </c>
      <c r="F14" s="314"/>
      <c r="G14" s="32" t="str">
        <f>IF(AND(COUNT(F13:F16)=2,F14=MAX(F13:F16),COUNT(C14:F14)=3),A12&amp;"2",IF(AND(COUNT(E13:E16)=2,ISNUMBER(E14),E14=MIN(E13:E16),D14="",F14=""),A12&amp;"4",IF(AND(COUNT(D13:D16)=2,D14=MAX(D13:D16),E14="",F14=""),A12&amp;"1",IF(COUNT(F13:F16)=2,A12&amp;"3",""))))</f>
        <v/>
      </c>
      <c r="H14" s="79"/>
      <c r="I14" s="79"/>
      <c r="J14" s="79"/>
      <c r="K14" s="79"/>
      <c r="L14" s="79"/>
      <c r="M14" s="79"/>
    </row>
    <row r="15" spans="1:13" s="30" customFormat="1" x14ac:dyDescent="0.2">
      <c r="A15" s="296">
        <v>3</v>
      </c>
      <c r="B15" s="122"/>
      <c r="C15" s="336"/>
      <c r="D15" s="32"/>
      <c r="E15" s="32" t="str">
        <f>IF(AND(B16="-",ISNUMBER(C15),C15&lt;C14),13,"")</f>
        <v/>
      </c>
      <c r="F15" s="314"/>
      <c r="G15" s="32" t="str">
        <f>IF(AND(COUNT(F13:F16)=2,F15=MAX(F13:F16),COUNT(C15:F15)=3),A12&amp;"2",IF(AND(COUNT(E13:E16)=2,ISNUMBER(E15),E15=MIN(E13:E16),D15="",F15=""),A12&amp;"4",IF(AND(COUNT(D13:D16)=2,D15=MAX(D13:D16),E15="",F15=""),A12&amp;"1",IF(COUNT(F13:F16)=2,A12&amp;"3",""))))</f>
        <v/>
      </c>
      <c r="H15" s="79"/>
      <c r="I15" s="79"/>
      <c r="J15" s="79"/>
      <c r="K15" s="79"/>
      <c r="L15" s="79"/>
      <c r="M15" s="79"/>
    </row>
    <row r="16" spans="1:13" s="30" customFormat="1" x14ac:dyDescent="0.2">
      <c r="A16" s="296">
        <v>4</v>
      </c>
      <c r="B16" s="123"/>
      <c r="C16" s="124" t="str">
        <f>IF(B16="-",0,"")</f>
        <v/>
      </c>
      <c r="D16" s="124"/>
      <c r="E16" s="32" t="str">
        <f>IF(B16="-",0,"")</f>
        <v/>
      </c>
      <c r="F16" s="314"/>
      <c r="G16" s="32" t="str">
        <f>IF(AND(COUNT(F13:F16)=2,F16=MAX(F13:F16),COUNT(C16:F16)=3),A12&amp;"2",IF(AND(COUNT(E13:E16)=2,ISNUMBER(E16),E16=MIN(E13:E16),D16="",F16=""),A12&amp;"4",IF(AND(COUNT(D13:D16)=2,D16=MAX(D13:D16),E16="",F16=""),A12&amp;"1",IF(COUNT(F13:F16)=2,A12&amp;"3",""))))</f>
        <v/>
      </c>
      <c r="H16" s="79"/>
      <c r="I16" s="79"/>
      <c r="J16" s="79"/>
      <c r="K16" s="79"/>
      <c r="L16" s="79"/>
      <c r="M16" s="79"/>
    </row>
    <row r="18" spans="1:13" s="30" customFormat="1" x14ac:dyDescent="0.2">
      <c r="A18" s="296" t="s">
        <v>292</v>
      </c>
      <c r="B18" s="351"/>
      <c r="C18" s="31" t="s">
        <v>232</v>
      </c>
      <c r="D18" s="296" t="s">
        <v>61</v>
      </c>
      <c r="E18" s="296" t="s">
        <v>62</v>
      </c>
      <c r="F18" s="31" t="s">
        <v>63</v>
      </c>
      <c r="G18" s="31" t="s">
        <v>19</v>
      </c>
      <c r="H18" s="79"/>
      <c r="I18" s="79"/>
      <c r="J18" s="79"/>
      <c r="K18" s="79"/>
      <c r="L18" s="79"/>
      <c r="M18" s="79"/>
    </row>
    <row r="19" spans="1:13" s="30" customFormat="1" x14ac:dyDescent="0.2">
      <c r="A19" s="296">
        <v>1</v>
      </c>
      <c r="B19" s="186"/>
      <c r="C19" s="124" t="str">
        <f>IF(B22="-",13,"")</f>
        <v/>
      </c>
      <c r="D19" s="124"/>
      <c r="E19" s="32"/>
      <c r="F19" s="314"/>
      <c r="G19" s="32" t="str">
        <f>IF(AND(COUNT(F19:F22)=2,F19=MAX(F19:F22),COUNT(C19:F19)=3),A18&amp;"2",IF(AND(COUNT(E19:E22)=2,ISNUMBER(E19),E19=MIN(E19:E22),D19="",F19=""),A18&amp;"4",IF(AND(COUNT(D19:D22)=2,D19=MAX(D19:D22),E19="",F19=""),A18&amp;"1",IF(COUNT(F19:F22)=2,A18&amp;"3",""))))</f>
        <v/>
      </c>
      <c r="H19" s="79"/>
      <c r="I19" s="79"/>
      <c r="J19" s="79"/>
      <c r="K19" s="79"/>
      <c r="L19" s="79"/>
      <c r="M19" s="79"/>
    </row>
    <row r="20" spans="1:13" s="30" customFormat="1" x14ac:dyDescent="0.2">
      <c r="A20" s="296">
        <v>2</v>
      </c>
      <c r="B20" s="122"/>
      <c r="C20" s="336"/>
      <c r="D20" s="124"/>
      <c r="E20" s="32" t="str">
        <f>IF(AND(B22="-",ISNUMBER(C20),C20&lt;C21),13,"")</f>
        <v/>
      </c>
      <c r="F20" s="314"/>
      <c r="G20" s="32" t="str">
        <f>IF(AND(COUNT(F19:F22)=2,F20=MAX(F19:F22),COUNT(C20:F20)=3),A18&amp;"2",IF(AND(COUNT(E19:E22)=2,ISNUMBER(E20),E20=MIN(E19:E22),D20="",F20=""),A18&amp;"4",IF(AND(COUNT(D19:D22)=2,D20=MAX(D19:D22),E20="",F20=""),A18&amp;"1",IF(COUNT(F19:F22)=2,A18&amp;"3",""))))</f>
        <v/>
      </c>
      <c r="H20" s="79"/>
      <c r="I20" s="79"/>
      <c r="J20" s="79"/>
      <c r="K20" s="79"/>
      <c r="L20" s="79"/>
      <c r="M20" s="79"/>
    </row>
    <row r="21" spans="1:13" s="30" customFormat="1" x14ac:dyDescent="0.2">
      <c r="A21" s="296">
        <v>3</v>
      </c>
      <c r="B21" s="122"/>
      <c r="C21" s="336"/>
      <c r="D21" s="32"/>
      <c r="E21" s="32" t="str">
        <f>IF(AND(B22="-",ISNUMBER(C21),C21&lt;C20),13,"")</f>
        <v/>
      </c>
      <c r="F21" s="314"/>
      <c r="G21" s="32" t="str">
        <f>IF(AND(COUNT(F19:F22)=2,F21=MAX(F19:F22),COUNT(C21:F21)=3),A18&amp;"2",IF(AND(COUNT(E19:E22)=2,ISNUMBER(E21),E21=MIN(E19:E22),D21="",F21=""),A18&amp;"4",IF(AND(COUNT(D19:D22)=2,D21=MAX(D19:D22),E21="",F21=""),A18&amp;"1",IF(COUNT(F19:F22)=2,A18&amp;"3",""))))</f>
        <v/>
      </c>
      <c r="H21" s="79"/>
      <c r="I21" s="79"/>
      <c r="J21" s="79"/>
      <c r="K21" s="79"/>
      <c r="L21" s="79"/>
      <c r="M21" s="79"/>
    </row>
    <row r="22" spans="1:13" s="30" customFormat="1" x14ac:dyDescent="0.2">
      <c r="A22" s="296">
        <v>4</v>
      </c>
      <c r="B22" s="123"/>
      <c r="C22" s="124" t="str">
        <f>IF(B22="-",0,"")</f>
        <v/>
      </c>
      <c r="D22" s="124"/>
      <c r="E22" s="32" t="str">
        <f>IF(B22="-",0,"")</f>
        <v/>
      </c>
      <c r="F22" s="314"/>
      <c r="G22" s="32" t="str">
        <f>IF(AND(COUNT(F19:F22)=2,F22=MAX(F19:F22),COUNT(C22:F22)=3),A18&amp;"2",IF(AND(COUNT(E19:E22)=2,ISNUMBER(E22),E22=MIN(E19:E22),D22="",F22=""),A18&amp;"4",IF(AND(COUNT(D19:D22)=2,D22=MAX(D19:D22),E22="",F22=""),A18&amp;"1",IF(COUNT(F19:F22)=2,A18&amp;"3",""))))</f>
        <v/>
      </c>
      <c r="H22" s="79"/>
      <c r="I22" s="79"/>
      <c r="J22" s="79"/>
      <c r="K22" s="79"/>
      <c r="L22" s="79"/>
      <c r="M22" s="79"/>
    </row>
    <row r="24" spans="1:13" s="30" customFormat="1" x14ac:dyDescent="0.2">
      <c r="A24" s="296" t="s">
        <v>293</v>
      </c>
      <c r="B24" s="351"/>
      <c r="C24" s="31" t="s">
        <v>232</v>
      </c>
      <c r="D24" s="296" t="s">
        <v>61</v>
      </c>
      <c r="E24" s="296" t="s">
        <v>62</v>
      </c>
      <c r="F24" s="31" t="s">
        <v>63</v>
      </c>
      <c r="G24" s="31" t="s">
        <v>19</v>
      </c>
      <c r="H24" s="79"/>
      <c r="I24" s="79"/>
      <c r="J24" s="79"/>
      <c r="K24" s="79"/>
      <c r="L24" s="79"/>
      <c r="M24" s="79"/>
    </row>
    <row r="25" spans="1:13" s="30" customFormat="1" x14ac:dyDescent="0.2">
      <c r="A25" s="296">
        <v>1</v>
      </c>
      <c r="B25" s="186"/>
      <c r="C25" s="124" t="str">
        <f>IF(B28="-",13,"")</f>
        <v/>
      </c>
      <c r="D25" s="124"/>
      <c r="E25" s="32"/>
      <c r="F25" s="314"/>
      <c r="G25" s="32" t="str">
        <f>IF(AND(COUNT(F25:F28)=2,F25=MAX(F25:F28),COUNT(C25:F25)=3),A24&amp;"2",IF(AND(COUNT(E25:E28)=2,ISNUMBER(E25),E25=MIN(E25:E28),D25="",F25=""),A24&amp;"4",IF(AND(COUNT(D25:D28)=2,D25=MAX(D25:D28),E25="",F25=""),A24&amp;"1",IF(COUNT(F25:F28)=2,A24&amp;"3",""))))</f>
        <v/>
      </c>
      <c r="H25" s="79"/>
      <c r="I25" s="79"/>
      <c r="J25" s="79"/>
      <c r="K25" s="79"/>
      <c r="L25" s="79"/>
      <c r="M25" s="79"/>
    </row>
    <row r="26" spans="1:13" s="30" customFormat="1" x14ac:dyDescent="0.2">
      <c r="A26" s="296">
        <v>2</v>
      </c>
      <c r="B26" s="122"/>
      <c r="C26" s="336"/>
      <c r="D26" s="124"/>
      <c r="E26" s="32" t="str">
        <f>IF(AND(B28="-",ISNUMBER(C26),C26&lt;C27),13,"")</f>
        <v/>
      </c>
      <c r="F26" s="314"/>
      <c r="G26" s="32" t="str">
        <f>IF(AND(COUNT(F25:F28)=2,F26=MAX(F25:F28),COUNT(C26:F26)=3),A24&amp;"2",IF(AND(COUNT(E25:E28)=2,ISNUMBER(E26),E26=MIN(E25:E28),D26="",F26=""),A24&amp;"4",IF(AND(COUNT(D25:D28)=2,D26=MAX(D25:D28),E26="",F26=""),A24&amp;"1",IF(COUNT(F25:F28)=2,A24&amp;"3",""))))</f>
        <v/>
      </c>
      <c r="H26" s="79"/>
      <c r="I26" s="79"/>
      <c r="J26" s="79"/>
      <c r="K26" s="79"/>
      <c r="L26" s="79"/>
      <c r="M26" s="79"/>
    </row>
    <row r="27" spans="1:13" s="30" customFormat="1" x14ac:dyDescent="0.2">
      <c r="A27" s="296">
        <v>3</v>
      </c>
      <c r="B27" s="122"/>
      <c r="C27" s="336"/>
      <c r="D27" s="32"/>
      <c r="E27" s="32" t="str">
        <f>IF(AND(B28="-",ISNUMBER(C27),C27&lt;C26),13,"")</f>
        <v/>
      </c>
      <c r="F27" s="314"/>
      <c r="G27" s="32" t="str">
        <f>IF(AND(COUNT(F25:F28)=2,F27=MAX(F25:F28),COUNT(C27:F27)=3),A24&amp;"2",IF(AND(COUNT(E25:E28)=2,ISNUMBER(E27),E27=MIN(E25:E28),D27="",F27=""),A24&amp;"4",IF(AND(COUNT(D25:D28)=2,D27=MAX(D25:D28),E27="",F27=""),A24&amp;"1",IF(COUNT(F25:F28)=2,A24&amp;"3",""))))</f>
        <v/>
      </c>
      <c r="H27" s="79"/>
      <c r="I27" s="79"/>
      <c r="J27" s="79"/>
      <c r="K27" s="79"/>
      <c r="L27" s="79"/>
      <c r="M27" s="79"/>
    </row>
    <row r="28" spans="1:13" s="30" customFormat="1" x14ac:dyDescent="0.2">
      <c r="A28" s="296">
        <v>4</v>
      </c>
      <c r="B28" s="123"/>
      <c r="C28" s="124" t="str">
        <f>IF(B28="-",0,"")</f>
        <v/>
      </c>
      <c r="D28" s="124"/>
      <c r="E28" s="32" t="str">
        <f>IF(B28="-",0,"")</f>
        <v/>
      </c>
      <c r="F28" s="314"/>
      <c r="G28" s="32" t="str">
        <f>IF(AND(COUNT(F25:F28)=2,F28=MAX(F25:F28),COUNT(C28:F28)=3),A24&amp;"2",IF(AND(COUNT(E25:E28)=2,ISNUMBER(E28),E28=MIN(E25:E28),D28="",F28=""),A24&amp;"4",IF(AND(COUNT(D25:D28)=2,D28=MAX(D25:D28),E28="",F28=""),A24&amp;"1",IF(COUNT(F25:F28)=2,A24&amp;"3",""))))</f>
        <v/>
      </c>
      <c r="H28" s="79"/>
      <c r="I28" s="79"/>
      <c r="J28" s="79"/>
      <c r="K28" s="79"/>
      <c r="L28" s="79"/>
      <c r="M28" s="79"/>
    </row>
    <row r="30" spans="1:13" s="30" customFormat="1" x14ac:dyDescent="0.2">
      <c r="A30" s="296" t="s">
        <v>276</v>
      </c>
      <c r="B30" s="351"/>
      <c r="C30" s="31" t="s">
        <v>232</v>
      </c>
      <c r="D30" s="296" t="s">
        <v>61</v>
      </c>
      <c r="E30" s="296" t="s">
        <v>62</v>
      </c>
      <c r="F30" s="31" t="s">
        <v>63</v>
      </c>
      <c r="G30" s="31" t="s">
        <v>19</v>
      </c>
      <c r="H30" s="79"/>
      <c r="I30" s="79"/>
      <c r="J30" s="79"/>
      <c r="K30" s="79"/>
      <c r="L30" s="79"/>
      <c r="M30" s="79"/>
    </row>
    <row r="31" spans="1:13" s="30" customFormat="1" x14ac:dyDescent="0.2">
      <c r="A31" s="296">
        <v>1</v>
      </c>
      <c r="B31" s="186"/>
      <c r="C31" s="124" t="str">
        <f>IF(B34="-",13,"")</f>
        <v/>
      </c>
      <c r="D31" s="124"/>
      <c r="E31" s="32"/>
      <c r="F31" s="314"/>
      <c r="G31" s="32" t="str">
        <f>IF(AND(COUNT(F31:F34)=2,F31=MAX(F31:F34),COUNT(C31:F31)=3),A30&amp;"2",IF(AND(COUNT(E31:E34)=2,ISNUMBER(E31),E31=MIN(E31:E34),D31="",F31=""),A30&amp;"4",IF(AND(COUNT(D31:D34)=2,D31=MAX(D31:D34),E31="",F31=""),A30&amp;"1",IF(COUNT(F31:F34)=2,A30&amp;"3",""))))</f>
        <v/>
      </c>
      <c r="H31" s="79"/>
      <c r="I31" s="79"/>
      <c r="J31" s="79"/>
      <c r="K31" s="79"/>
      <c r="L31" s="79"/>
      <c r="M31" s="79"/>
    </row>
    <row r="32" spans="1:13" s="30" customFormat="1" x14ac:dyDescent="0.2">
      <c r="A32" s="296">
        <v>2</v>
      </c>
      <c r="B32" s="122"/>
      <c r="C32" s="336"/>
      <c r="D32" s="124"/>
      <c r="E32" s="32" t="str">
        <f>IF(AND(B34="-",ISNUMBER(C32),C32&lt;C33),13,"")</f>
        <v/>
      </c>
      <c r="F32" s="314"/>
      <c r="G32" s="32" t="str">
        <f>IF(AND(COUNT(F31:F34)=2,F32=MAX(F31:F34),COUNT(C32:F32)=3),A30&amp;"2",IF(AND(COUNT(E31:E34)=2,ISNUMBER(E32),E32=MIN(E31:E34),D32="",F32=""),A30&amp;"4",IF(AND(COUNT(D31:D34)=2,D32=MAX(D31:D34),E32="",F32=""),A30&amp;"1",IF(COUNT(F31:F34)=2,A30&amp;"3",""))))</f>
        <v/>
      </c>
      <c r="H32" s="79"/>
      <c r="I32" s="79"/>
      <c r="J32" s="79"/>
      <c r="K32" s="79"/>
      <c r="L32" s="79"/>
      <c r="M32" s="79"/>
    </row>
    <row r="33" spans="1:13" s="30" customFormat="1" x14ac:dyDescent="0.2">
      <c r="A33" s="296">
        <v>3</v>
      </c>
      <c r="B33" s="122"/>
      <c r="C33" s="336"/>
      <c r="D33" s="32"/>
      <c r="E33" s="32" t="str">
        <f>IF(AND(B34="-",ISNUMBER(C33),C33&lt;C32),13,"")</f>
        <v/>
      </c>
      <c r="F33" s="314"/>
      <c r="G33" s="32" t="str">
        <f>IF(AND(COUNT(F31:F34)=2,F33=MAX(F31:F34),COUNT(C33:F33)=3),A30&amp;"2",IF(AND(COUNT(E31:E34)=2,ISNUMBER(E33),E33=MIN(E31:E34),D33="",F33=""),A30&amp;"4",IF(AND(COUNT(D31:D34)=2,D33=MAX(D31:D34),E33="",F33=""),A30&amp;"1",IF(COUNT(F31:F34)=2,A30&amp;"3",""))))</f>
        <v/>
      </c>
      <c r="H33" s="79"/>
      <c r="I33" s="79"/>
      <c r="J33" s="79"/>
      <c r="K33" s="79"/>
      <c r="L33" s="79"/>
      <c r="M33" s="79"/>
    </row>
    <row r="34" spans="1:13" s="30" customFormat="1" x14ac:dyDescent="0.2">
      <c r="A34" s="296">
        <v>4</v>
      </c>
      <c r="B34" s="123"/>
      <c r="C34" s="124" t="str">
        <f>IF(B34="-",0,"")</f>
        <v/>
      </c>
      <c r="D34" s="124"/>
      <c r="E34" s="32" t="str">
        <f>IF(B34="-",0,"")</f>
        <v/>
      </c>
      <c r="F34" s="314"/>
      <c r="G34" s="32" t="str">
        <f>IF(AND(COUNT(F31:F34)=2,F34=MAX(F31:F34),COUNT(C34:F34)=3),A30&amp;"2",IF(AND(COUNT(E31:E34)=2,ISNUMBER(E34),E34=MIN(E31:E34),D34="",F34=""),A30&amp;"4",IF(AND(COUNT(D31:D34)=2,D34=MAX(D31:D34),E34="",F34=""),A30&amp;"1",IF(COUNT(F31:F34)=2,A30&amp;"3",""))))</f>
        <v/>
      </c>
      <c r="H34" s="79"/>
      <c r="I34" s="79"/>
      <c r="J34" s="79"/>
      <c r="K34" s="79"/>
      <c r="L34" s="79"/>
      <c r="M34" s="79"/>
    </row>
    <row r="36" spans="1:13" s="30" customFormat="1" x14ac:dyDescent="0.2">
      <c r="A36" s="296" t="s">
        <v>294</v>
      </c>
      <c r="B36" s="351"/>
      <c r="C36" s="31" t="s">
        <v>232</v>
      </c>
      <c r="D36" s="296" t="s">
        <v>61</v>
      </c>
      <c r="E36" s="296" t="s">
        <v>62</v>
      </c>
      <c r="F36" s="31" t="s">
        <v>63</v>
      </c>
      <c r="G36" s="31" t="s">
        <v>19</v>
      </c>
      <c r="H36" s="79"/>
      <c r="I36" s="79"/>
      <c r="J36" s="79"/>
      <c r="K36" s="79"/>
      <c r="L36" s="79"/>
      <c r="M36" s="79"/>
    </row>
    <row r="37" spans="1:13" s="30" customFormat="1" x14ac:dyDescent="0.2">
      <c r="A37" s="296">
        <v>1</v>
      </c>
      <c r="B37" s="186"/>
      <c r="C37" s="124" t="str">
        <f>IF(B40="-",13,"")</f>
        <v/>
      </c>
      <c r="D37" s="124"/>
      <c r="E37" s="32"/>
      <c r="F37" s="314"/>
      <c r="G37" s="32" t="str">
        <f>IF(AND(COUNT(F37:F40)=2,F37=MAX(F37:F40),COUNT(C37:F37)=3),A36&amp;"2",IF(AND(COUNT(E37:E40)=2,ISNUMBER(E37),E37=MIN(E37:E40),D37="",F37=""),A36&amp;"4",IF(AND(COUNT(D37:D40)=2,D37=MAX(D37:D40),E37="",F37=""),A36&amp;"1",IF(COUNT(F37:F40)=2,A36&amp;"3",""))))</f>
        <v/>
      </c>
      <c r="H37" s="79"/>
      <c r="I37" s="79"/>
      <c r="J37" s="79"/>
      <c r="K37" s="79"/>
      <c r="L37" s="79"/>
      <c r="M37" s="79"/>
    </row>
    <row r="38" spans="1:13" s="30" customFormat="1" x14ac:dyDescent="0.2">
      <c r="A38" s="296">
        <v>2</v>
      </c>
      <c r="B38" s="122"/>
      <c r="C38" s="336"/>
      <c r="D38" s="124"/>
      <c r="E38" s="32" t="str">
        <f>IF(AND(B40="-",ISNUMBER(C38),C38&lt;C39),13,"")</f>
        <v/>
      </c>
      <c r="F38" s="314"/>
      <c r="G38" s="32" t="str">
        <f>IF(AND(COUNT(F37:F40)=2,F38=MAX(F37:F40),COUNT(C38:F38)=3),A36&amp;"2",IF(AND(COUNT(E37:E40)=2,ISNUMBER(E38),E38=MIN(E37:E40),D38="",F38=""),A36&amp;"4",IF(AND(COUNT(D37:D40)=2,D38=MAX(D37:D40),E38="",F38=""),A36&amp;"1",IF(COUNT(F37:F40)=2,A36&amp;"3",""))))</f>
        <v/>
      </c>
      <c r="H38" s="79"/>
      <c r="I38" s="79"/>
      <c r="J38" s="79"/>
      <c r="K38" s="79"/>
      <c r="L38" s="79"/>
      <c r="M38" s="79"/>
    </row>
    <row r="39" spans="1:13" s="30" customFormat="1" x14ac:dyDescent="0.2">
      <c r="A39" s="296">
        <v>3</v>
      </c>
      <c r="B39" s="122"/>
      <c r="C39" s="336"/>
      <c r="D39" s="32"/>
      <c r="E39" s="32" t="str">
        <f>IF(AND(B40="-",ISNUMBER(C39),C39&lt;C38),13,"")</f>
        <v/>
      </c>
      <c r="F39" s="314"/>
      <c r="G39" s="32" t="str">
        <f>IF(AND(COUNT(F37:F40)=2,F39=MAX(F37:F40),COUNT(C39:F39)=3),A36&amp;"2",IF(AND(COUNT(E37:E40)=2,ISNUMBER(E39),E39=MIN(E37:E40),D39="",F39=""),A36&amp;"4",IF(AND(COUNT(D37:D40)=2,D39=MAX(D37:D40),E39="",F39=""),A36&amp;"1",IF(COUNT(F37:F40)=2,A36&amp;"3",""))))</f>
        <v/>
      </c>
      <c r="H39" s="79"/>
      <c r="I39" s="79"/>
      <c r="J39" s="79"/>
      <c r="K39" s="79"/>
      <c r="L39" s="79"/>
      <c r="M39" s="79"/>
    </row>
    <row r="40" spans="1:13" s="30" customFormat="1" x14ac:dyDescent="0.2">
      <c r="A40" s="296">
        <v>4</v>
      </c>
      <c r="B40" s="123"/>
      <c r="C40" s="124" t="str">
        <f>IF(B40="-",0,"")</f>
        <v/>
      </c>
      <c r="D40" s="124"/>
      <c r="E40" s="32" t="str">
        <f>IF(B40="-",0,"")</f>
        <v/>
      </c>
      <c r="F40" s="314"/>
      <c r="G40" s="32" t="str">
        <f>IF(AND(COUNT(F37:F40)=2,F40=MAX(F37:F40),COUNT(C40:F40)=3),A36&amp;"2",IF(AND(COUNT(E37:E40)=2,ISNUMBER(E40),E40=MIN(E37:E40),D40="",F40=""),A36&amp;"4",IF(AND(COUNT(D37:D40)=2,D40=MAX(D37:D40),E40="",F40=""),A36&amp;"1",IF(COUNT(F37:F40)=2,A36&amp;"3",""))))</f>
        <v/>
      </c>
      <c r="H40" s="79"/>
      <c r="I40" s="79"/>
      <c r="J40" s="79"/>
      <c r="K40" s="79"/>
      <c r="L40" s="79"/>
      <c r="M40" s="79"/>
    </row>
    <row r="42" spans="1:13" s="30" customFormat="1" x14ac:dyDescent="0.2">
      <c r="A42" s="296" t="s">
        <v>295</v>
      </c>
      <c r="B42" s="351"/>
      <c r="C42" s="31" t="s">
        <v>232</v>
      </c>
      <c r="D42" s="296" t="s">
        <v>61</v>
      </c>
      <c r="E42" s="296" t="s">
        <v>62</v>
      </c>
      <c r="F42" s="31" t="s">
        <v>63</v>
      </c>
      <c r="G42" s="31" t="s">
        <v>19</v>
      </c>
      <c r="H42" s="79"/>
      <c r="I42" s="79"/>
      <c r="J42" s="79"/>
      <c r="K42" s="79"/>
      <c r="L42" s="79"/>
      <c r="M42" s="79"/>
    </row>
    <row r="43" spans="1:13" s="30" customFormat="1" x14ac:dyDescent="0.2">
      <c r="A43" s="296">
        <v>1</v>
      </c>
      <c r="B43" s="186"/>
      <c r="C43" s="124" t="str">
        <f>IF(B46="-",13,"")</f>
        <v/>
      </c>
      <c r="D43" s="124"/>
      <c r="E43" s="32"/>
      <c r="F43" s="314"/>
      <c r="G43" s="32" t="str">
        <f>IF(AND(COUNT(F43:F46)=2,F43=MAX(F43:F46),COUNT(C43:F43)=3),A42&amp;"2",IF(AND(COUNT(E43:E46)=2,ISNUMBER(E43),E43=MIN(E43:E46),D43="",F43=""),A42&amp;"4",IF(AND(COUNT(D43:D46)=2,D43=MAX(D43:D46),E43="",F43=""),A42&amp;"1",IF(COUNT(F43:F46)=2,A42&amp;"3",""))))</f>
        <v/>
      </c>
      <c r="H43" s="79"/>
      <c r="I43" s="79"/>
      <c r="J43" s="79"/>
      <c r="K43" s="79"/>
      <c r="L43" s="79"/>
      <c r="M43" s="79"/>
    </row>
    <row r="44" spans="1:13" s="30" customFormat="1" x14ac:dyDescent="0.2">
      <c r="A44" s="296">
        <v>2</v>
      </c>
      <c r="B44" s="122"/>
      <c r="C44" s="336"/>
      <c r="D44" s="124"/>
      <c r="E44" s="32" t="str">
        <f>IF(AND(B46="-",ISNUMBER(C44),C44&lt;C45),13,"")</f>
        <v/>
      </c>
      <c r="F44" s="314"/>
      <c r="G44" s="32" t="str">
        <f>IF(AND(COUNT(F43:F46)=2,F44=MAX(F43:F46),COUNT(C44:F44)=3),A42&amp;"2",IF(AND(COUNT(E43:E46)=2,ISNUMBER(E44),E44=MIN(E43:E46),D44="",F44=""),A42&amp;"4",IF(AND(COUNT(D43:D46)=2,D44=MAX(D43:D46),E44="",F44=""),A42&amp;"1",IF(COUNT(F43:F46)=2,A42&amp;"3",""))))</f>
        <v/>
      </c>
      <c r="H44" s="79"/>
      <c r="I44" s="79"/>
      <c r="J44" s="79"/>
      <c r="K44" s="79"/>
      <c r="L44" s="79"/>
      <c r="M44" s="79"/>
    </row>
    <row r="45" spans="1:13" s="30" customFormat="1" x14ac:dyDescent="0.2">
      <c r="A45" s="296">
        <v>3</v>
      </c>
      <c r="B45" s="122"/>
      <c r="C45" s="336"/>
      <c r="D45" s="32"/>
      <c r="E45" s="32" t="str">
        <f>IF(AND(B46="-",ISNUMBER(C45),C45&lt;C44),13,"")</f>
        <v/>
      </c>
      <c r="F45" s="314"/>
      <c r="G45" s="32" t="str">
        <f>IF(AND(COUNT(F43:F46)=2,F45=MAX(F43:F46),COUNT(C45:F45)=3),A42&amp;"2",IF(AND(COUNT(E43:E46)=2,ISNUMBER(E45),E45=MIN(E43:E46),D45="",F45=""),A42&amp;"4",IF(AND(COUNT(D43:D46)=2,D45=MAX(D43:D46),E45="",F45=""),A42&amp;"1",IF(COUNT(F43:F46)=2,A42&amp;"3",""))))</f>
        <v/>
      </c>
      <c r="H45" s="79"/>
      <c r="I45" s="79"/>
      <c r="J45" s="79"/>
      <c r="K45" s="79"/>
      <c r="L45" s="79"/>
      <c r="M45" s="79"/>
    </row>
    <row r="46" spans="1:13" s="30" customFormat="1" x14ac:dyDescent="0.2">
      <c r="A46" s="296">
        <v>4</v>
      </c>
      <c r="B46" s="123"/>
      <c r="C46" s="124" t="str">
        <f>IF(B46="-",0,"")</f>
        <v/>
      </c>
      <c r="D46" s="124"/>
      <c r="E46" s="32" t="str">
        <f>IF(B46="-",0,"")</f>
        <v/>
      </c>
      <c r="F46" s="314"/>
      <c r="G46" s="32" t="str">
        <f>IF(AND(COUNT(F43:F46)=2,F46=MAX(F43:F46),COUNT(C46:F46)=3),A42&amp;"2",IF(AND(COUNT(E43:E46)=2,ISNUMBER(E46),E46=MIN(E43:E46),D46="",F46=""),A42&amp;"4",IF(AND(COUNT(D43:D46)=2,D46=MAX(D43:D46),E46="",F46=""),A42&amp;"1",IF(COUNT(F43:F46)=2,A42&amp;"3",""))))</f>
        <v/>
      </c>
      <c r="H46" s="79"/>
      <c r="I46" s="79"/>
      <c r="J46" s="79"/>
      <c r="K46" s="79"/>
      <c r="L46" s="79"/>
      <c r="M46" s="79"/>
    </row>
    <row r="48" spans="1:13" s="30" customFormat="1" x14ac:dyDescent="0.2">
      <c r="A48" s="296" t="s">
        <v>296</v>
      </c>
      <c r="B48" s="351"/>
      <c r="C48" s="31" t="s">
        <v>232</v>
      </c>
      <c r="D48" s="296" t="s">
        <v>61</v>
      </c>
      <c r="E48" s="296" t="s">
        <v>62</v>
      </c>
      <c r="F48" s="31" t="s">
        <v>63</v>
      </c>
      <c r="G48" s="31" t="s">
        <v>19</v>
      </c>
      <c r="H48" s="79"/>
      <c r="I48" s="79"/>
      <c r="J48" s="79"/>
      <c r="K48" s="79"/>
      <c r="L48" s="79"/>
      <c r="M48" s="79"/>
    </row>
    <row r="49" spans="1:13" s="30" customFormat="1" x14ac:dyDescent="0.2">
      <c r="A49" s="296">
        <v>1</v>
      </c>
      <c r="B49" s="186"/>
      <c r="C49" s="124" t="str">
        <f>IF(B52="-",13,"")</f>
        <v/>
      </c>
      <c r="D49" s="124"/>
      <c r="E49" s="32"/>
      <c r="F49" s="314"/>
      <c r="G49" s="32" t="str">
        <f>IF(AND(COUNT(F49:F52)=2,F49=MAX(F49:F52),COUNT(C49:F49)=3),A48&amp;"2",IF(AND(COUNT(E49:E52)=2,ISNUMBER(E49),E49=MIN(E49:E52),D49="",F49=""),A48&amp;"4",IF(AND(COUNT(D49:D52)=2,D49=MAX(D49:D52),E49="",F49=""),A48&amp;"1",IF(COUNT(F49:F52)=2,A48&amp;"3",""))))</f>
        <v/>
      </c>
      <c r="H49" s="79"/>
      <c r="I49" s="79"/>
      <c r="J49" s="79"/>
      <c r="K49" s="79"/>
      <c r="L49" s="79"/>
      <c r="M49" s="79"/>
    </row>
    <row r="50" spans="1:13" s="30" customFormat="1" x14ac:dyDescent="0.2">
      <c r="A50" s="296">
        <v>2</v>
      </c>
      <c r="B50" s="122"/>
      <c r="C50" s="336"/>
      <c r="D50" s="124"/>
      <c r="E50" s="32" t="str">
        <f>IF(AND(B52="-",ISNUMBER(C50),C50&lt;C51),13,"")</f>
        <v/>
      </c>
      <c r="F50" s="314"/>
      <c r="G50" s="32" t="str">
        <f>IF(AND(COUNT(F49:F52)=2,F50=MAX(F49:F52),COUNT(C50:F50)=3),A48&amp;"2",IF(AND(COUNT(E49:E52)=2,ISNUMBER(E50),E50=MIN(E49:E52),D50="",F50=""),A48&amp;"4",IF(AND(COUNT(D49:D52)=2,D50=MAX(D49:D52),E50="",F50=""),A48&amp;"1",IF(COUNT(F49:F52)=2,A48&amp;"3",""))))</f>
        <v/>
      </c>
      <c r="H50" s="79"/>
      <c r="I50" s="79"/>
      <c r="J50" s="79"/>
      <c r="K50" s="79"/>
      <c r="L50" s="79"/>
      <c r="M50" s="79"/>
    </row>
    <row r="51" spans="1:13" s="30" customFormat="1" x14ac:dyDescent="0.2">
      <c r="A51" s="296">
        <v>3</v>
      </c>
      <c r="B51" s="122"/>
      <c r="C51" s="336"/>
      <c r="D51" s="32"/>
      <c r="E51" s="32" t="str">
        <f>IF(AND(B52="-",ISNUMBER(C51),C51&lt;C50),13,"")</f>
        <v/>
      </c>
      <c r="F51" s="314"/>
      <c r="G51" s="32" t="str">
        <f>IF(AND(COUNT(F49:F52)=2,F51=MAX(F49:F52),COUNT(C51:F51)=3),A48&amp;"2",IF(AND(COUNT(E49:E52)=2,ISNUMBER(E51),E51=MIN(E49:E52),D51="",F51=""),A48&amp;"4",IF(AND(COUNT(D49:D52)=2,D51=MAX(D49:D52),E51="",F51=""),A48&amp;"1",IF(COUNT(F49:F52)=2,A48&amp;"3",""))))</f>
        <v/>
      </c>
      <c r="H51" s="79"/>
      <c r="I51" s="79"/>
      <c r="J51" s="79"/>
      <c r="K51" s="79"/>
      <c r="L51" s="79"/>
      <c r="M51" s="79"/>
    </row>
    <row r="52" spans="1:13" s="30" customFormat="1" x14ac:dyDescent="0.2">
      <c r="A52" s="296">
        <v>4</v>
      </c>
      <c r="B52" s="123"/>
      <c r="C52" s="124" t="str">
        <f>IF(B52="-",0,"")</f>
        <v/>
      </c>
      <c r="D52" s="124"/>
      <c r="E52" s="32" t="str">
        <f>IF(B52="-",0,"")</f>
        <v/>
      </c>
      <c r="F52" s="314"/>
      <c r="G52" s="32" t="str">
        <f>IF(AND(COUNT(F49:F52)=2,F52=MAX(F49:F52),COUNT(C52:F52)=3),A48&amp;"2",IF(AND(COUNT(E49:E52)=2,ISNUMBER(E52),E52=MIN(E49:E52),D52="",F52=""),A48&amp;"4",IF(AND(COUNT(D49:D52)=2,D52=MAX(D49:D52),E52="",F52=""),A48&amp;"1",IF(COUNT(F49:F52)=2,A48&amp;"3",""))))</f>
        <v/>
      </c>
      <c r="H52" s="79"/>
      <c r="I52" s="79"/>
      <c r="J52" s="79"/>
      <c r="K52" s="79"/>
      <c r="L52" s="79"/>
      <c r="M52" s="79"/>
    </row>
    <row r="53" spans="1:13" s="30" customFormat="1" x14ac:dyDescent="0.2">
      <c r="A53" s="34"/>
      <c r="B53" s="38"/>
      <c r="C53" s="36"/>
      <c r="D53" s="36"/>
      <c r="E53" s="36"/>
      <c r="F53" s="36"/>
      <c r="G53" s="39"/>
    </row>
    <row r="54" spans="1:13" s="42" customFormat="1" x14ac:dyDescent="0.2">
      <c r="A54" s="60" t="s">
        <v>90</v>
      </c>
      <c r="B54" s="45"/>
      <c r="C54" s="35"/>
      <c r="D54" s="35"/>
      <c r="E54" s="35"/>
      <c r="F54" s="36"/>
      <c r="G54" s="37"/>
    </row>
    <row r="55" spans="1:13" s="42" customFormat="1" x14ac:dyDescent="0.2"/>
    <row r="56" spans="1:13" s="42" customFormat="1" x14ac:dyDescent="0.2">
      <c r="A56" s="61"/>
      <c r="B56" s="310" t="str">
        <f>IFERROR(INDEX(B$7:B$52,MATCH(A56,G$7:G$52,0)),"")</f>
        <v/>
      </c>
      <c r="C56" s="81" t="str">
        <f>IF(B56="-",0,IF(B58="-",13,""))</f>
        <v/>
      </c>
    </row>
    <row r="57" spans="1:13" s="42" customFormat="1" x14ac:dyDescent="0.2">
      <c r="A57" s="43"/>
      <c r="B57" s="311"/>
      <c r="C57" s="126" t="str">
        <f>IF(COUNT(C56,C58)=2,IF(C56&gt;C58,B56,B58),"")</f>
        <v/>
      </c>
      <c r="E57" s="81" t="str">
        <f>IF(C57="-",0,IF(C61="-",13,""))</f>
        <v/>
      </c>
    </row>
    <row r="58" spans="1:13" s="42" customFormat="1" x14ac:dyDescent="0.2">
      <c r="A58" s="43"/>
      <c r="B58" s="312" t="str">
        <f>IFERROR(INDEX(B$7:B$52,MATCH(A58,G$7:G$52,0)),"")</f>
        <v/>
      </c>
      <c r="C58" s="63" t="str">
        <f>IF(B58="-",0,IF(B56="-",13,""))</f>
        <v/>
      </c>
      <c r="D58" s="345"/>
    </row>
    <row r="59" spans="1:13" s="42" customFormat="1" x14ac:dyDescent="0.2">
      <c r="A59" s="43"/>
      <c r="B59" s="313"/>
      <c r="D59" s="46"/>
      <c r="E59" s="126" t="str">
        <f>IF(COUNT(E57,E61)=2,IF(E57&gt;E61,C57,C61),"")</f>
        <v/>
      </c>
      <c r="G59" s="81" t="str">
        <f>IF(E59="-",0,IF(E67="-",13,""))</f>
        <v/>
      </c>
    </row>
    <row r="60" spans="1:13" s="42" customFormat="1" x14ac:dyDescent="0.2">
      <c r="A60" s="43"/>
      <c r="B60" s="310" t="str">
        <f>IFERROR(INDEX(B$7:B$52,MATCH(A60,G$7:G$52,0)),"")</f>
        <v/>
      </c>
      <c r="C60" s="81" t="str">
        <f>IF(B60="-",0,IF(B62="-",13,""))</f>
        <v/>
      </c>
      <c r="D60" s="46"/>
      <c r="E60" s="343"/>
      <c r="F60" s="345"/>
    </row>
    <row r="61" spans="1:13" s="42" customFormat="1" x14ac:dyDescent="0.2">
      <c r="A61" s="43"/>
      <c r="B61" s="311"/>
      <c r="C61" s="126" t="str">
        <f>IF(COUNT(C60,C62)=2,IF(C60&gt;C62,B60,B62),"")</f>
        <v/>
      </c>
      <c r="D61" s="50"/>
      <c r="E61" s="63" t="str">
        <f>IF(C61="-",0,IF(C57="-",13,""))</f>
        <v/>
      </c>
      <c r="F61" s="46"/>
    </row>
    <row r="62" spans="1:13" s="42" customFormat="1" x14ac:dyDescent="0.2">
      <c r="A62" s="43"/>
      <c r="B62" s="312" t="str">
        <f>IFERROR(INDEX(B$7:B$52,MATCH(A62,G$7:G$52,0)),"")</f>
        <v/>
      </c>
      <c r="C62" s="63" t="str">
        <f>IF(B62="-",0,IF(B60="-",13,""))</f>
        <v/>
      </c>
      <c r="E62" s="45"/>
      <c r="F62" s="46"/>
    </row>
    <row r="63" spans="1:13" s="42" customFormat="1" x14ac:dyDescent="0.2">
      <c r="A63" s="52"/>
      <c r="B63" s="313"/>
      <c r="E63" s="45"/>
      <c r="F63" s="46"/>
      <c r="G63" s="42" t="str">
        <f>IF(COUNT(G59,G67)=2,IF(G59&gt;G67,E59,E67),"")</f>
        <v/>
      </c>
      <c r="I63" s="81" t="str">
        <f>IF(G63="-",0,IF(G79="-",13,""))</f>
        <v/>
      </c>
    </row>
    <row r="64" spans="1:13" s="42" customFormat="1" x14ac:dyDescent="0.2">
      <c r="A64" s="61"/>
      <c r="B64" s="310" t="str">
        <f>IFERROR(INDEX(B$7:B$52,MATCH(A64,G$7:G$52,0)),"")</f>
        <v/>
      </c>
      <c r="C64" s="81" t="str">
        <f>IF(B64="-",0,IF(B66="-",13,""))</f>
        <v/>
      </c>
      <c r="F64" s="46"/>
      <c r="G64" s="343"/>
      <c r="H64" s="345"/>
    </row>
    <row r="65" spans="1:11" s="42" customFormat="1" x14ac:dyDescent="0.2">
      <c r="A65" s="43"/>
      <c r="B65" s="311"/>
      <c r="C65" s="126" t="str">
        <f>IF(COUNT(C64,C66)=2,IF(C64&gt;C66,B64,B66),"")</f>
        <v/>
      </c>
      <c r="E65" s="81" t="str">
        <f>IF(C65="-",0,IF(C69="-",13,""))</f>
        <v/>
      </c>
      <c r="F65" s="46"/>
      <c r="G65" s="45"/>
      <c r="H65" s="46"/>
    </row>
    <row r="66" spans="1:11" s="42" customFormat="1" x14ac:dyDescent="0.2">
      <c r="A66" s="43"/>
      <c r="B66" s="312" t="str">
        <f>IFERROR(INDEX(B$7:B$52,MATCH(A66,G$7:G$52,0)),"")</f>
        <v/>
      </c>
      <c r="C66" s="63" t="str">
        <f>IF(B66="-",0,IF(B64="-",13,""))</f>
        <v/>
      </c>
      <c r="D66" s="345"/>
      <c r="F66" s="46"/>
      <c r="G66" s="45"/>
      <c r="H66" s="46"/>
    </row>
    <row r="67" spans="1:11" s="42" customFormat="1" x14ac:dyDescent="0.2">
      <c r="A67" s="43"/>
      <c r="B67" s="313"/>
      <c r="D67" s="46"/>
      <c r="E67" s="126" t="str">
        <f>IF(COUNT(E65,E69)=2,IF(E65&gt;E69,C65,C69),"")</f>
        <v/>
      </c>
      <c r="F67" s="50"/>
      <c r="G67" s="63" t="str">
        <f>IF(E67="-",0,IF(E59="-",13,""))</f>
        <v/>
      </c>
      <c r="H67" s="46"/>
    </row>
    <row r="68" spans="1:11" s="42" customFormat="1" x14ac:dyDescent="0.2">
      <c r="A68" s="43"/>
      <c r="B68" s="310" t="str">
        <f>IFERROR(INDEX(B$7:B$52,MATCH(A68,G$7:G$52,0)),"")</f>
        <v/>
      </c>
      <c r="C68" s="81" t="str">
        <f>IF(B68="-",0,IF(B70="-",13,""))</f>
        <v/>
      </c>
      <c r="D68" s="46"/>
      <c r="E68" s="343"/>
      <c r="F68" s="45"/>
      <c r="G68" s="45"/>
      <c r="H68" s="46"/>
    </row>
    <row r="69" spans="1:11" s="42" customFormat="1" x14ac:dyDescent="0.2">
      <c r="A69" s="43"/>
      <c r="B69" s="311"/>
      <c r="C69" s="126" t="str">
        <f>IF(COUNT(C68,C70)=2,IF(C68&gt;C70,B68,B70),"")</f>
        <v/>
      </c>
      <c r="D69" s="50"/>
      <c r="E69" s="63" t="str">
        <f>IF(C69="-",0,IF(C65="-",13,""))</f>
        <v/>
      </c>
      <c r="G69" s="45"/>
      <c r="H69" s="46"/>
    </row>
    <row r="70" spans="1:11" s="42" customFormat="1" x14ac:dyDescent="0.2">
      <c r="A70" s="43"/>
      <c r="B70" s="312" t="str">
        <f>IFERROR(INDEX(B$7:B$52,MATCH(A70,G$7:G$52,0)),"")</f>
        <v/>
      </c>
      <c r="C70" s="63" t="str">
        <f>IF(B70="-",0,IF(B68="-",13,""))</f>
        <v/>
      </c>
      <c r="E70" s="45"/>
      <c r="F70" s="45"/>
      <c r="G70" s="45"/>
      <c r="H70" s="46"/>
    </row>
    <row r="71" spans="1:11" s="42" customFormat="1" ht="13.5" thickBot="1" x14ac:dyDescent="0.25">
      <c r="A71" s="52"/>
      <c r="B71" s="313"/>
      <c r="G71" s="45"/>
      <c r="H71" s="46"/>
      <c r="J71" s="224" t="str">
        <f>IF(COUNT(I63,I79)=2,IF(I63&gt;I79,G63,G79),"")</f>
        <v/>
      </c>
    </row>
    <row r="72" spans="1:11" s="42" customFormat="1" x14ac:dyDescent="0.2">
      <c r="A72" s="61"/>
      <c r="B72" s="310" t="str">
        <f>IFERROR(INDEX(B$7:B$52,MATCH(A72,G$7:G$52,0)),"")</f>
        <v/>
      </c>
      <c r="C72" s="81" t="str">
        <f>IF(B72="-",0,IF(B74="-",13,""))</f>
        <v/>
      </c>
      <c r="G72" s="45"/>
      <c r="H72" s="46"/>
      <c r="I72" s="48"/>
      <c r="J72" s="62" t="s">
        <v>277</v>
      </c>
      <c r="K72" s="49"/>
    </row>
    <row r="73" spans="1:11" s="42" customFormat="1" x14ac:dyDescent="0.2">
      <c r="A73" s="43"/>
      <c r="B73" s="311"/>
      <c r="C73" s="126" t="str">
        <f>IF(COUNT(C72,C74)=2,IF(C72&gt;C74,B72,B74),"")</f>
        <v/>
      </c>
      <c r="E73" s="81" t="str">
        <f>IF(C73="-",0,IF(C77="-",13,""))</f>
        <v/>
      </c>
      <c r="G73" s="45"/>
      <c r="H73" s="46"/>
    </row>
    <row r="74" spans="1:11" s="42" customFormat="1" x14ac:dyDescent="0.2">
      <c r="A74" s="43"/>
      <c r="B74" s="312" t="str">
        <f>IFERROR(INDEX(B$7:B$52,MATCH(A74,G$7:G$52,0)),"")</f>
        <v/>
      </c>
      <c r="C74" s="63" t="str">
        <f>IF(B74="-",0,IF(B72="-",13,""))</f>
        <v/>
      </c>
      <c r="D74" s="345"/>
      <c r="G74" s="45"/>
      <c r="H74" s="46"/>
    </row>
    <row r="75" spans="1:11" s="42" customFormat="1" x14ac:dyDescent="0.2">
      <c r="A75" s="43"/>
      <c r="B75" s="313"/>
      <c r="D75" s="46"/>
      <c r="E75" s="126" t="str">
        <f>IF(COUNT(E73,E77)=2,IF(E73&gt;E77,C73,C77),"")</f>
        <v/>
      </c>
      <c r="G75" s="51" t="str">
        <f>IF(E75="-",0,IF(E83="-",13,""))</f>
        <v/>
      </c>
      <c r="H75" s="46"/>
    </row>
    <row r="76" spans="1:11" s="42" customFormat="1" x14ac:dyDescent="0.2">
      <c r="A76" s="43"/>
      <c r="B76" s="310" t="str">
        <f>IFERROR(INDEX(B$7:B$52,MATCH(A76,G$7:G$52,0)),"")</f>
        <v/>
      </c>
      <c r="C76" s="81" t="str">
        <f>IF(B76="-",0,IF(B78="-",13,""))</f>
        <v/>
      </c>
      <c r="D76" s="46"/>
      <c r="E76" s="343"/>
      <c r="F76" s="345"/>
      <c r="G76" s="45"/>
      <c r="H76" s="46"/>
    </row>
    <row r="77" spans="1:11" s="42" customFormat="1" x14ac:dyDescent="0.2">
      <c r="A77" s="43"/>
      <c r="B77" s="311"/>
      <c r="C77" s="126" t="str">
        <f>IF(COUNT(C76,C78)=2,IF(C76&gt;C78,B76,B78),"")</f>
        <v/>
      </c>
      <c r="D77" s="50"/>
      <c r="E77" s="63" t="str">
        <f>IF(C77="-",0,IF(C73="-",13,""))</f>
        <v/>
      </c>
      <c r="F77" s="46"/>
      <c r="G77" s="45"/>
      <c r="H77" s="46"/>
    </row>
    <row r="78" spans="1:11" s="42" customFormat="1" x14ac:dyDescent="0.2">
      <c r="A78" s="43"/>
      <c r="B78" s="312" t="str">
        <f>IFERROR(INDEX(B$7:B$52,MATCH(A78,G$7:G$52,0)),"")</f>
        <v/>
      </c>
      <c r="C78" s="63" t="str">
        <f>IF(B78="-",0,IF(B76="-",13,""))</f>
        <v/>
      </c>
      <c r="E78" s="45"/>
      <c r="F78" s="46"/>
      <c r="G78" s="45"/>
      <c r="H78" s="46"/>
    </row>
    <row r="79" spans="1:11" s="42" customFormat="1" x14ac:dyDescent="0.2">
      <c r="A79" s="52"/>
      <c r="B79" s="313"/>
      <c r="E79" s="45"/>
      <c r="F79" s="46"/>
      <c r="G79" s="344" t="str">
        <f>IF(COUNT(G75,G83)=2,IF(G75&gt;G83,E75,E83),"")</f>
        <v/>
      </c>
      <c r="H79" s="50"/>
      <c r="I79" s="63" t="str">
        <f>IF(G63="-",0,IF(G79="-",13,""))</f>
        <v/>
      </c>
    </row>
    <row r="80" spans="1:11" s="42" customFormat="1" ht="13.5" thickBot="1" x14ac:dyDescent="0.25">
      <c r="A80" s="61"/>
      <c r="B80" s="310" t="str">
        <f>IFERROR(INDEX(B$7:B$52,MATCH(A80,G$7:G$52,0)),"")</f>
        <v/>
      </c>
      <c r="C80" s="81" t="str">
        <f>IF(B80="-",0,IF(B82="-",13,""))</f>
        <v/>
      </c>
      <c r="F80" s="46"/>
      <c r="G80" s="342"/>
      <c r="J80" s="224" t="str">
        <f>IF(COUNT(I63,I79)=2,IF(I63&lt;I79,G63,G79),"")</f>
        <v/>
      </c>
      <c r="K80" s="47"/>
    </row>
    <row r="81" spans="1:11" s="42" customFormat="1" x14ac:dyDescent="0.2">
      <c r="A81" s="43"/>
      <c r="B81" s="311"/>
      <c r="C81" s="126" t="str">
        <f>IF(COUNT(C80,C82)=2,IF(C80&gt;C82,B80,B82),"")</f>
        <v/>
      </c>
      <c r="E81" s="81" t="str">
        <f>IF(C81="-",0,IF(C85="-",13,""))</f>
        <v/>
      </c>
      <c r="F81" s="46"/>
      <c r="G81" s="45"/>
      <c r="J81" s="62" t="s">
        <v>278</v>
      </c>
      <c r="K81" s="45"/>
    </row>
    <row r="82" spans="1:11" s="42" customFormat="1" x14ac:dyDescent="0.2">
      <c r="A82" s="43"/>
      <c r="B82" s="312" t="str">
        <f>IFERROR(INDEX(B$7:B$52,MATCH(A82,G$7:G$52,0)),"")</f>
        <v/>
      </c>
      <c r="C82" s="63" t="str">
        <f>IF(B82="-",0,IF(B80="-",13,""))</f>
        <v/>
      </c>
      <c r="D82" s="345"/>
      <c r="F82" s="46"/>
      <c r="G82" s="45"/>
    </row>
    <row r="83" spans="1:11" s="42" customFormat="1" x14ac:dyDescent="0.2">
      <c r="A83" s="43"/>
      <c r="B83" s="313"/>
      <c r="D83" s="46"/>
      <c r="E83" s="126" t="str">
        <f>IF(COUNT(E81,E85)=2,IF(E81&gt;E85,C81,C85),"")</f>
        <v/>
      </c>
      <c r="F83" s="50"/>
      <c r="G83" s="63" t="str">
        <f>IF(E83="-",0,IF(E75="-",13,""))</f>
        <v/>
      </c>
    </row>
    <row r="84" spans="1:11" s="42" customFormat="1" x14ac:dyDescent="0.2">
      <c r="A84" s="43"/>
      <c r="B84" s="310" t="str">
        <f>IFERROR(INDEX(B$7:B$52,MATCH(A84,G$7:G$52,0)),"")</f>
        <v/>
      </c>
      <c r="C84" s="81" t="str">
        <f>IF(B84="-",0,IF(B86="-",13,""))</f>
        <v/>
      </c>
      <c r="D84" s="46"/>
      <c r="E84" s="343"/>
      <c r="F84" s="45"/>
      <c r="G84" s="45"/>
    </row>
    <row r="85" spans="1:11" s="42" customFormat="1" x14ac:dyDescent="0.2">
      <c r="A85" s="43"/>
      <c r="B85" s="311"/>
      <c r="C85" s="126" t="str">
        <f>IF(COUNT(C84,C86)=2,IF(C84&gt;C86,B84,B86),"")</f>
        <v/>
      </c>
      <c r="D85" s="50"/>
      <c r="E85" s="63" t="str">
        <f>IF(C85="-",0,IF(C81="-",13,""))</f>
        <v/>
      </c>
      <c r="G85" s="45" t="str">
        <f>IF(COUNT(G59,G67)=2,IF(G59&lt;G67,E59,E67),"")</f>
        <v/>
      </c>
      <c r="I85" s="81"/>
    </row>
    <row r="86" spans="1:11" s="42" customFormat="1" ht="13.5" thickBot="1" x14ac:dyDescent="0.25">
      <c r="A86" s="43"/>
      <c r="B86" s="312" t="str">
        <f>IFERROR(INDEX(B$7:B$52,MATCH(A86,G$7:G$52,0)),"")</f>
        <v/>
      </c>
      <c r="C86" s="63" t="str">
        <f>IF(B86="-",0,IF(B84="-",13,""))</f>
        <v/>
      </c>
      <c r="E86" s="45"/>
      <c r="F86" s="45"/>
      <c r="G86" s="309"/>
      <c r="H86" s="345"/>
      <c r="I86" s="47"/>
      <c r="J86" s="224" t="str">
        <f>IF(COUNT(I85,I87)=2,IF(I85&gt;I87,G85,G87),"")</f>
        <v/>
      </c>
      <c r="K86" s="47"/>
    </row>
    <row r="87" spans="1:11" s="42" customFormat="1" x14ac:dyDescent="0.2">
      <c r="F87" s="45"/>
      <c r="G87" s="127" t="str">
        <f>IF(COUNT(G75,G83)=2,IF(G75&lt;G83,E75,E83),"")</f>
        <v/>
      </c>
      <c r="H87" s="50"/>
      <c r="I87" s="63"/>
      <c r="J87" s="53" t="s">
        <v>279</v>
      </c>
      <c r="K87" s="45"/>
    </row>
    <row r="88" spans="1:11" s="42" customFormat="1" x14ac:dyDescent="0.2">
      <c r="F88" s="45"/>
      <c r="J88" s="45"/>
      <c r="K88" s="45"/>
    </row>
    <row r="89" spans="1:11" s="42" customFormat="1" ht="13.5" thickBot="1" x14ac:dyDescent="0.25">
      <c r="F89" s="45"/>
      <c r="G89" s="45"/>
      <c r="H89" s="45"/>
      <c r="J89" s="224" t="str">
        <f>IF(COUNT(I85,I87)=2,IF(I85&lt;I87,G85,G87),"")</f>
        <v/>
      </c>
      <c r="K89" s="47"/>
    </row>
    <row r="90" spans="1:11" s="42" customFormat="1" x14ac:dyDescent="0.2">
      <c r="G90" s="45"/>
      <c r="H90" s="45"/>
      <c r="J90" s="52" t="s">
        <v>75</v>
      </c>
    </row>
    <row r="91" spans="1:11" s="42" customFormat="1" x14ac:dyDescent="0.2">
      <c r="G91" s="45"/>
      <c r="H91" s="45"/>
      <c r="J91" s="52"/>
    </row>
    <row r="92" spans="1:11" s="42" customFormat="1" x14ac:dyDescent="0.2">
      <c r="A92" s="64" t="s">
        <v>95</v>
      </c>
      <c r="G92" s="45"/>
      <c r="H92" s="45"/>
      <c r="J92" s="52"/>
    </row>
    <row r="93" spans="1:11" s="42" customFormat="1" x14ac:dyDescent="0.2">
      <c r="A93" s="125"/>
      <c r="G93" s="45"/>
      <c r="H93" s="45"/>
      <c r="J93" s="52"/>
    </row>
    <row r="94" spans="1:11" s="42" customFormat="1" x14ac:dyDescent="0.2">
      <c r="E94" s="127" t="str">
        <f>IF(COUNT(E57,E61)=2,IF(E57&lt;E61,C57,C61),"")</f>
        <v/>
      </c>
      <c r="G94" s="81" t="str">
        <f>IF(E94="-",0,IF(E96="-",13,""))</f>
        <v/>
      </c>
      <c r="H94" s="81"/>
      <c r="I94" s="81"/>
    </row>
    <row r="95" spans="1:11" s="42" customFormat="1" x14ac:dyDescent="0.2">
      <c r="E95" s="65"/>
      <c r="F95" s="66"/>
      <c r="G95" s="126" t="str">
        <f>IF(COUNT(G94,G96)=2,IF(G94&gt;G96,E94,E96),"")</f>
        <v/>
      </c>
      <c r="I95" s="81" t="str">
        <f>IF(G95="-",0,IF(G99="-",13,""))</f>
        <v/>
      </c>
    </row>
    <row r="96" spans="1:11" s="42" customFormat="1" x14ac:dyDescent="0.2">
      <c r="E96" s="127" t="str">
        <f>IF(COUNT(E65,E69)=2,IF(E65&lt;E69,C65,C69),"")</f>
        <v/>
      </c>
      <c r="F96" s="67"/>
      <c r="G96" s="63" t="str">
        <f>IF(E96="-",0,IF(E94="-",13,""))</f>
        <v/>
      </c>
      <c r="H96" s="66"/>
      <c r="I96" s="81"/>
    </row>
    <row r="97" spans="5:11" s="42" customFormat="1" ht="13.5" thickBot="1" x14ac:dyDescent="0.25">
      <c r="E97" s="81"/>
      <c r="F97" s="81"/>
      <c r="G97" s="51"/>
      <c r="H97" s="68"/>
      <c r="I97" s="81"/>
      <c r="J97" s="224" t="str">
        <f>IF(COUNT(I95,I99)=2,IF(I95&gt;I99,G95,G99),"")</f>
        <v/>
      </c>
    </row>
    <row r="98" spans="5:11" s="42" customFormat="1" x14ac:dyDescent="0.2">
      <c r="E98" s="127" t="str">
        <f>IF(COUNT(E73,E77)=2,IF(E73&lt;E77,C73,C77),"")</f>
        <v/>
      </c>
      <c r="F98" s="81"/>
      <c r="G98" s="81" t="str">
        <f>IF(E98="-",0,IF(E100="-",13,""))</f>
        <v/>
      </c>
      <c r="H98" s="68"/>
      <c r="I98" s="69"/>
      <c r="J98" s="62" t="s">
        <v>76</v>
      </c>
      <c r="K98" s="49"/>
    </row>
    <row r="99" spans="5:11" s="42" customFormat="1" x14ac:dyDescent="0.2">
      <c r="E99" s="65"/>
      <c r="F99" s="66"/>
      <c r="G99" s="126" t="str">
        <f>IF(COUNT(G98,G100)=2,IF(G98&gt;G100,E98,E100),"")</f>
        <v/>
      </c>
      <c r="H99" s="50"/>
      <c r="I99" s="63" t="str">
        <f>IF(G99="-",0,IF(G95="-",13,""))</f>
        <v/>
      </c>
    </row>
    <row r="100" spans="5:11" s="42" customFormat="1" ht="13.5" thickBot="1" x14ac:dyDescent="0.25">
      <c r="E100" s="127" t="str">
        <f>IF(COUNT(E81,E85)=2,IF(E81&lt;E85,C81,C85),"")</f>
        <v/>
      </c>
      <c r="F100" s="67"/>
      <c r="G100" s="63" t="str">
        <f>IF(E100="-",0,IF(E98="-",13,""))</f>
        <v/>
      </c>
      <c r="H100" s="81"/>
      <c r="I100" s="51"/>
      <c r="J100" s="224" t="str">
        <f>IF(COUNT(I95,I99)=2,IF(I95&lt;I99,G95,G99),"")</f>
        <v/>
      </c>
      <c r="K100" s="47"/>
    </row>
    <row r="101" spans="5:11" s="42" customFormat="1" x14ac:dyDescent="0.2">
      <c r="E101" s="81"/>
      <c r="F101" s="81"/>
      <c r="G101" s="81"/>
      <c r="H101" s="81"/>
      <c r="I101" s="51"/>
      <c r="J101" s="62" t="s">
        <v>77</v>
      </c>
      <c r="K101" s="45"/>
    </row>
    <row r="102" spans="5:11" s="42" customFormat="1" x14ac:dyDescent="0.2">
      <c r="E102" s="81"/>
      <c r="F102" s="51"/>
      <c r="G102" s="223" t="str">
        <f>IF(COUNT(G94,G96)=2,IF(G94&lt;G96,E94,E96),"")</f>
        <v/>
      </c>
      <c r="I102" s="81" t="str">
        <f>IF(G102="-",0,IF(G104="-",13,""))</f>
        <v/>
      </c>
      <c r="J102" s="45"/>
      <c r="K102" s="45"/>
    </row>
    <row r="103" spans="5:11" s="42" customFormat="1" ht="13.5" thickBot="1" x14ac:dyDescent="0.25">
      <c r="E103" s="81"/>
      <c r="F103" s="51"/>
      <c r="G103" s="309"/>
      <c r="H103" s="44"/>
      <c r="I103" s="47"/>
      <c r="J103" s="224" t="str">
        <f>IF(COUNT(I102,I104)=2,IF(I102&gt;I104,G102,G104),"")</f>
        <v/>
      </c>
      <c r="K103" s="47"/>
    </row>
    <row r="104" spans="5:11" s="42" customFormat="1" x14ac:dyDescent="0.2">
      <c r="E104" s="81"/>
      <c r="F104" s="51"/>
      <c r="G104" s="127" t="str">
        <f>IF(COUNT(G98,G100)=2,IF(G98&lt;G100,E98,E100),"")</f>
        <v/>
      </c>
      <c r="H104" s="50"/>
      <c r="I104" s="63" t="str">
        <f>IF(G104="-",0,IF(G102="-",13,""))</f>
        <v/>
      </c>
      <c r="J104" s="53" t="s">
        <v>78</v>
      </c>
      <c r="K104" s="45"/>
    </row>
    <row r="105" spans="5:11" s="42" customFormat="1" x14ac:dyDescent="0.2">
      <c r="F105" s="45"/>
      <c r="J105" s="45"/>
      <c r="K105" s="45"/>
    </row>
    <row r="106" spans="5:11" s="42" customFormat="1" ht="13.5" thickBot="1" x14ac:dyDescent="0.25">
      <c r="G106" s="45"/>
      <c r="H106" s="45"/>
      <c r="J106" s="47" t="str">
        <f>IF(COUNT(I102,I104)=2,IF(I102&lt;I104,G102,G104),"")</f>
        <v/>
      </c>
      <c r="K106" s="47"/>
    </row>
    <row r="107" spans="5:11" s="42" customFormat="1" x14ac:dyDescent="0.2">
      <c r="G107" s="45"/>
      <c r="H107" s="45"/>
      <c r="J107" s="53" t="s">
        <v>79</v>
      </c>
    </row>
    <row r="108" spans="5:11" s="82" customFormat="1" x14ac:dyDescent="0.2"/>
    <row r="109" spans="5:11" hidden="1" x14ac:dyDescent="0.2"/>
    <row r="110" spans="5:11" hidden="1" x14ac:dyDescent="0.2"/>
    <row r="111" spans="5:11" hidden="1" x14ac:dyDescent="0.2"/>
    <row r="112" spans="5:11"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4" hidden="1" x14ac:dyDescent="0.2"/>
    <row r="290" spans="1:4" hidden="1" x14ac:dyDescent="0.2"/>
    <row r="291" spans="1:4" hidden="1" x14ac:dyDescent="0.2"/>
    <row r="292" spans="1:4" hidden="1" x14ac:dyDescent="0.2"/>
    <row r="293" spans="1:4" hidden="1" x14ac:dyDescent="0.2"/>
    <row r="294" spans="1:4" hidden="1" x14ac:dyDescent="0.2"/>
    <row r="295" spans="1:4" hidden="1" x14ac:dyDescent="0.2"/>
    <row r="296" spans="1:4" hidden="1" x14ac:dyDescent="0.2"/>
    <row r="297" spans="1:4" hidden="1" x14ac:dyDescent="0.2"/>
    <row r="298" spans="1:4" hidden="1" x14ac:dyDescent="0.2"/>
    <row r="299" spans="1:4" x14ac:dyDescent="0.2">
      <c r="C299" s="319" t="s">
        <v>577</v>
      </c>
      <c r="D299" s="347" t="s">
        <v>577</v>
      </c>
    </row>
    <row r="300" spans="1:4" x14ac:dyDescent="0.2">
      <c r="A300" s="54">
        <v>1</v>
      </c>
      <c r="B300" s="129" t="str">
        <f t="shared" ref="B300:B307" si="0">IFERROR(INDEX(J$71:J$106,MATCH(A300&amp;". koht",J$72:J$107,0)),"")</f>
        <v/>
      </c>
      <c r="C300" s="79">
        <v>20</v>
      </c>
      <c r="D300" s="347">
        <v>25</v>
      </c>
    </row>
    <row r="301" spans="1:4" x14ac:dyDescent="0.2">
      <c r="A301" s="54">
        <v>2</v>
      </c>
      <c r="B301" s="56" t="str">
        <f t="shared" si="0"/>
        <v/>
      </c>
      <c r="C301" s="79">
        <v>16</v>
      </c>
      <c r="D301" s="347">
        <v>20</v>
      </c>
    </row>
    <row r="302" spans="1:4" x14ac:dyDescent="0.2">
      <c r="A302" s="54">
        <v>3</v>
      </c>
      <c r="B302" s="57" t="str">
        <f t="shared" si="0"/>
        <v/>
      </c>
      <c r="C302" s="79">
        <v>12</v>
      </c>
      <c r="D302" s="347">
        <v>16</v>
      </c>
    </row>
    <row r="303" spans="1:4" x14ac:dyDescent="0.2">
      <c r="A303" s="54">
        <v>4</v>
      </c>
      <c r="B303" s="58" t="str">
        <f t="shared" si="0"/>
        <v/>
      </c>
      <c r="C303" s="79">
        <v>9</v>
      </c>
      <c r="D303" s="347">
        <v>12</v>
      </c>
    </row>
    <row r="304" spans="1:4" x14ac:dyDescent="0.2">
      <c r="A304" s="54">
        <v>5</v>
      </c>
      <c r="B304" s="58" t="str">
        <f t="shared" si="0"/>
        <v/>
      </c>
      <c r="C304" s="79">
        <v>7</v>
      </c>
      <c r="D304" s="347">
        <v>9</v>
      </c>
    </row>
    <row r="305" spans="1:4" x14ac:dyDescent="0.2">
      <c r="A305" s="54">
        <v>6</v>
      </c>
      <c r="B305" s="58" t="str">
        <f t="shared" si="0"/>
        <v/>
      </c>
      <c r="C305" s="79">
        <v>5</v>
      </c>
      <c r="D305" s="347">
        <v>7</v>
      </c>
    </row>
    <row r="306" spans="1:4" x14ac:dyDescent="0.2">
      <c r="A306" s="54">
        <v>7</v>
      </c>
      <c r="B306" s="58" t="str">
        <f t="shared" si="0"/>
        <v/>
      </c>
      <c r="C306" s="79">
        <v>4</v>
      </c>
      <c r="D306" s="347">
        <v>5</v>
      </c>
    </row>
    <row r="307" spans="1:4" x14ac:dyDescent="0.2">
      <c r="A307" s="54">
        <v>8</v>
      </c>
      <c r="B307" s="58" t="str">
        <f t="shared" si="0"/>
        <v/>
      </c>
      <c r="C307" s="79">
        <v>3</v>
      </c>
      <c r="D307" s="347">
        <v>4</v>
      </c>
    </row>
    <row r="308" spans="1:4" x14ac:dyDescent="0.2">
      <c r="A308" s="54">
        <v>9</v>
      </c>
      <c r="B308" s="122"/>
      <c r="C308" s="79">
        <v>1</v>
      </c>
      <c r="D308" s="347">
        <v>2</v>
      </c>
    </row>
    <row r="309" spans="1:4" x14ac:dyDescent="0.2">
      <c r="A309" s="54">
        <v>10</v>
      </c>
      <c r="B309" s="122"/>
      <c r="C309" s="79">
        <v>1</v>
      </c>
      <c r="D309" s="347">
        <v>2</v>
      </c>
    </row>
    <row r="310" spans="1:4" x14ac:dyDescent="0.2">
      <c r="A310" s="54">
        <v>11</v>
      </c>
      <c r="B310" s="122"/>
      <c r="C310" s="79">
        <v>1</v>
      </c>
      <c r="D310" s="347">
        <v>2</v>
      </c>
    </row>
    <row r="311" spans="1:4" x14ac:dyDescent="0.2">
      <c r="A311" s="54">
        <v>12</v>
      </c>
      <c r="B311" s="122"/>
      <c r="C311" s="79">
        <v>1</v>
      </c>
      <c r="D311" s="347">
        <v>2</v>
      </c>
    </row>
    <row r="312" spans="1:4" x14ac:dyDescent="0.2">
      <c r="A312" s="54">
        <v>13</v>
      </c>
      <c r="B312" s="122"/>
      <c r="C312" s="79">
        <v>1</v>
      </c>
      <c r="D312" s="347">
        <v>2</v>
      </c>
    </row>
    <row r="313" spans="1:4" x14ac:dyDescent="0.2">
      <c r="A313" s="54">
        <v>14</v>
      </c>
      <c r="B313" s="186"/>
      <c r="C313" s="79">
        <v>1</v>
      </c>
      <c r="D313" s="347">
        <v>2</v>
      </c>
    </row>
    <row r="314" spans="1:4" x14ac:dyDescent="0.2">
      <c r="A314" s="54">
        <v>15</v>
      </c>
      <c r="B314" s="122"/>
      <c r="C314" s="79">
        <v>1</v>
      </c>
      <c r="D314" s="347">
        <v>2</v>
      </c>
    </row>
    <row r="315" spans="1:4" x14ac:dyDescent="0.2">
      <c r="A315" s="54">
        <v>16</v>
      </c>
      <c r="B315" s="122"/>
      <c r="C315" s="79">
        <v>1</v>
      </c>
      <c r="D315" s="347">
        <v>2</v>
      </c>
    </row>
    <row r="316" spans="1:4" x14ac:dyDescent="0.2">
      <c r="A316" s="54">
        <v>17</v>
      </c>
      <c r="B316" s="123"/>
      <c r="C316" s="79">
        <v>1</v>
      </c>
      <c r="D316" s="347">
        <v>2</v>
      </c>
    </row>
    <row r="317" spans="1:4" x14ac:dyDescent="0.2">
      <c r="A317" s="54">
        <v>18</v>
      </c>
      <c r="B317" s="186"/>
      <c r="C317" s="79">
        <v>1</v>
      </c>
      <c r="D317" s="347">
        <v>2</v>
      </c>
    </row>
    <row r="318" spans="1:4" x14ac:dyDescent="0.2">
      <c r="A318" s="54">
        <v>19</v>
      </c>
      <c r="B318" s="122"/>
      <c r="C318" s="79">
        <v>1</v>
      </c>
      <c r="D318" s="347">
        <v>2</v>
      </c>
    </row>
    <row r="319" spans="1:4" x14ac:dyDescent="0.2">
      <c r="A319" s="54">
        <v>20</v>
      </c>
      <c r="B319" s="58"/>
      <c r="C319" s="79">
        <v>1</v>
      </c>
      <c r="D319" s="347">
        <v>2</v>
      </c>
    </row>
    <row r="320" spans="1:4" x14ac:dyDescent="0.2">
      <c r="A320" s="54">
        <v>21</v>
      </c>
      <c r="B320" s="40"/>
      <c r="C320" s="79">
        <v>1</v>
      </c>
      <c r="D320" s="347">
        <v>2</v>
      </c>
    </row>
    <row r="321" spans="1:4" x14ac:dyDescent="0.2">
      <c r="A321" s="54">
        <v>22</v>
      </c>
      <c r="B321" s="40"/>
      <c r="C321" s="79">
        <v>1</v>
      </c>
      <c r="D321" s="347">
        <v>2</v>
      </c>
    </row>
    <row r="322" spans="1:4" x14ac:dyDescent="0.2">
      <c r="A322" s="54">
        <v>23</v>
      </c>
      <c r="B322" s="40"/>
      <c r="C322" s="79">
        <v>1</v>
      </c>
      <c r="D322" s="347">
        <v>2</v>
      </c>
    </row>
    <row r="323" spans="1:4" x14ac:dyDescent="0.2">
      <c r="A323" s="54">
        <v>24</v>
      </c>
      <c r="B323" s="40"/>
      <c r="C323" s="79">
        <v>1</v>
      </c>
      <c r="D323" s="347">
        <v>2</v>
      </c>
    </row>
    <row r="324" spans="1:4" x14ac:dyDescent="0.2">
      <c r="A324" s="54">
        <v>25</v>
      </c>
      <c r="B324" s="40"/>
      <c r="C324" s="79">
        <v>1</v>
      </c>
      <c r="D324" s="347">
        <v>2</v>
      </c>
    </row>
    <row r="325" spans="1:4" x14ac:dyDescent="0.2">
      <c r="A325" s="54">
        <v>26</v>
      </c>
      <c r="B325" s="40"/>
      <c r="C325" s="79">
        <v>1</v>
      </c>
      <c r="D325" s="347">
        <v>2</v>
      </c>
    </row>
    <row r="326" spans="1:4" x14ac:dyDescent="0.2">
      <c r="A326" s="54">
        <v>27</v>
      </c>
      <c r="B326" s="40"/>
      <c r="C326" s="79">
        <v>1</v>
      </c>
      <c r="D326" s="347">
        <v>2</v>
      </c>
    </row>
    <row r="327" spans="1:4" x14ac:dyDescent="0.2">
      <c r="A327" s="54">
        <v>28</v>
      </c>
      <c r="B327" s="40"/>
      <c r="C327" s="79">
        <v>1</v>
      </c>
      <c r="D327" s="347">
        <v>2</v>
      </c>
    </row>
    <row r="328" spans="1:4" x14ac:dyDescent="0.2">
      <c r="A328" s="54">
        <v>29</v>
      </c>
      <c r="B328" s="40"/>
      <c r="C328" s="79">
        <v>1</v>
      </c>
      <c r="D328" s="347">
        <v>2</v>
      </c>
    </row>
    <row r="329" spans="1:4" x14ac:dyDescent="0.2">
      <c r="A329" s="54">
        <v>30</v>
      </c>
      <c r="B329" s="40"/>
      <c r="C329" s="79">
        <v>1</v>
      </c>
      <c r="D329" s="347">
        <v>2</v>
      </c>
    </row>
    <row r="330" spans="1:4" x14ac:dyDescent="0.2">
      <c r="A330" s="54">
        <v>31</v>
      </c>
      <c r="B330" s="40"/>
      <c r="C330" s="79">
        <v>1</v>
      </c>
      <c r="D330" s="347">
        <v>2</v>
      </c>
    </row>
    <row r="331" spans="1:4" x14ac:dyDescent="0.2">
      <c r="A331" s="54">
        <v>32</v>
      </c>
      <c r="B331" s="40"/>
      <c r="C331" s="79">
        <v>1</v>
      </c>
      <c r="D331" s="347">
        <v>2</v>
      </c>
    </row>
  </sheetData>
  <conditionalFormatting sqref="B7:B10">
    <cfRule type="duplicateValues" dxfId="228" priority="789"/>
  </conditionalFormatting>
  <conditionalFormatting sqref="B49:B52">
    <cfRule type="duplicateValues" dxfId="227" priority="670"/>
  </conditionalFormatting>
  <conditionalFormatting sqref="B43:B46">
    <cfRule type="duplicateValues" dxfId="226" priority="641"/>
  </conditionalFormatting>
  <conditionalFormatting sqref="B37:B40">
    <cfRule type="duplicateValues" dxfId="225" priority="612"/>
  </conditionalFormatting>
  <conditionalFormatting sqref="B31:B34">
    <cfRule type="duplicateValues" dxfId="224" priority="583"/>
  </conditionalFormatting>
  <conditionalFormatting sqref="B25:B28">
    <cfRule type="duplicateValues" dxfId="223" priority="554"/>
  </conditionalFormatting>
  <conditionalFormatting sqref="B19:B22">
    <cfRule type="duplicateValues" dxfId="222" priority="525"/>
  </conditionalFormatting>
  <conditionalFormatting sqref="B13:B16">
    <cfRule type="duplicateValues" dxfId="221" priority="496"/>
  </conditionalFormatting>
  <conditionalFormatting sqref="B300:B331">
    <cfRule type="containsBlanks" dxfId="220" priority="372">
      <formula>LEN(TRIM(B300))=0</formula>
    </cfRule>
    <cfRule type="duplicateValues" dxfId="219" priority="396"/>
  </conditionalFormatting>
  <conditionalFormatting sqref="A56:A86">
    <cfRule type="cellIs" dxfId="218" priority="369" operator="equal">
      <formula>"-"</formula>
    </cfRule>
    <cfRule type="duplicateValues" dxfId="217" priority="395"/>
  </conditionalFormatting>
  <conditionalFormatting sqref="G94 G96">
    <cfRule type="aboveAverage" dxfId="216" priority="394"/>
  </conditionalFormatting>
  <conditionalFormatting sqref="G98 G100">
    <cfRule type="aboveAverage" dxfId="215" priority="393"/>
  </conditionalFormatting>
  <conditionalFormatting sqref="I95 I99">
    <cfRule type="aboveAverage" dxfId="214" priority="392"/>
  </conditionalFormatting>
  <conditionalFormatting sqref="I102 I104">
    <cfRule type="aboveAverage" dxfId="213" priority="391"/>
  </conditionalFormatting>
  <conditionalFormatting sqref="G94 G96 G98 G100 I95 I99 I102 I104">
    <cfRule type="containsBlanks" dxfId="212" priority="390">
      <formula>LEN(TRIM(G94))=0</formula>
    </cfRule>
  </conditionalFormatting>
  <conditionalFormatting sqref="C56 C58">
    <cfRule type="aboveAverage" dxfId="211" priority="389"/>
  </conditionalFormatting>
  <conditionalFormatting sqref="C60 C62">
    <cfRule type="aboveAverage" dxfId="210" priority="388"/>
  </conditionalFormatting>
  <conditionalFormatting sqref="E57 E61">
    <cfRule type="aboveAverage" dxfId="209" priority="387"/>
  </conditionalFormatting>
  <conditionalFormatting sqref="C64 C66">
    <cfRule type="aboveAverage" dxfId="208" priority="386"/>
  </conditionalFormatting>
  <conditionalFormatting sqref="C68 C70">
    <cfRule type="aboveAverage" dxfId="207" priority="385"/>
  </conditionalFormatting>
  <conditionalFormatting sqref="E65 E69">
    <cfRule type="aboveAverage" dxfId="206" priority="384"/>
  </conditionalFormatting>
  <conditionalFormatting sqref="G59 G67">
    <cfRule type="aboveAverage" dxfId="205" priority="383"/>
  </conditionalFormatting>
  <conditionalFormatting sqref="C72 C74">
    <cfRule type="aboveAverage" dxfId="204" priority="382"/>
  </conditionalFormatting>
  <conditionalFormatting sqref="C76 C78">
    <cfRule type="aboveAverage" dxfId="203" priority="381"/>
  </conditionalFormatting>
  <conditionalFormatting sqref="E73 E77">
    <cfRule type="aboveAverage" dxfId="202" priority="380"/>
  </conditionalFormatting>
  <conditionalFormatting sqref="C80 C82">
    <cfRule type="aboveAverage" dxfId="201" priority="379"/>
  </conditionalFormatting>
  <conditionalFormatting sqref="C84 C86">
    <cfRule type="aboveAverage" dxfId="200" priority="378"/>
  </conditionalFormatting>
  <conditionalFormatting sqref="E81 E85">
    <cfRule type="aboveAverage" dxfId="199" priority="377"/>
  </conditionalFormatting>
  <conditionalFormatting sqref="G75 G83">
    <cfRule type="aboveAverage" dxfId="198" priority="376"/>
  </conditionalFormatting>
  <conditionalFormatting sqref="I85 I87">
    <cfRule type="aboveAverage" dxfId="197" priority="374"/>
  </conditionalFormatting>
  <conditionalFormatting sqref="C56 C58 C60 C62 C64 C66 C68 C70 C72 C74 C76 C78 C80 C82 C84 C86 E57 E61 E65 E69 E73 E77 E81 E85 G59 G67 G75 G83 I85 I87">
    <cfRule type="containsBlanks" dxfId="196" priority="373">
      <formula>LEN(TRIM(C56))=0</formula>
    </cfRule>
  </conditionalFormatting>
  <conditionalFormatting sqref="I63 I79">
    <cfRule type="aboveAverage" dxfId="195" priority="371"/>
  </conditionalFormatting>
  <conditionalFormatting sqref="I63 I79">
    <cfRule type="containsBlanks" dxfId="194" priority="370">
      <formula>LEN(TRIM(I63))=0</formula>
    </cfRule>
  </conditionalFormatting>
  <conditionalFormatting sqref="G7:G10">
    <cfRule type="containsText" dxfId="193" priority="329" operator="containsText" text="2">
      <formula>NOT(ISERROR(SEARCH("2",G7)))</formula>
    </cfRule>
    <cfRule type="containsText" dxfId="192" priority="330" operator="containsText" text="1">
      <formula>NOT(ISERROR(SEARCH("1",G7)))</formula>
    </cfRule>
  </conditionalFormatting>
  <conditionalFormatting sqref="G10">
    <cfRule type="expression" dxfId="191" priority="328">
      <formula>B10="-"</formula>
    </cfRule>
  </conditionalFormatting>
  <conditionalFormatting sqref="C7 C10">
    <cfRule type="aboveAverage" dxfId="190" priority="327"/>
  </conditionalFormatting>
  <conditionalFormatting sqref="C8:C9">
    <cfRule type="aboveAverage" dxfId="189" priority="326"/>
  </conditionalFormatting>
  <conditionalFormatting sqref="G13:G16">
    <cfRule type="containsText" dxfId="188" priority="305" operator="containsText" text="2">
      <formula>NOT(ISERROR(SEARCH("2",G13)))</formula>
    </cfRule>
    <cfRule type="containsText" dxfId="187" priority="306" operator="containsText" text="1">
      <formula>NOT(ISERROR(SEARCH("1",G13)))</formula>
    </cfRule>
  </conditionalFormatting>
  <conditionalFormatting sqref="G16">
    <cfRule type="expression" dxfId="186" priority="304">
      <formula>B16="-"</formula>
    </cfRule>
  </conditionalFormatting>
  <conditionalFormatting sqref="C13 C16">
    <cfRule type="aboveAverage" dxfId="185" priority="303"/>
  </conditionalFormatting>
  <conditionalFormatting sqref="C14:C15">
    <cfRule type="aboveAverage" dxfId="184" priority="302"/>
  </conditionalFormatting>
  <conditionalFormatting sqref="G19:G22">
    <cfRule type="containsText" dxfId="183" priority="281" operator="containsText" text="2">
      <formula>NOT(ISERROR(SEARCH("2",G19)))</formula>
    </cfRule>
    <cfRule type="containsText" dxfId="182" priority="282" operator="containsText" text="1">
      <formula>NOT(ISERROR(SEARCH("1",G19)))</formula>
    </cfRule>
  </conditionalFormatting>
  <conditionalFormatting sqref="G22">
    <cfRule type="expression" dxfId="181" priority="280">
      <formula>B22="-"</formula>
    </cfRule>
  </conditionalFormatting>
  <conditionalFormatting sqref="C19 C22">
    <cfRule type="aboveAverage" dxfId="180" priority="279"/>
  </conditionalFormatting>
  <conditionalFormatting sqref="C20:C21">
    <cfRule type="aboveAverage" dxfId="179" priority="278"/>
  </conditionalFormatting>
  <conditionalFormatting sqref="G25:G28">
    <cfRule type="containsText" dxfId="178" priority="257" operator="containsText" text="2">
      <formula>NOT(ISERROR(SEARCH("2",G25)))</formula>
    </cfRule>
    <cfRule type="containsText" dxfId="177" priority="258" operator="containsText" text="1">
      <formula>NOT(ISERROR(SEARCH("1",G25)))</formula>
    </cfRule>
  </conditionalFormatting>
  <conditionalFormatting sqref="G28">
    <cfRule type="expression" dxfId="176" priority="256">
      <formula>B28="-"</formula>
    </cfRule>
  </conditionalFormatting>
  <conditionalFormatting sqref="C25 C28">
    <cfRule type="aboveAverage" dxfId="175" priority="255"/>
  </conditionalFormatting>
  <conditionalFormatting sqref="C26:C27">
    <cfRule type="aboveAverage" dxfId="174" priority="254"/>
  </conditionalFormatting>
  <conditionalFormatting sqref="G31:G34">
    <cfRule type="containsText" dxfId="173" priority="233" operator="containsText" text="2">
      <formula>NOT(ISERROR(SEARCH("2",G31)))</formula>
    </cfRule>
    <cfRule type="containsText" dxfId="172" priority="234" operator="containsText" text="1">
      <formula>NOT(ISERROR(SEARCH("1",G31)))</formula>
    </cfRule>
  </conditionalFormatting>
  <conditionalFormatting sqref="G34">
    <cfRule type="expression" dxfId="171" priority="232">
      <formula>B34="-"</formula>
    </cfRule>
  </conditionalFormatting>
  <conditionalFormatting sqref="C31 C34">
    <cfRule type="aboveAverage" dxfId="170" priority="231"/>
  </conditionalFormatting>
  <conditionalFormatting sqref="C32:C33">
    <cfRule type="aboveAverage" dxfId="169" priority="230"/>
  </conditionalFormatting>
  <conditionalFormatting sqref="G37:G40">
    <cfRule type="containsText" dxfId="168" priority="209" operator="containsText" text="2">
      <formula>NOT(ISERROR(SEARCH("2",G37)))</formula>
    </cfRule>
    <cfRule type="containsText" dxfId="167" priority="210" operator="containsText" text="1">
      <formula>NOT(ISERROR(SEARCH("1",G37)))</formula>
    </cfRule>
  </conditionalFormatting>
  <conditionalFormatting sqref="G40">
    <cfRule type="expression" dxfId="166" priority="208">
      <formula>B40="-"</formula>
    </cfRule>
  </conditionalFormatting>
  <conditionalFormatting sqref="C37 C40">
    <cfRule type="aboveAverage" dxfId="165" priority="207"/>
  </conditionalFormatting>
  <conditionalFormatting sqref="C38:C39">
    <cfRule type="aboveAverage" dxfId="164" priority="206"/>
  </conditionalFormatting>
  <conditionalFormatting sqref="G43:G46">
    <cfRule type="containsText" dxfId="163" priority="185" operator="containsText" text="2">
      <formula>NOT(ISERROR(SEARCH("2",G43)))</formula>
    </cfRule>
    <cfRule type="containsText" dxfId="162" priority="186" operator="containsText" text="1">
      <formula>NOT(ISERROR(SEARCH("1",G43)))</formula>
    </cfRule>
  </conditionalFormatting>
  <conditionalFormatting sqref="G46">
    <cfRule type="expression" dxfId="161" priority="184">
      <formula>B46="-"</formula>
    </cfRule>
  </conditionalFormatting>
  <conditionalFormatting sqref="C43 C46">
    <cfRule type="aboveAverage" dxfId="160" priority="183"/>
  </conditionalFormatting>
  <conditionalFormatting sqref="C44:C45">
    <cfRule type="aboveAverage" dxfId="159" priority="182"/>
  </conditionalFormatting>
  <conditionalFormatting sqref="G49:G52">
    <cfRule type="containsText" dxfId="158" priority="161" operator="containsText" text="2">
      <formula>NOT(ISERROR(SEARCH("2",G49)))</formula>
    </cfRule>
    <cfRule type="containsText" dxfId="157" priority="162" operator="containsText" text="1">
      <formula>NOT(ISERROR(SEARCH("1",G49)))</formula>
    </cfRule>
  </conditionalFormatting>
  <conditionalFormatting sqref="G52">
    <cfRule type="expression" dxfId="156" priority="160">
      <formula>B52="-"</formula>
    </cfRule>
  </conditionalFormatting>
  <conditionalFormatting sqref="C49 C52">
    <cfRule type="aboveAverage" dxfId="155" priority="159"/>
  </conditionalFormatting>
  <conditionalFormatting sqref="C50:C51">
    <cfRule type="aboveAverage" dxfId="154" priority="158"/>
  </conditionalFormatting>
  <conditionalFormatting sqref="E10">
    <cfRule type="expression" dxfId="153" priority="152">
      <formula>AND(COUNT(E7:E10)&lt;2,IF(ISNUMBER(C10),C7&gt;C10))</formula>
    </cfRule>
  </conditionalFormatting>
  <conditionalFormatting sqref="E7">
    <cfRule type="expression" dxfId="152" priority="151">
      <formula>AND(COUNT(E7:E10)&lt;2,IF(ISNUMBER(C7),C10&gt;C7))</formula>
    </cfRule>
  </conditionalFormatting>
  <conditionalFormatting sqref="E8">
    <cfRule type="expression" dxfId="151" priority="150">
      <formula>AND(COUNT(E7:E10)&lt;2,IF(ISNUMBER(C8),C9&gt;C8))</formula>
    </cfRule>
  </conditionalFormatting>
  <conditionalFormatting sqref="E9">
    <cfRule type="expression" dxfId="150" priority="149">
      <formula>AND(COUNT(E7:E10)&lt;2,IF(ISNUMBER(C9),C8&gt;C9))</formula>
    </cfRule>
  </conditionalFormatting>
  <conditionalFormatting sqref="E7:E10">
    <cfRule type="aboveAverage" dxfId="149" priority="148"/>
  </conditionalFormatting>
  <conditionalFormatting sqref="F7">
    <cfRule type="expression" dxfId="148" priority="143">
      <formula>AND(COUNT(F7:F10)&lt;2,IF(COUNT(E7:E10)=2,IF(AND(ISNUMBER(E7),COUNTIF(E7:E10,E7)=1,E7=MAX(E7:E10)),TRUE,FALSE)))</formula>
    </cfRule>
    <cfRule type="expression" dxfId="147" priority="147">
      <formula>AND(COUNT(F7:F10)&lt;2,IF(COUNT(D7:D10)=2,IF(AND(ISNUMBER(D7),COUNTIF(D7:D10,D7)=1,D7=MIN(D7:D10)),TRUE,FALSE)))</formula>
    </cfRule>
  </conditionalFormatting>
  <conditionalFormatting sqref="F8">
    <cfRule type="expression" dxfId="146" priority="142">
      <formula>AND(COUNT(F7:F10)&lt;2,IF(COUNT(E7:E10)=2,IF(AND(ISNUMBER(E8),COUNTIF(E7:E10,E8)=1,E8=MAX(E7:E10)),TRUE,FALSE)))</formula>
    </cfRule>
    <cfRule type="expression" dxfId="145" priority="146">
      <formula>AND(COUNT(F7:F10)&lt;2,IF(COUNT(D7:D10)=2,IF(AND(ISNUMBER(D8),COUNTIF(D7:D10,D8)=1,D8=MIN(D7:D10)),TRUE,FALSE)))</formula>
    </cfRule>
  </conditionalFormatting>
  <conditionalFormatting sqref="F9">
    <cfRule type="expression" dxfId="144" priority="141">
      <formula>AND(COUNT(F7:F10)&lt;2,IF(COUNT(E7:E10)=2,IF(AND(ISNUMBER(E9),COUNTIF(E7:E10,E9)=1,E9=MAX(E7:E10)),TRUE,FALSE)))</formula>
    </cfRule>
    <cfRule type="expression" dxfId="143" priority="145">
      <formula>AND(COUNT(F7:F10)&lt;2,IF(COUNT(D7:D10)=2,IF(AND(ISNUMBER(D9),COUNTIF(D7:D10,D9)=1,D9=MIN(D7:D10)),TRUE,FALSE)))</formula>
    </cfRule>
  </conditionalFormatting>
  <conditionalFormatting sqref="F10">
    <cfRule type="expression" dxfId="142" priority="140">
      <formula>AND(COUNT(F7:F10)&lt;2,IF(COUNT(E7:E10)=2,IF(AND(ISNUMBER(E10),COUNTIF(E7:E10,E10)=1,E10=MAX(E7:E10)),TRUE,FALSE)))</formula>
    </cfRule>
    <cfRule type="expression" dxfId="141" priority="144">
      <formula>AND(COUNT(F7:F10)&lt;2,IF(COUNT(D7:D10)=2,IF(AND(ISNUMBER(D10),COUNTIF(D7:D10,D10)=1,D10=MIN(D7:D10)),TRUE,FALSE)))</formula>
    </cfRule>
  </conditionalFormatting>
  <conditionalFormatting sqref="F7:F10">
    <cfRule type="aboveAverage" dxfId="140" priority="139"/>
  </conditionalFormatting>
  <conditionalFormatting sqref="D7">
    <cfRule type="expression" dxfId="139" priority="138">
      <formula>AND(COUNT(D7:D10)&lt;2,IF(ISNUMBER(C10),C7&gt;C10))</formula>
    </cfRule>
  </conditionalFormatting>
  <conditionalFormatting sqref="D8">
    <cfRule type="expression" dxfId="138" priority="137">
      <formula>AND(COUNT(D7:D10)&lt;2,IF(ISNUMBER(C9),C8&gt;C9))</formula>
    </cfRule>
  </conditionalFormatting>
  <conditionalFormatting sqref="D9">
    <cfRule type="expression" dxfId="137" priority="136">
      <formula>AND(COUNT(D7:D10)&lt;2,IF(ISNUMBER(C8),C9&gt;C8))</formula>
    </cfRule>
  </conditionalFormatting>
  <conditionalFormatting sqref="D10">
    <cfRule type="expression" dxfId="136" priority="135">
      <formula>AND(COUNT(D7:D10)&lt;2,IF(ISNUMBER(C7),C10&gt;C7))</formula>
    </cfRule>
  </conditionalFormatting>
  <conditionalFormatting sqref="D7:D10">
    <cfRule type="aboveAverage" dxfId="135" priority="134"/>
  </conditionalFormatting>
  <conditionalFormatting sqref="E16">
    <cfRule type="expression" dxfId="134" priority="133">
      <formula>AND(COUNT(E13:E16)&lt;2,IF(ISNUMBER(C16),C13&gt;C16))</formula>
    </cfRule>
  </conditionalFormatting>
  <conditionalFormatting sqref="E13">
    <cfRule type="expression" dxfId="133" priority="132">
      <formula>AND(COUNT(E13:E16)&lt;2,IF(ISNUMBER(C13),C16&gt;C13))</formula>
    </cfRule>
  </conditionalFormatting>
  <conditionalFormatting sqref="E14">
    <cfRule type="expression" dxfId="132" priority="131">
      <formula>AND(COUNT(E13:E16)&lt;2,IF(ISNUMBER(C14),C15&gt;C14))</formula>
    </cfRule>
  </conditionalFormatting>
  <conditionalFormatting sqref="E15">
    <cfRule type="expression" dxfId="131" priority="130">
      <formula>AND(COUNT(E13:E16)&lt;2,IF(ISNUMBER(C15),C14&gt;C15))</formula>
    </cfRule>
  </conditionalFormatting>
  <conditionalFormatting sqref="E13:E16">
    <cfRule type="aboveAverage" dxfId="130" priority="129"/>
  </conditionalFormatting>
  <conditionalFormatting sqref="F13">
    <cfRule type="expression" dxfId="129" priority="124">
      <formula>AND(COUNT(F13:F16)&lt;2,IF(COUNT(E13:E16)=2,IF(AND(ISNUMBER(E13),COUNTIF(E13:E16,E13)=1,E13=MAX(E13:E16)),TRUE,FALSE)))</formula>
    </cfRule>
    <cfRule type="expression" dxfId="128" priority="128">
      <formula>AND(COUNT(F13:F16)&lt;2,IF(COUNT(D13:D16)=2,IF(AND(ISNUMBER(D13),COUNTIF(D13:D16,D13)=1,D13=MIN(D13:D16)),TRUE,FALSE)))</formula>
    </cfRule>
  </conditionalFormatting>
  <conditionalFormatting sqref="F14">
    <cfRule type="expression" dxfId="127" priority="123">
      <formula>AND(COUNT(F13:F16)&lt;2,IF(COUNT(E13:E16)=2,IF(AND(ISNUMBER(E14),COUNTIF(E13:E16,E14)=1,E14=MAX(E13:E16)),TRUE,FALSE)))</formula>
    </cfRule>
    <cfRule type="expression" dxfId="126" priority="127">
      <formula>AND(COUNT(F13:F16)&lt;2,IF(COUNT(D13:D16)=2,IF(AND(ISNUMBER(D14),COUNTIF(D13:D16,D14)=1,D14=MIN(D13:D16)),TRUE,FALSE)))</formula>
    </cfRule>
  </conditionalFormatting>
  <conditionalFormatting sqref="F15">
    <cfRule type="expression" dxfId="125" priority="122">
      <formula>AND(COUNT(F13:F16)&lt;2,IF(COUNT(E13:E16)=2,IF(AND(ISNUMBER(E15),COUNTIF(E13:E16,E15)=1,E15=MAX(E13:E16)),TRUE,FALSE)))</formula>
    </cfRule>
    <cfRule type="expression" dxfId="124" priority="126">
      <formula>AND(COUNT(F13:F16)&lt;2,IF(COUNT(D13:D16)=2,IF(AND(ISNUMBER(D15),COUNTIF(D13:D16,D15)=1,D15=MIN(D13:D16)),TRUE,FALSE)))</formula>
    </cfRule>
  </conditionalFormatting>
  <conditionalFormatting sqref="F16">
    <cfRule type="expression" dxfId="123" priority="121">
      <formula>AND(COUNT(F13:F16)&lt;2,IF(COUNT(E13:E16)=2,IF(AND(ISNUMBER(E16),COUNTIF(E13:E16,E16)=1,E16=MAX(E13:E16)),TRUE,FALSE)))</formula>
    </cfRule>
    <cfRule type="expression" dxfId="122" priority="125">
      <formula>AND(COUNT(F13:F16)&lt;2,IF(COUNT(D13:D16)=2,IF(AND(ISNUMBER(D16),COUNTIF(D13:D16,D16)=1,D16=MIN(D13:D16)),TRUE,FALSE)))</formula>
    </cfRule>
  </conditionalFormatting>
  <conditionalFormatting sqref="F13:F16">
    <cfRule type="aboveAverage" dxfId="121" priority="120"/>
  </conditionalFormatting>
  <conditionalFormatting sqref="D13">
    <cfRule type="expression" dxfId="120" priority="119">
      <formula>AND(COUNT(D13:D16)&lt;2,IF(ISNUMBER(C16),C13&gt;C16))</formula>
    </cfRule>
  </conditionalFormatting>
  <conditionalFormatting sqref="D14">
    <cfRule type="expression" dxfId="119" priority="118">
      <formula>AND(COUNT(D13:D16)&lt;2,IF(ISNUMBER(C15),C14&gt;C15))</formula>
    </cfRule>
  </conditionalFormatting>
  <conditionalFormatting sqref="D15">
    <cfRule type="expression" dxfId="118" priority="117">
      <formula>AND(COUNT(D13:D16)&lt;2,IF(ISNUMBER(C14),C15&gt;C14))</formula>
    </cfRule>
  </conditionalFormatting>
  <conditionalFormatting sqref="D16">
    <cfRule type="expression" dxfId="117" priority="116">
      <formula>AND(COUNT(D13:D16)&lt;2,IF(ISNUMBER(C13),C16&gt;C13))</formula>
    </cfRule>
  </conditionalFormatting>
  <conditionalFormatting sqref="D13:D16">
    <cfRule type="aboveAverage" dxfId="116" priority="115"/>
  </conditionalFormatting>
  <conditionalFormatting sqref="E22">
    <cfRule type="expression" dxfId="115" priority="114">
      <formula>AND(COUNT(E19:E22)&lt;2,IF(ISNUMBER(C22),C19&gt;C22))</formula>
    </cfRule>
  </conditionalFormatting>
  <conditionalFormatting sqref="E19">
    <cfRule type="expression" dxfId="114" priority="113">
      <formula>AND(COUNT(E19:E22)&lt;2,IF(ISNUMBER(C19),C22&gt;C19))</formula>
    </cfRule>
  </conditionalFormatting>
  <conditionalFormatting sqref="E20">
    <cfRule type="expression" dxfId="113" priority="112">
      <formula>AND(COUNT(E19:E22)&lt;2,IF(ISNUMBER(C20),C21&gt;C20))</formula>
    </cfRule>
  </conditionalFormatting>
  <conditionalFormatting sqref="E21">
    <cfRule type="expression" dxfId="112" priority="111">
      <formula>AND(COUNT(E19:E22)&lt;2,IF(ISNUMBER(C21),C20&gt;C21))</formula>
    </cfRule>
  </conditionalFormatting>
  <conditionalFormatting sqref="E19:E22">
    <cfRule type="aboveAverage" dxfId="111" priority="110"/>
  </conditionalFormatting>
  <conditionalFormatting sqref="F19">
    <cfRule type="expression" dxfId="110" priority="105">
      <formula>AND(COUNT(F19:F22)&lt;2,IF(COUNT(E19:E22)=2,IF(AND(ISNUMBER(E19),COUNTIF(E19:E22,E19)=1,E19=MAX(E19:E22)),TRUE,FALSE)))</formula>
    </cfRule>
    <cfRule type="expression" dxfId="109" priority="109">
      <formula>AND(COUNT(F19:F22)&lt;2,IF(COUNT(D19:D22)=2,IF(AND(ISNUMBER(D19),COUNTIF(D19:D22,D19)=1,D19=MIN(D19:D22)),TRUE,FALSE)))</formula>
    </cfRule>
  </conditionalFormatting>
  <conditionalFormatting sqref="F20">
    <cfRule type="expression" dxfId="108" priority="104">
      <formula>AND(COUNT(F19:F22)&lt;2,IF(COUNT(E19:E22)=2,IF(AND(ISNUMBER(E20),COUNTIF(E19:E22,E20)=1,E20=MAX(E19:E22)),TRUE,FALSE)))</formula>
    </cfRule>
    <cfRule type="expression" dxfId="107" priority="108">
      <formula>AND(COUNT(F19:F22)&lt;2,IF(COUNT(D19:D22)=2,IF(AND(ISNUMBER(D20),COUNTIF(D19:D22,D20)=1,D20=MIN(D19:D22)),TRUE,FALSE)))</formula>
    </cfRule>
  </conditionalFormatting>
  <conditionalFormatting sqref="F21">
    <cfRule type="expression" dxfId="106" priority="103">
      <formula>AND(COUNT(F19:F22)&lt;2,IF(COUNT(E19:E22)=2,IF(AND(ISNUMBER(E21),COUNTIF(E19:E22,E21)=1,E21=MAX(E19:E22)),TRUE,FALSE)))</formula>
    </cfRule>
    <cfRule type="expression" dxfId="105" priority="107">
      <formula>AND(COUNT(F19:F22)&lt;2,IF(COUNT(D19:D22)=2,IF(AND(ISNUMBER(D21),COUNTIF(D19:D22,D21)=1,D21=MIN(D19:D22)),TRUE,FALSE)))</formula>
    </cfRule>
  </conditionalFormatting>
  <conditionalFormatting sqref="F22">
    <cfRule type="expression" dxfId="104" priority="102">
      <formula>AND(COUNT(F19:F22)&lt;2,IF(COUNT(E19:E22)=2,IF(AND(ISNUMBER(E22),COUNTIF(E19:E22,E22)=1,E22=MAX(E19:E22)),TRUE,FALSE)))</formula>
    </cfRule>
    <cfRule type="expression" dxfId="103" priority="106">
      <formula>AND(COUNT(F19:F22)&lt;2,IF(COUNT(D19:D22)=2,IF(AND(ISNUMBER(D22),COUNTIF(D19:D22,D22)=1,D22=MIN(D19:D22)),TRUE,FALSE)))</formula>
    </cfRule>
  </conditionalFormatting>
  <conditionalFormatting sqref="F19:F22">
    <cfRule type="aboveAverage" dxfId="102" priority="101"/>
  </conditionalFormatting>
  <conditionalFormatting sqref="D19">
    <cfRule type="expression" dxfId="101" priority="100">
      <formula>AND(COUNT(D19:D22)&lt;2,IF(ISNUMBER(C22),C19&gt;C22))</formula>
    </cfRule>
  </conditionalFormatting>
  <conditionalFormatting sqref="D20">
    <cfRule type="expression" dxfId="100" priority="99">
      <formula>AND(COUNT(D19:D22)&lt;2,IF(ISNUMBER(C21),C20&gt;C21))</formula>
    </cfRule>
  </conditionalFormatting>
  <conditionalFormatting sqref="D21">
    <cfRule type="expression" dxfId="99" priority="98">
      <formula>AND(COUNT(D19:D22)&lt;2,IF(ISNUMBER(C20),C21&gt;C20))</formula>
    </cfRule>
  </conditionalFormatting>
  <conditionalFormatting sqref="D22">
    <cfRule type="expression" dxfId="98" priority="97">
      <formula>AND(COUNT(D19:D22)&lt;2,IF(ISNUMBER(C19),C22&gt;C19))</formula>
    </cfRule>
  </conditionalFormatting>
  <conditionalFormatting sqref="D19:D22">
    <cfRule type="aboveAverage" dxfId="97" priority="96"/>
  </conditionalFormatting>
  <conditionalFormatting sqref="E28">
    <cfRule type="expression" dxfId="96" priority="95">
      <formula>AND(COUNT(E25:E28)&lt;2,IF(ISNUMBER(C28),C25&gt;C28))</formula>
    </cfRule>
  </conditionalFormatting>
  <conditionalFormatting sqref="E25">
    <cfRule type="expression" dxfId="95" priority="94">
      <formula>AND(COUNT(E25:E28)&lt;2,IF(ISNUMBER(C25),C28&gt;C25))</formula>
    </cfRule>
  </conditionalFormatting>
  <conditionalFormatting sqref="E26">
    <cfRule type="expression" dxfId="94" priority="93">
      <formula>AND(COUNT(E25:E28)&lt;2,IF(ISNUMBER(C26),C27&gt;C26))</formula>
    </cfRule>
  </conditionalFormatting>
  <conditionalFormatting sqref="E27">
    <cfRule type="expression" dxfId="93" priority="92">
      <formula>AND(COUNT(E25:E28)&lt;2,IF(ISNUMBER(C27),C26&gt;C27))</formula>
    </cfRule>
  </conditionalFormatting>
  <conditionalFormatting sqref="E25:E28">
    <cfRule type="aboveAverage" dxfId="92" priority="91"/>
  </conditionalFormatting>
  <conditionalFormatting sqref="F25">
    <cfRule type="expression" dxfId="91" priority="86">
      <formula>AND(COUNT(F25:F28)&lt;2,IF(COUNT(E25:E28)=2,IF(AND(ISNUMBER(E25),COUNTIF(E25:E28,E25)=1,E25=MAX(E25:E28)),TRUE,FALSE)))</formula>
    </cfRule>
    <cfRule type="expression" dxfId="90" priority="90">
      <formula>AND(COUNT(F25:F28)&lt;2,IF(COUNT(D25:D28)=2,IF(AND(ISNUMBER(D25),COUNTIF(D25:D28,D25)=1,D25=MIN(D25:D28)),TRUE,FALSE)))</formula>
    </cfRule>
  </conditionalFormatting>
  <conditionalFormatting sqref="F26">
    <cfRule type="expression" dxfId="89" priority="85">
      <formula>AND(COUNT(F25:F28)&lt;2,IF(COUNT(E25:E28)=2,IF(AND(ISNUMBER(E26),COUNTIF(E25:E28,E26)=1,E26=MAX(E25:E28)),TRUE,FALSE)))</formula>
    </cfRule>
    <cfRule type="expression" dxfId="88" priority="89">
      <formula>AND(COUNT(F25:F28)&lt;2,IF(COUNT(D25:D28)=2,IF(AND(ISNUMBER(D26),COUNTIF(D25:D28,D26)=1,D26=MIN(D25:D28)),TRUE,FALSE)))</formula>
    </cfRule>
  </conditionalFormatting>
  <conditionalFormatting sqref="F27">
    <cfRule type="expression" dxfId="87" priority="84">
      <formula>AND(COUNT(F25:F28)&lt;2,IF(COUNT(E25:E28)=2,IF(AND(ISNUMBER(E27),COUNTIF(E25:E28,E27)=1,E27=MAX(E25:E28)),TRUE,FALSE)))</formula>
    </cfRule>
    <cfRule type="expression" dxfId="86" priority="88">
      <formula>AND(COUNT(F25:F28)&lt;2,IF(COUNT(D25:D28)=2,IF(AND(ISNUMBER(D27),COUNTIF(D25:D28,D27)=1,D27=MIN(D25:D28)),TRUE,FALSE)))</formula>
    </cfRule>
  </conditionalFormatting>
  <conditionalFormatting sqref="F28">
    <cfRule type="expression" dxfId="85" priority="83">
      <formula>AND(COUNT(F25:F28)&lt;2,IF(COUNT(E25:E28)=2,IF(AND(ISNUMBER(E28),COUNTIF(E25:E28,E28)=1,E28=MAX(E25:E28)),TRUE,FALSE)))</formula>
    </cfRule>
    <cfRule type="expression" dxfId="84" priority="87">
      <formula>AND(COUNT(F25:F28)&lt;2,IF(COUNT(D25:D28)=2,IF(AND(ISNUMBER(D28),COUNTIF(D25:D28,D28)=1,D28=MIN(D25:D28)),TRUE,FALSE)))</formula>
    </cfRule>
  </conditionalFormatting>
  <conditionalFormatting sqref="F25:F28">
    <cfRule type="aboveAverage" dxfId="83" priority="82"/>
  </conditionalFormatting>
  <conditionalFormatting sqref="D25">
    <cfRule type="expression" dxfId="82" priority="81">
      <formula>AND(COUNT(D25:D28)&lt;2,IF(ISNUMBER(C28),C25&gt;C28))</formula>
    </cfRule>
  </conditionalFormatting>
  <conditionalFormatting sqref="D26">
    <cfRule type="expression" dxfId="81" priority="80">
      <formula>AND(COUNT(D25:D28)&lt;2,IF(ISNUMBER(C27),C26&gt;C27))</formula>
    </cfRule>
  </conditionalFormatting>
  <conditionalFormatting sqref="D27">
    <cfRule type="expression" dxfId="80" priority="79">
      <formula>AND(COUNT(D25:D28)&lt;2,IF(ISNUMBER(C26),C27&gt;C26))</formula>
    </cfRule>
  </conditionalFormatting>
  <conditionalFormatting sqref="D28">
    <cfRule type="expression" dxfId="79" priority="78">
      <formula>AND(COUNT(D25:D28)&lt;2,IF(ISNUMBER(C25),C28&gt;C25))</formula>
    </cfRule>
  </conditionalFormatting>
  <conditionalFormatting sqref="D25:D28">
    <cfRule type="aboveAverage" dxfId="78" priority="77"/>
  </conditionalFormatting>
  <conditionalFormatting sqref="E34">
    <cfRule type="expression" dxfId="77" priority="76">
      <formula>AND(COUNT(E31:E34)&lt;2,IF(ISNUMBER(C34),C31&gt;C34))</formula>
    </cfRule>
  </conditionalFormatting>
  <conditionalFormatting sqref="E31">
    <cfRule type="expression" dxfId="76" priority="75">
      <formula>AND(COUNT(E31:E34)&lt;2,IF(ISNUMBER(C31),C34&gt;C31))</formula>
    </cfRule>
  </conditionalFormatting>
  <conditionalFormatting sqref="E32">
    <cfRule type="expression" dxfId="75" priority="74">
      <formula>AND(COUNT(E31:E34)&lt;2,IF(ISNUMBER(C32),C33&gt;C32))</formula>
    </cfRule>
  </conditionalFormatting>
  <conditionalFormatting sqref="E33">
    <cfRule type="expression" dxfId="74" priority="73">
      <formula>AND(COUNT(E31:E34)&lt;2,IF(ISNUMBER(C33),C32&gt;C33))</formula>
    </cfRule>
  </conditionalFormatting>
  <conditionalFormatting sqref="E31:E34">
    <cfRule type="aboveAverage" dxfId="73" priority="72"/>
  </conditionalFormatting>
  <conditionalFormatting sqref="F31">
    <cfRule type="expression" dxfId="72" priority="67">
      <formula>AND(COUNT(F31:F34)&lt;2,IF(COUNT(E31:E34)=2,IF(AND(ISNUMBER(E31),COUNTIF(E31:E34,E31)=1,E31=MAX(E31:E34)),TRUE,FALSE)))</formula>
    </cfRule>
    <cfRule type="expression" dxfId="71" priority="71">
      <formula>AND(COUNT(F31:F34)&lt;2,IF(COUNT(D31:D34)=2,IF(AND(ISNUMBER(D31),COUNTIF(D31:D34,D31)=1,D31=MIN(D31:D34)),TRUE,FALSE)))</formula>
    </cfRule>
  </conditionalFormatting>
  <conditionalFormatting sqref="F32">
    <cfRule type="expression" dxfId="70" priority="66">
      <formula>AND(COUNT(F31:F34)&lt;2,IF(COUNT(E31:E34)=2,IF(AND(ISNUMBER(E32),COUNTIF(E31:E34,E32)=1,E32=MAX(E31:E34)),TRUE,FALSE)))</formula>
    </cfRule>
    <cfRule type="expression" dxfId="69" priority="70">
      <formula>AND(COUNT(F31:F34)&lt;2,IF(COUNT(D31:D34)=2,IF(AND(ISNUMBER(D32),COUNTIF(D31:D34,D32)=1,D32=MIN(D31:D34)),TRUE,FALSE)))</formula>
    </cfRule>
  </conditionalFormatting>
  <conditionalFormatting sqref="F33">
    <cfRule type="expression" dxfId="68" priority="65">
      <formula>AND(COUNT(F31:F34)&lt;2,IF(COUNT(E31:E34)=2,IF(AND(ISNUMBER(E33),COUNTIF(E31:E34,E33)=1,E33=MAX(E31:E34)),TRUE,FALSE)))</formula>
    </cfRule>
    <cfRule type="expression" dxfId="67" priority="69">
      <formula>AND(COUNT(F31:F34)&lt;2,IF(COUNT(D31:D34)=2,IF(AND(ISNUMBER(D33),COUNTIF(D31:D34,D33)=1,D33=MIN(D31:D34)),TRUE,FALSE)))</formula>
    </cfRule>
  </conditionalFormatting>
  <conditionalFormatting sqref="F34">
    <cfRule type="expression" dxfId="66" priority="64">
      <formula>AND(COUNT(F31:F34)&lt;2,IF(COUNT(E31:E34)=2,IF(AND(ISNUMBER(E34),COUNTIF(E31:E34,E34)=1,E34=MAX(E31:E34)),TRUE,FALSE)))</formula>
    </cfRule>
    <cfRule type="expression" dxfId="65" priority="68">
      <formula>AND(COUNT(F31:F34)&lt;2,IF(COUNT(D31:D34)=2,IF(AND(ISNUMBER(D34),COUNTIF(D31:D34,D34)=1,D34=MIN(D31:D34)),TRUE,FALSE)))</formula>
    </cfRule>
  </conditionalFormatting>
  <conditionalFormatting sqref="F31:F34">
    <cfRule type="aboveAverage" dxfId="64" priority="63"/>
  </conditionalFormatting>
  <conditionalFormatting sqref="D31">
    <cfRule type="expression" dxfId="63" priority="62">
      <formula>AND(COUNT(D31:D34)&lt;2,IF(ISNUMBER(C34),C31&gt;C34))</formula>
    </cfRule>
  </conditionalFormatting>
  <conditionalFormatting sqref="D32">
    <cfRule type="expression" dxfId="62" priority="61">
      <formula>AND(COUNT(D31:D34)&lt;2,IF(ISNUMBER(C33),C32&gt;C33))</formula>
    </cfRule>
  </conditionalFormatting>
  <conditionalFormatting sqref="D33">
    <cfRule type="expression" dxfId="61" priority="60">
      <formula>AND(COUNT(D31:D34)&lt;2,IF(ISNUMBER(C32),C33&gt;C32))</formula>
    </cfRule>
  </conditionalFormatting>
  <conditionalFormatting sqref="D34">
    <cfRule type="expression" dxfId="60" priority="59">
      <formula>AND(COUNT(D31:D34)&lt;2,IF(ISNUMBER(C31),C34&gt;C31))</formula>
    </cfRule>
  </conditionalFormatting>
  <conditionalFormatting sqref="D31:D34">
    <cfRule type="aboveAverage" dxfId="59" priority="58"/>
  </conditionalFormatting>
  <conditionalFormatting sqref="E40">
    <cfRule type="expression" dxfId="58" priority="57">
      <formula>AND(COUNT(E37:E40)&lt;2,IF(ISNUMBER(C40),C37&gt;C40))</formula>
    </cfRule>
  </conditionalFormatting>
  <conditionalFormatting sqref="E37">
    <cfRule type="expression" dxfId="57" priority="56">
      <formula>AND(COUNT(E37:E40)&lt;2,IF(ISNUMBER(C37),C40&gt;C37))</formula>
    </cfRule>
  </conditionalFormatting>
  <conditionalFormatting sqref="E38">
    <cfRule type="expression" dxfId="56" priority="55">
      <formula>AND(COUNT(E37:E40)&lt;2,IF(ISNUMBER(C38),C39&gt;C38))</formula>
    </cfRule>
  </conditionalFormatting>
  <conditionalFormatting sqref="E39">
    <cfRule type="expression" dxfId="55" priority="54">
      <formula>AND(COUNT(E37:E40)&lt;2,IF(ISNUMBER(C39),C38&gt;C39))</formula>
    </cfRule>
  </conditionalFormatting>
  <conditionalFormatting sqref="E37:E40">
    <cfRule type="aboveAverage" dxfId="54" priority="53"/>
  </conditionalFormatting>
  <conditionalFormatting sqref="F37">
    <cfRule type="expression" dxfId="53" priority="48">
      <formula>AND(COUNT(F37:F40)&lt;2,IF(COUNT(E37:E40)=2,IF(AND(ISNUMBER(E37),COUNTIF(E37:E40,E37)=1,E37=MAX(E37:E40)),TRUE,FALSE)))</formula>
    </cfRule>
    <cfRule type="expression" dxfId="52" priority="52">
      <formula>AND(COUNT(F37:F40)&lt;2,IF(COUNT(D37:D40)=2,IF(AND(ISNUMBER(D37),COUNTIF(D37:D40,D37)=1,D37=MIN(D37:D40)),TRUE,FALSE)))</formula>
    </cfRule>
  </conditionalFormatting>
  <conditionalFormatting sqref="F38">
    <cfRule type="expression" dxfId="51" priority="47">
      <formula>AND(COUNT(F37:F40)&lt;2,IF(COUNT(E37:E40)=2,IF(AND(ISNUMBER(E38),COUNTIF(E37:E40,E38)=1,E38=MAX(E37:E40)),TRUE,FALSE)))</formula>
    </cfRule>
    <cfRule type="expression" dxfId="50" priority="51">
      <formula>AND(COUNT(F37:F40)&lt;2,IF(COUNT(D37:D40)=2,IF(AND(ISNUMBER(D38),COUNTIF(D37:D40,D38)=1,D38=MIN(D37:D40)),TRUE,FALSE)))</formula>
    </cfRule>
  </conditionalFormatting>
  <conditionalFormatting sqref="F39">
    <cfRule type="expression" dxfId="49" priority="46">
      <formula>AND(COUNT(F37:F40)&lt;2,IF(COUNT(E37:E40)=2,IF(AND(ISNUMBER(E39),COUNTIF(E37:E40,E39)=1,E39=MAX(E37:E40)),TRUE,FALSE)))</formula>
    </cfRule>
    <cfRule type="expression" dxfId="48" priority="50">
      <formula>AND(COUNT(F37:F40)&lt;2,IF(COUNT(D37:D40)=2,IF(AND(ISNUMBER(D39),COUNTIF(D37:D40,D39)=1,D39=MIN(D37:D40)),TRUE,FALSE)))</formula>
    </cfRule>
  </conditionalFormatting>
  <conditionalFormatting sqref="F40">
    <cfRule type="expression" dxfId="47" priority="45">
      <formula>AND(COUNT(F37:F40)&lt;2,IF(COUNT(E37:E40)=2,IF(AND(ISNUMBER(E40),COUNTIF(E37:E40,E40)=1,E40=MAX(E37:E40)),TRUE,FALSE)))</formula>
    </cfRule>
    <cfRule type="expression" dxfId="46" priority="49">
      <formula>AND(COUNT(F37:F40)&lt;2,IF(COUNT(D37:D40)=2,IF(AND(ISNUMBER(D40),COUNTIF(D37:D40,D40)=1,D40=MIN(D37:D40)),TRUE,FALSE)))</formula>
    </cfRule>
  </conditionalFormatting>
  <conditionalFormatting sqref="F37:F40">
    <cfRule type="aboveAverage" dxfId="45" priority="44"/>
  </conditionalFormatting>
  <conditionalFormatting sqref="D37">
    <cfRule type="expression" dxfId="44" priority="43">
      <formula>AND(COUNT(D37:D40)&lt;2,IF(ISNUMBER(C40),C37&gt;C40))</formula>
    </cfRule>
  </conditionalFormatting>
  <conditionalFormatting sqref="D38">
    <cfRule type="expression" dxfId="43" priority="42">
      <formula>AND(COUNT(D37:D40)&lt;2,IF(ISNUMBER(C39),C38&gt;C39))</formula>
    </cfRule>
  </conditionalFormatting>
  <conditionalFormatting sqref="D39">
    <cfRule type="expression" dxfId="42" priority="41">
      <formula>AND(COUNT(D37:D40)&lt;2,IF(ISNUMBER(C38),C39&gt;C38))</formula>
    </cfRule>
  </conditionalFormatting>
  <conditionalFormatting sqref="D40">
    <cfRule type="expression" dxfId="41" priority="40">
      <formula>AND(COUNT(D37:D40)&lt;2,IF(ISNUMBER(C37),C40&gt;C37))</formula>
    </cfRule>
  </conditionalFormatting>
  <conditionalFormatting sqref="D37:D40">
    <cfRule type="aboveAverage" dxfId="40" priority="39"/>
  </conditionalFormatting>
  <conditionalFormatting sqref="E46">
    <cfRule type="expression" dxfId="39" priority="38">
      <formula>AND(COUNT(E43:E46)&lt;2,IF(ISNUMBER(C46),C43&gt;C46))</formula>
    </cfRule>
  </conditionalFormatting>
  <conditionalFormatting sqref="E43">
    <cfRule type="expression" dxfId="38" priority="37">
      <formula>AND(COUNT(E43:E46)&lt;2,IF(ISNUMBER(C43),C46&gt;C43))</formula>
    </cfRule>
  </conditionalFormatting>
  <conditionalFormatting sqref="E44">
    <cfRule type="expression" dxfId="37" priority="36">
      <formula>AND(COUNT(E43:E46)&lt;2,IF(ISNUMBER(C44),C45&gt;C44))</formula>
    </cfRule>
  </conditionalFormatting>
  <conditionalFormatting sqref="E45">
    <cfRule type="expression" dxfId="36" priority="35">
      <formula>AND(COUNT(E43:E46)&lt;2,IF(ISNUMBER(C45),C44&gt;C45))</formula>
    </cfRule>
  </conditionalFormatting>
  <conditionalFormatting sqref="E43:E46">
    <cfRule type="aboveAverage" dxfId="35" priority="34"/>
  </conditionalFormatting>
  <conditionalFormatting sqref="F43">
    <cfRule type="expression" dxfId="34" priority="29">
      <formula>AND(COUNT(F43:F46)&lt;2,IF(COUNT(E43:E46)=2,IF(AND(ISNUMBER(E43),COUNTIF(E43:E46,E43)=1,E43=MAX(E43:E46)),TRUE,FALSE)))</formula>
    </cfRule>
    <cfRule type="expression" dxfId="33" priority="33">
      <formula>AND(COUNT(F43:F46)&lt;2,IF(COUNT(D43:D46)=2,IF(AND(ISNUMBER(D43),COUNTIF(D43:D46,D43)=1,D43=MIN(D43:D46)),TRUE,FALSE)))</formula>
    </cfRule>
  </conditionalFormatting>
  <conditionalFormatting sqref="F44">
    <cfRule type="expression" dxfId="32" priority="28">
      <formula>AND(COUNT(F43:F46)&lt;2,IF(COUNT(E43:E46)=2,IF(AND(ISNUMBER(E44),COUNTIF(E43:E46,E44)=1,E44=MAX(E43:E46)),TRUE,FALSE)))</formula>
    </cfRule>
    <cfRule type="expression" dxfId="31" priority="32">
      <formula>AND(COUNT(F43:F46)&lt;2,IF(COUNT(D43:D46)=2,IF(AND(ISNUMBER(D44),COUNTIF(D43:D46,D44)=1,D44=MIN(D43:D46)),TRUE,FALSE)))</formula>
    </cfRule>
  </conditionalFormatting>
  <conditionalFormatting sqref="F45">
    <cfRule type="expression" dxfId="30" priority="27">
      <formula>AND(COUNT(F43:F46)&lt;2,IF(COUNT(E43:E46)=2,IF(AND(ISNUMBER(E45),COUNTIF(E43:E46,E45)=1,E45=MAX(E43:E46)),TRUE,FALSE)))</formula>
    </cfRule>
    <cfRule type="expression" dxfId="29" priority="31">
      <formula>AND(COUNT(F43:F46)&lt;2,IF(COUNT(D43:D46)=2,IF(AND(ISNUMBER(D45),COUNTIF(D43:D46,D45)=1,D45=MIN(D43:D46)),TRUE,FALSE)))</formula>
    </cfRule>
  </conditionalFormatting>
  <conditionalFormatting sqref="F46">
    <cfRule type="expression" dxfId="28" priority="26">
      <formula>AND(COUNT(F43:F46)&lt;2,IF(COUNT(E43:E46)=2,IF(AND(ISNUMBER(E46),COUNTIF(E43:E46,E46)=1,E46=MAX(E43:E46)),TRUE,FALSE)))</formula>
    </cfRule>
    <cfRule type="expression" dxfId="27" priority="30">
      <formula>AND(COUNT(F43:F46)&lt;2,IF(COUNT(D43:D46)=2,IF(AND(ISNUMBER(D46),COUNTIF(D43:D46,D46)=1,D46=MIN(D43:D46)),TRUE,FALSE)))</formula>
    </cfRule>
  </conditionalFormatting>
  <conditionalFormatting sqref="F43:F46">
    <cfRule type="aboveAverage" dxfId="26" priority="25"/>
  </conditionalFormatting>
  <conditionalFormatting sqref="D43">
    <cfRule type="expression" dxfId="25" priority="24">
      <formula>AND(COUNT(D43:D46)&lt;2,IF(ISNUMBER(C46),C43&gt;C46))</formula>
    </cfRule>
  </conditionalFormatting>
  <conditionalFormatting sqref="D44">
    <cfRule type="expression" dxfId="24" priority="23">
      <formula>AND(COUNT(D43:D46)&lt;2,IF(ISNUMBER(C45),C44&gt;C45))</formula>
    </cfRule>
  </conditionalFormatting>
  <conditionalFormatting sqref="D45">
    <cfRule type="expression" dxfId="23" priority="22">
      <formula>AND(COUNT(D43:D46)&lt;2,IF(ISNUMBER(C44),C45&gt;C44))</formula>
    </cfRule>
  </conditionalFormatting>
  <conditionalFormatting sqref="D46">
    <cfRule type="expression" dxfId="22" priority="21">
      <formula>AND(COUNT(D43:D46)&lt;2,IF(ISNUMBER(C43),C46&gt;C43))</formula>
    </cfRule>
  </conditionalFormatting>
  <conditionalFormatting sqref="D43:D46">
    <cfRule type="aboveAverage" dxfId="21" priority="20"/>
  </conditionalFormatting>
  <conditionalFormatting sqref="E52">
    <cfRule type="expression" dxfId="20" priority="19">
      <formula>AND(COUNT(E49:E52)&lt;2,IF(ISNUMBER(C52),C49&gt;C52))</formula>
    </cfRule>
  </conditionalFormatting>
  <conditionalFormatting sqref="E49">
    <cfRule type="expression" dxfId="19" priority="18">
      <formula>AND(COUNT(E49:E52)&lt;2,IF(ISNUMBER(C49),C52&gt;C49))</formula>
    </cfRule>
  </conditionalFormatting>
  <conditionalFormatting sqref="E50">
    <cfRule type="expression" dxfId="18" priority="17">
      <formula>AND(COUNT(E49:E52)&lt;2,IF(ISNUMBER(C50),C51&gt;C50))</formula>
    </cfRule>
  </conditionalFormatting>
  <conditionalFormatting sqref="E51">
    <cfRule type="expression" dxfId="17" priority="16">
      <formula>AND(COUNT(E49:E52)&lt;2,IF(ISNUMBER(C51),C50&gt;C51))</formula>
    </cfRule>
  </conditionalFormatting>
  <conditionalFormatting sqref="E49:E52">
    <cfRule type="aboveAverage" dxfId="16" priority="15"/>
  </conditionalFormatting>
  <conditionalFormatting sqref="F49">
    <cfRule type="expression" dxfId="15" priority="10">
      <formula>AND(COUNT(F49:F52)&lt;2,IF(COUNT(E49:E52)=2,IF(AND(ISNUMBER(E49),COUNTIF(E49:E52,E49)=1,E49=MAX(E49:E52)),TRUE,FALSE)))</formula>
    </cfRule>
    <cfRule type="expression" dxfId="14" priority="14">
      <formula>AND(COUNT(F49:F52)&lt;2,IF(COUNT(D49:D52)=2,IF(AND(ISNUMBER(D49),COUNTIF(D49:D52,D49)=1,D49=MIN(D49:D52)),TRUE,FALSE)))</formula>
    </cfRule>
  </conditionalFormatting>
  <conditionalFormatting sqref="F50">
    <cfRule type="expression" dxfId="13" priority="9">
      <formula>AND(COUNT(F49:F52)&lt;2,IF(COUNT(E49:E52)=2,IF(AND(ISNUMBER(E50),COUNTIF(E49:E52,E50)=1,E50=MAX(E49:E52)),TRUE,FALSE)))</formula>
    </cfRule>
    <cfRule type="expression" dxfId="12" priority="13">
      <formula>AND(COUNT(F49:F52)&lt;2,IF(COUNT(D49:D52)=2,IF(AND(ISNUMBER(D50),COUNTIF(D49:D52,D50)=1,D50=MIN(D49:D52)),TRUE,FALSE)))</formula>
    </cfRule>
  </conditionalFormatting>
  <conditionalFormatting sqref="F51">
    <cfRule type="expression" dxfId="11" priority="8">
      <formula>AND(COUNT(F49:F52)&lt;2,IF(COUNT(E49:E52)=2,IF(AND(ISNUMBER(E51),COUNTIF(E49:E52,E51)=1,E51=MAX(E49:E52)),TRUE,FALSE)))</formula>
    </cfRule>
    <cfRule type="expression" dxfId="10" priority="12">
      <formula>AND(COUNT(F49:F52)&lt;2,IF(COUNT(D49:D52)=2,IF(AND(ISNUMBER(D51),COUNTIF(D49:D52,D51)=1,D51=MIN(D49:D52)),TRUE,FALSE)))</formula>
    </cfRule>
  </conditionalFormatting>
  <conditionalFormatting sqref="F52">
    <cfRule type="expression" dxfId="9" priority="7">
      <formula>AND(COUNT(F49:F52)&lt;2,IF(COUNT(E49:E52)=2,IF(AND(ISNUMBER(E52),COUNTIF(E49:E52,E52)=1,E52=MAX(E49:E52)),TRUE,FALSE)))</formula>
    </cfRule>
    <cfRule type="expression" dxfId="8" priority="11">
      <formula>AND(COUNT(F49:F52)&lt;2,IF(COUNT(D49:D52)=2,IF(AND(ISNUMBER(D52),COUNTIF(D49:D52,D52)=1,D52=MIN(D49:D52)),TRUE,FALSE)))</formula>
    </cfRule>
  </conditionalFormatting>
  <conditionalFormatting sqref="F49:F52">
    <cfRule type="aboveAverage" dxfId="7" priority="6"/>
  </conditionalFormatting>
  <conditionalFormatting sqref="D49">
    <cfRule type="expression" dxfId="6" priority="5">
      <formula>AND(COUNT(D49:D52)&lt;2,IF(ISNUMBER(C52),C49&gt;C52))</formula>
    </cfRule>
  </conditionalFormatting>
  <conditionalFormatting sqref="D50">
    <cfRule type="expression" dxfId="5" priority="4">
      <formula>AND(COUNT(D49:D52)&lt;2,IF(ISNUMBER(C51),C50&gt;C51))</formula>
    </cfRule>
  </conditionalFormatting>
  <conditionalFormatting sqref="D51">
    <cfRule type="expression" dxfId="4" priority="3">
      <formula>AND(COUNT(D49:D52)&lt;2,IF(ISNUMBER(C50),C51&gt;C50))</formula>
    </cfRule>
  </conditionalFormatting>
  <conditionalFormatting sqref="D52">
    <cfRule type="expression" dxfId="3" priority="2">
      <formula>AND(COUNT(D49:D52)&lt;2,IF(ISNUMBER(C49),C52&gt;C49))</formula>
    </cfRule>
  </conditionalFormatting>
  <conditionalFormatting sqref="D49:D52">
    <cfRule type="aboveAverage" dxfId="2" priority="1"/>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4" manualBreakCount="4">
    <brk id="40" max="16383" man="1"/>
    <brk id="52" max="16383" man="1"/>
    <brk id="90" max="16383" man="1"/>
    <brk id="10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G1" sqref="G1"/>
    </sheetView>
  </sheetViews>
  <sheetFormatPr defaultRowHeight="12.75" x14ac:dyDescent="0.2"/>
  <cols>
    <col min="2" max="2" width="9.140625" style="391"/>
  </cols>
  <sheetData>
    <row r="1" spans="1:2" x14ac:dyDescent="0.2">
      <c r="A1" s="381">
        <v>0</v>
      </c>
      <c r="B1" s="381">
        <v>0</v>
      </c>
    </row>
    <row r="2" spans="1:2" x14ac:dyDescent="0.2">
      <c r="A2" s="381">
        <v>1</v>
      </c>
      <c r="B2" s="381" t="s">
        <v>291</v>
      </c>
    </row>
    <row r="3" spans="1:2" x14ac:dyDescent="0.2">
      <c r="A3" s="381">
        <v>2</v>
      </c>
      <c r="B3" s="381" t="s">
        <v>275</v>
      </c>
    </row>
    <row r="4" spans="1:2" x14ac:dyDescent="0.2">
      <c r="A4" s="381">
        <v>3</v>
      </c>
      <c r="B4" s="381" t="s">
        <v>292</v>
      </c>
    </row>
    <row r="5" spans="1:2" x14ac:dyDescent="0.2">
      <c r="A5" s="381">
        <v>4</v>
      </c>
      <c r="B5" s="381" t="s">
        <v>293</v>
      </c>
    </row>
    <row r="6" spans="1:2" x14ac:dyDescent="0.2">
      <c r="A6" s="381">
        <v>5</v>
      </c>
      <c r="B6" s="381" t="s">
        <v>276</v>
      </c>
    </row>
    <row r="7" spans="1:2" x14ac:dyDescent="0.2">
      <c r="A7" s="381">
        <v>6</v>
      </c>
      <c r="B7" s="381" t="s">
        <v>294</v>
      </c>
    </row>
    <row r="8" spans="1:2" x14ac:dyDescent="0.2">
      <c r="A8" s="381">
        <v>7</v>
      </c>
      <c r="B8" s="381" t="s">
        <v>295</v>
      </c>
    </row>
    <row r="9" spans="1:2" x14ac:dyDescent="0.2">
      <c r="A9" s="381">
        <v>8</v>
      </c>
      <c r="B9" s="381" t="s">
        <v>292</v>
      </c>
    </row>
    <row r="10" spans="1:2" x14ac:dyDescent="0.2">
      <c r="A10" s="381">
        <v>9</v>
      </c>
      <c r="B10" s="381" t="s">
        <v>293</v>
      </c>
    </row>
    <row r="11" spans="1:2" x14ac:dyDescent="0.2">
      <c r="A11" s="381">
        <v>10</v>
      </c>
      <c r="B11" s="381" t="s">
        <v>276</v>
      </c>
    </row>
    <row r="12" spans="1:2" x14ac:dyDescent="0.2">
      <c r="A12" s="381">
        <v>11</v>
      </c>
      <c r="B12" s="381" t="s">
        <v>294</v>
      </c>
    </row>
    <row r="13" spans="1:2" x14ac:dyDescent="0.2">
      <c r="A13" s="381">
        <v>12</v>
      </c>
      <c r="B13" s="381" t="s">
        <v>295</v>
      </c>
    </row>
    <row r="14" spans="1:2" x14ac:dyDescent="0.2">
      <c r="A14" s="381">
        <v>13</v>
      </c>
      <c r="B14" s="381" t="s">
        <v>296</v>
      </c>
    </row>
    <row r="15" spans="1:2" x14ac:dyDescent="0.2">
      <c r="A15" s="381">
        <v>14</v>
      </c>
      <c r="B15" s="381" t="s">
        <v>64</v>
      </c>
    </row>
    <row r="16" spans="1:2" x14ac:dyDescent="0.2">
      <c r="A16" s="381">
        <v>15</v>
      </c>
      <c r="B16" s="381" t="s">
        <v>195</v>
      </c>
    </row>
    <row r="17" spans="1:2" x14ac:dyDescent="0.2">
      <c r="A17" s="381">
        <v>16</v>
      </c>
      <c r="B17" s="381" t="s">
        <v>87</v>
      </c>
    </row>
    <row r="18" spans="1:2" x14ac:dyDescent="0.2">
      <c r="A18" s="381">
        <v>17</v>
      </c>
      <c r="B18" s="381" t="s">
        <v>607</v>
      </c>
    </row>
    <row r="19" spans="1:2" x14ac:dyDescent="0.2">
      <c r="A19" s="381">
        <v>18</v>
      </c>
      <c r="B19" s="381" t="s">
        <v>608</v>
      </c>
    </row>
    <row r="20" spans="1:2" x14ac:dyDescent="0.2">
      <c r="A20" s="381">
        <v>19</v>
      </c>
      <c r="B20" s="381" t="s">
        <v>560</v>
      </c>
    </row>
    <row r="21" spans="1:2" x14ac:dyDescent="0.2">
      <c r="A21" s="381">
        <v>20</v>
      </c>
      <c r="B21" s="381" t="s">
        <v>609</v>
      </c>
    </row>
    <row r="22" spans="1:2" x14ac:dyDescent="0.2">
      <c r="A22" s="381">
        <v>21</v>
      </c>
      <c r="B22" s="381" t="s">
        <v>610</v>
      </c>
    </row>
    <row r="23" spans="1:2" x14ac:dyDescent="0.2">
      <c r="A23" s="381">
        <v>22</v>
      </c>
      <c r="B23" s="381" t="s">
        <v>611</v>
      </c>
    </row>
    <row r="24" spans="1:2" x14ac:dyDescent="0.2">
      <c r="A24" s="381">
        <v>23</v>
      </c>
      <c r="B24" s="381" t="s">
        <v>156</v>
      </c>
    </row>
    <row r="25" spans="1:2" x14ac:dyDescent="0.2">
      <c r="A25" s="381">
        <v>24</v>
      </c>
      <c r="B25" s="381" t="s">
        <v>196</v>
      </c>
    </row>
    <row r="26" spans="1:2" x14ac:dyDescent="0.2">
      <c r="A26" s="381">
        <v>25</v>
      </c>
      <c r="B26" s="381" t="s">
        <v>159</v>
      </c>
    </row>
    <row r="27" spans="1:2" x14ac:dyDescent="0.2">
      <c r="A27" s="381">
        <v>26</v>
      </c>
      <c r="B27" s="381" t="s">
        <v>612</v>
      </c>
    </row>
    <row r="28" spans="1:2" x14ac:dyDescent="0.2">
      <c r="A28" s="381">
        <v>27</v>
      </c>
      <c r="B28" s="381" t="s">
        <v>613</v>
      </c>
    </row>
    <row r="29" spans="1:2" x14ac:dyDescent="0.2">
      <c r="A29" s="381">
        <v>28</v>
      </c>
      <c r="B29" s="381" t="s">
        <v>614</v>
      </c>
    </row>
    <row r="30" spans="1:2" x14ac:dyDescent="0.2">
      <c r="A30" s="381">
        <v>29</v>
      </c>
      <c r="B30" s="381" t="s">
        <v>615</v>
      </c>
    </row>
    <row r="31" spans="1:2" x14ac:dyDescent="0.2">
      <c r="A31" s="381">
        <v>30</v>
      </c>
      <c r="B31" s="381" t="s">
        <v>616</v>
      </c>
    </row>
    <row r="32" spans="1:2" x14ac:dyDescent="0.2">
      <c r="A32" s="381">
        <v>31</v>
      </c>
      <c r="B32" s="381" t="s">
        <v>617</v>
      </c>
    </row>
    <row r="33" spans="1:2" x14ac:dyDescent="0.2">
      <c r="B33" s="391" t="s">
        <v>635</v>
      </c>
    </row>
    <row r="34" spans="1:2" x14ac:dyDescent="0.2">
      <c r="A34" t="s">
        <v>634</v>
      </c>
    </row>
    <row r="36" spans="1:2" x14ac:dyDescent="0.2">
      <c r="A36" t="s">
        <v>638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1" sqref="G1"/>
    </sheetView>
  </sheetViews>
  <sheetFormatPr defaultRowHeight="12.75" x14ac:dyDescent="0.2"/>
  <sheetData>
    <row r="1" spans="1:7" x14ac:dyDescent="0.2">
      <c r="A1" s="85">
        <v>25</v>
      </c>
      <c r="C1" t="s">
        <v>636</v>
      </c>
    </row>
    <row r="2" spans="1:7" x14ac:dyDescent="0.2">
      <c r="A2" s="85">
        <v>20</v>
      </c>
    </row>
    <row r="3" spans="1:7" x14ac:dyDescent="0.2">
      <c r="A3" s="85">
        <v>16</v>
      </c>
      <c r="C3" s="393" t="s">
        <v>639</v>
      </c>
      <c r="D3" s="393"/>
      <c r="E3" s="393"/>
      <c r="F3" s="393"/>
      <c r="G3" s="393"/>
    </row>
    <row r="4" spans="1:7" x14ac:dyDescent="0.2">
      <c r="A4" s="85">
        <v>12</v>
      </c>
    </row>
    <row r="5" spans="1:7" x14ac:dyDescent="0.2">
      <c r="A5" s="85">
        <v>9</v>
      </c>
    </row>
    <row r="6" spans="1:7" x14ac:dyDescent="0.2">
      <c r="A6" s="85">
        <v>7</v>
      </c>
    </row>
    <row r="7" spans="1:7" x14ac:dyDescent="0.2">
      <c r="A7" s="85">
        <v>5</v>
      </c>
    </row>
    <row r="8" spans="1:7" x14ac:dyDescent="0.2">
      <c r="A8" s="85">
        <v>4</v>
      </c>
    </row>
    <row r="9" spans="1:7" x14ac:dyDescent="0.2">
      <c r="A9" s="85">
        <v>3</v>
      </c>
    </row>
    <row r="10" spans="1:7" x14ac:dyDescent="0.2">
      <c r="A10" s="85">
        <v>2</v>
      </c>
    </row>
    <row r="11" spans="1:7" x14ac:dyDescent="0.2">
      <c r="A11" s="387">
        <v>1.5</v>
      </c>
    </row>
    <row r="12" spans="1:7" x14ac:dyDescent="0.2">
      <c r="A12" s="85">
        <v>1</v>
      </c>
    </row>
    <row r="13" spans="1:7" x14ac:dyDescent="0.2">
      <c r="A13" s="387">
        <v>0</v>
      </c>
      <c r="B13" t="s">
        <v>299</v>
      </c>
    </row>
    <row r="14" spans="1:7" x14ac:dyDescent="0.2">
      <c r="A14" s="401" t="s">
        <v>598</v>
      </c>
      <c r="B14" t="s">
        <v>643</v>
      </c>
    </row>
  </sheetData>
  <sortState ref="A15:A106">
    <sortCondition descending="1" ref="A15"/>
  </sortState>
  <conditionalFormatting sqref="A1:A13">
    <cfRule type="duplicateValues" dxfId="1" priority="6946"/>
  </conditionalFormatting>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election activeCell="K1" sqref="K1"/>
    </sheetView>
  </sheetViews>
  <sheetFormatPr defaultRowHeight="12.75" x14ac:dyDescent="0.2"/>
  <sheetData>
    <row r="1" spans="1:4" x14ac:dyDescent="0.2">
      <c r="A1" s="392">
        <v>173</v>
      </c>
      <c r="B1">
        <v>1</v>
      </c>
      <c r="D1" t="s">
        <v>637</v>
      </c>
    </row>
    <row r="2" spans="1:4" x14ac:dyDescent="0.2">
      <c r="A2" s="392">
        <v>158</v>
      </c>
      <c r="B2">
        <v>2</v>
      </c>
    </row>
    <row r="3" spans="1:4" x14ac:dyDescent="0.2">
      <c r="A3" s="392">
        <v>146</v>
      </c>
      <c r="B3">
        <v>3</v>
      </c>
    </row>
    <row r="4" spans="1:4" x14ac:dyDescent="0.2">
      <c r="A4" s="392">
        <v>135</v>
      </c>
      <c r="B4">
        <v>4</v>
      </c>
    </row>
    <row r="5" spans="1:4" x14ac:dyDescent="0.2">
      <c r="A5" s="392">
        <v>126</v>
      </c>
      <c r="B5">
        <v>5</v>
      </c>
    </row>
    <row r="6" spans="1:4" x14ac:dyDescent="0.2">
      <c r="A6" s="392">
        <v>119</v>
      </c>
      <c r="B6">
        <v>6</v>
      </c>
    </row>
    <row r="7" spans="1:4" x14ac:dyDescent="0.2">
      <c r="A7" s="392">
        <v>115</v>
      </c>
      <c r="B7">
        <v>7</v>
      </c>
    </row>
    <row r="8" spans="1:4" x14ac:dyDescent="0.2">
      <c r="A8" s="392">
        <v>111</v>
      </c>
      <c r="B8">
        <v>8</v>
      </c>
    </row>
    <row r="9" spans="1:4" x14ac:dyDescent="0.2">
      <c r="A9" s="392">
        <v>105</v>
      </c>
      <c r="B9">
        <v>9</v>
      </c>
    </row>
    <row r="10" spans="1:4" x14ac:dyDescent="0.2">
      <c r="A10" s="392">
        <v>104</v>
      </c>
      <c r="B10">
        <v>10</v>
      </c>
    </row>
    <row r="11" spans="1:4" x14ac:dyDescent="0.2">
      <c r="A11" s="392">
        <v>97</v>
      </c>
      <c r="B11">
        <v>11</v>
      </c>
    </row>
    <row r="12" spans="1:4" x14ac:dyDescent="0.2">
      <c r="A12" s="392">
        <v>96</v>
      </c>
      <c r="B12">
        <v>12</v>
      </c>
    </row>
    <row r="13" spans="1:4" x14ac:dyDescent="0.2">
      <c r="A13" s="392">
        <v>93</v>
      </c>
      <c r="B13">
        <v>13</v>
      </c>
    </row>
    <row r="14" spans="1:4" x14ac:dyDescent="0.2">
      <c r="A14" s="392">
        <v>90</v>
      </c>
      <c r="B14">
        <v>14</v>
      </c>
    </row>
    <row r="15" spans="1:4" x14ac:dyDescent="0.2">
      <c r="A15" s="392">
        <v>84</v>
      </c>
      <c r="B15">
        <v>15</v>
      </c>
    </row>
    <row r="16" spans="1:4" x14ac:dyDescent="0.2">
      <c r="A16" s="392">
        <v>83</v>
      </c>
      <c r="B16">
        <v>16</v>
      </c>
    </row>
    <row r="17" spans="1:2" x14ac:dyDescent="0.2">
      <c r="A17" s="392">
        <v>79</v>
      </c>
      <c r="B17">
        <v>17</v>
      </c>
    </row>
    <row r="18" spans="1:2" x14ac:dyDescent="0.2">
      <c r="A18" s="392">
        <v>78</v>
      </c>
      <c r="B18">
        <v>18</v>
      </c>
    </row>
    <row r="19" spans="1:2" x14ac:dyDescent="0.2">
      <c r="A19" s="392">
        <v>74</v>
      </c>
      <c r="B19">
        <v>19</v>
      </c>
    </row>
    <row r="20" spans="1:2" x14ac:dyDescent="0.2">
      <c r="A20" s="392">
        <v>69</v>
      </c>
      <c r="B20">
        <v>20</v>
      </c>
    </row>
    <row r="21" spans="1:2" x14ac:dyDescent="0.2">
      <c r="A21" s="392">
        <v>65</v>
      </c>
      <c r="B21">
        <v>21</v>
      </c>
    </row>
    <row r="22" spans="1:2" x14ac:dyDescent="0.2">
      <c r="A22" s="392">
        <v>64</v>
      </c>
      <c r="B22">
        <v>22</v>
      </c>
    </row>
    <row r="23" spans="1:2" x14ac:dyDescent="0.2">
      <c r="A23" s="392">
        <v>60</v>
      </c>
      <c r="B23">
        <v>23</v>
      </c>
    </row>
    <row r="24" spans="1:2" x14ac:dyDescent="0.2">
      <c r="A24" s="392">
        <v>57</v>
      </c>
      <c r="B24">
        <v>24</v>
      </c>
    </row>
    <row r="25" spans="1:2" x14ac:dyDescent="0.2">
      <c r="A25" s="392">
        <v>56</v>
      </c>
      <c r="B25">
        <v>25</v>
      </c>
    </row>
    <row r="26" spans="1:2" x14ac:dyDescent="0.2">
      <c r="A26" s="392">
        <v>53</v>
      </c>
      <c r="B26">
        <v>26</v>
      </c>
    </row>
    <row r="27" spans="1:2" x14ac:dyDescent="0.2">
      <c r="A27" s="392">
        <v>52</v>
      </c>
      <c r="B27">
        <v>27</v>
      </c>
    </row>
    <row r="28" spans="1:2" x14ac:dyDescent="0.2">
      <c r="A28" s="392">
        <v>51</v>
      </c>
      <c r="B28">
        <v>28</v>
      </c>
    </row>
    <row r="29" spans="1:2" x14ac:dyDescent="0.2">
      <c r="A29" s="392">
        <v>50</v>
      </c>
      <c r="B29">
        <v>29</v>
      </c>
    </row>
    <row r="30" spans="1:2" x14ac:dyDescent="0.2">
      <c r="A30" s="392">
        <v>49</v>
      </c>
      <c r="B30">
        <v>30</v>
      </c>
    </row>
    <row r="31" spans="1:2" x14ac:dyDescent="0.2">
      <c r="A31" s="392">
        <v>47</v>
      </c>
      <c r="B31">
        <v>31</v>
      </c>
    </row>
    <row r="32" spans="1:2" x14ac:dyDescent="0.2">
      <c r="A32" s="392">
        <v>46</v>
      </c>
      <c r="B32">
        <v>32</v>
      </c>
    </row>
    <row r="33" spans="1:2" x14ac:dyDescent="0.2">
      <c r="A33" s="392">
        <v>43</v>
      </c>
      <c r="B33">
        <v>33</v>
      </c>
    </row>
    <row r="34" spans="1:2" x14ac:dyDescent="0.2">
      <c r="A34" s="392">
        <v>42</v>
      </c>
      <c r="B34">
        <v>34</v>
      </c>
    </row>
    <row r="35" spans="1:2" x14ac:dyDescent="0.2">
      <c r="A35" s="392">
        <v>40</v>
      </c>
      <c r="B35">
        <v>35</v>
      </c>
    </row>
    <row r="36" spans="1:2" x14ac:dyDescent="0.2">
      <c r="A36" s="392">
        <v>38</v>
      </c>
      <c r="B36">
        <v>36</v>
      </c>
    </row>
    <row r="37" spans="1:2" x14ac:dyDescent="0.2">
      <c r="A37" s="392">
        <v>37</v>
      </c>
      <c r="B37">
        <v>37</v>
      </c>
    </row>
    <row r="38" spans="1:2" x14ac:dyDescent="0.2">
      <c r="A38" s="392">
        <v>35</v>
      </c>
      <c r="B38">
        <v>38</v>
      </c>
    </row>
    <row r="39" spans="1:2" x14ac:dyDescent="0.2">
      <c r="A39" s="392">
        <v>34</v>
      </c>
      <c r="B39">
        <v>39</v>
      </c>
    </row>
    <row r="40" spans="1:2" x14ac:dyDescent="0.2">
      <c r="A40" s="392">
        <v>33</v>
      </c>
      <c r="B40">
        <v>40</v>
      </c>
    </row>
    <row r="41" spans="1:2" x14ac:dyDescent="0.2">
      <c r="A41" s="392">
        <v>31</v>
      </c>
      <c r="B41">
        <v>41</v>
      </c>
    </row>
    <row r="42" spans="1:2" x14ac:dyDescent="0.2">
      <c r="A42" s="392">
        <v>29</v>
      </c>
      <c r="B42">
        <v>42</v>
      </c>
    </row>
    <row r="43" spans="1:2" x14ac:dyDescent="0.2">
      <c r="A43" s="392">
        <v>28</v>
      </c>
      <c r="B43">
        <v>43</v>
      </c>
    </row>
    <row r="44" spans="1:2" x14ac:dyDescent="0.2">
      <c r="A44" s="392">
        <v>27</v>
      </c>
      <c r="B44">
        <v>44</v>
      </c>
    </row>
    <row r="45" spans="1:2" x14ac:dyDescent="0.2">
      <c r="A45" s="392">
        <v>25</v>
      </c>
      <c r="B45">
        <v>45</v>
      </c>
    </row>
    <row r="46" spans="1:2" x14ac:dyDescent="0.2">
      <c r="A46" s="392">
        <v>24</v>
      </c>
      <c r="B46">
        <v>46</v>
      </c>
    </row>
    <row r="47" spans="1:2" x14ac:dyDescent="0.2">
      <c r="A47" s="392">
        <v>23</v>
      </c>
      <c r="B47">
        <v>47</v>
      </c>
    </row>
    <row r="48" spans="1:2" x14ac:dyDescent="0.2">
      <c r="A48" s="392">
        <v>22</v>
      </c>
      <c r="B48">
        <v>48</v>
      </c>
    </row>
    <row r="49" spans="1:2" x14ac:dyDescent="0.2">
      <c r="A49" s="392">
        <v>21</v>
      </c>
      <c r="B49">
        <v>49</v>
      </c>
    </row>
    <row r="50" spans="1:2" x14ac:dyDescent="0.2">
      <c r="A50" s="392">
        <v>19</v>
      </c>
      <c r="B50">
        <v>50</v>
      </c>
    </row>
    <row r="51" spans="1:2" x14ac:dyDescent="0.2">
      <c r="A51" s="392">
        <v>18</v>
      </c>
      <c r="B51">
        <v>51</v>
      </c>
    </row>
    <row r="52" spans="1:2" x14ac:dyDescent="0.2">
      <c r="A52" s="392">
        <v>17</v>
      </c>
      <c r="B52">
        <v>52</v>
      </c>
    </row>
    <row r="53" spans="1:2" x14ac:dyDescent="0.2">
      <c r="A53" s="392">
        <v>16</v>
      </c>
      <c r="B53">
        <v>53</v>
      </c>
    </row>
    <row r="54" spans="1:2" x14ac:dyDescent="0.2">
      <c r="A54" s="392">
        <v>14</v>
      </c>
      <c r="B54">
        <v>54</v>
      </c>
    </row>
    <row r="55" spans="1:2" x14ac:dyDescent="0.2">
      <c r="A55" s="392">
        <v>12</v>
      </c>
      <c r="B55">
        <v>55</v>
      </c>
    </row>
    <row r="56" spans="1:2" x14ac:dyDescent="0.2">
      <c r="A56" s="392">
        <v>10</v>
      </c>
      <c r="B56">
        <v>56</v>
      </c>
    </row>
    <row r="57" spans="1:2" x14ac:dyDescent="0.2">
      <c r="A57" s="392">
        <v>9</v>
      </c>
      <c r="B57">
        <v>57</v>
      </c>
    </row>
    <row r="58" spans="1:2" x14ac:dyDescent="0.2">
      <c r="A58" s="392">
        <v>8</v>
      </c>
      <c r="B58">
        <v>58</v>
      </c>
    </row>
    <row r="59" spans="1:2" x14ac:dyDescent="0.2">
      <c r="A59" s="392">
        <v>6</v>
      </c>
      <c r="B59">
        <v>59</v>
      </c>
    </row>
    <row r="60" spans="1:2" x14ac:dyDescent="0.2">
      <c r="A60" s="392">
        <v>5</v>
      </c>
      <c r="B60">
        <v>60</v>
      </c>
    </row>
    <row r="61" spans="1:2" x14ac:dyDescent="0.2">
      <c r="A61" s="392">
        <v>4</v>
      </c>
      <c r="B61">
        <v>61</v>
      </c>
    </row>
    <row r="62" spans="1:2" x14ac:dyDescent="0.2">
      <c r="A62" s="392">
        <v>3</v>
      </c>
      <c r="B62">
        <v>62</v>
      </c>
    </row>
    <row r="63" spans="1:2" x14ac:dyDescent="0.2">
      <c r="A63" s="392">
        <v>2</v>
      </c>
      <c r="B63">
        <v>63</v>
      </c>
    </row>
    <row r="64" spans="1:2" x14ac:dyDescent="0.2">
      <c r="A64" s="392">
        <v>1</v>
      </c>
      <c r="B64">
        <v>64</v>
      </c>
    </row>
    <row r="65" spans="1:2" x14ac:dyDescent="0.2">
      <c r="A65" s="392">
        <v>0</v>
      </c>
      <c r="B65">
        <v>65</v>
      </c>
    </row>
  </sheetData>
  <conditionalFormatting sqref="A1:A65">
    <cfRule type="duplicateValues" dxfId="0" priority="1"/>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showGridLines="0" workbookViewId="0">
      <selection activeCell="G1" sqref="G1"/>
    </sheetView>
  </sheetViews>
  <sheetFormatPr defaultRowHeight="12.75" x14ac:dyDescent="0.2"/>
  <sheetData>
    <row r="1" spans="1:1" x14ac:dyDescent="0.2">
      <c r="A1" s="402" t="s">
        <v>652</v>
      </c>
    </row>
    <row r="3" spans="1:1" x14ac:dyDescent="0.2">
      <c r="A3" t="s">
        <v>644</v>
      </c>
    </row>
    <row r="4" spans="1:1" x14ac:dyDescent="0.2">
      <c r="A4" s="403" t="s">
        <v>645</v>
      </c>
    </row>
    <row r="5" spans="1:1" x14ac:dyDescent="0.2">
      <c r="A5" s="403" t="s">
        <v>663</v>
      </c>
    </row>
    <row r="7" spans="1:1" x14ac:dyDescent="0.2">
      <c r="A7" t="s">
        <v>646</v>
      </c>
    </row>
    <row r="8" spans="1:1" x14ac:dyDescent="0.2">
      <c r="A8" s="403" t="s">
        <v>647</v>
      </c>
    </row>
    <row r="9" spans="1:1" x14ac:dyDescent="0.2">
      <c r="A9" s="403" t="s">
        <v>664</v>
      </c>
    </row>
    <row r="11" spans="1:1" x14ac:dyDescent="0.2">
      <c r="A11" t="s">
        <v>656</v>
      </c>
    </row>
    <row r="12" spans="1:1" x14ac:dyDescent="0.2">
      <c r="A12" s="403" t="s">
        <v>647</v>
      </c>
    </row>
    <row r="13" spans="1:1" x14ac:dyDescent="0.2">
      <c r="A13" s="403" t="s">
        <v>648</v>
      </c>
    </row>
    <row r="14" spans="1:1" x14ac:dyDescent="0.2">
      <c r="A14" s="441" t="s">
        <v>672</v>
      </c>
    </row>
    <row r="15" spans="1:1" x14ac:dyDescent="0.2">
      <c r="A15" s="403" t="s">
        <v>673</v>
      </c>
    </row>
    <row r="16" spans="1:1" x14ac:dyDescent="0.2">
      <c r="A16" s="403"/>
    </row>
    <row r="17" spans="1:1" x14ac:dyDescent="0.2">
      <c r="A17" s="403"/>
    </row>
    <row r="19" spans="1:1" x14ac:dyDescent="0.2">
      <c r="A19" t="s">
        <v>651</v>
      </c>
    </row>
    <row r="20" spans="1:1" x14ac:dyDescent="0.2">
      <c r="A20" s="403" t="s">
        <v>650</v>
      </c>
    </row>
    <row r="21" spans="1:1" x14ac:dyDescent="0.2">
      <c r="A21" s="403" t="s">
        <v>649</v>
      </c>
    </row>
    <row r="24" spans="1:1" x14ac:dyDescent="0.2">
      <c r="A24" s="443" t="s">
        <v>675</v>
      </c>
    </row>
    <row r="25" spans="1:1" x14ac:dyDescent="0.2">
      <c r="A25" s="444" t="s">
        <v>674</v>
      </c>
    </row>
    <row r="28" spans="1:1" x14ac:dyDescent="0.2">
      <c r="A28" t="s">
        <v>680</v>
      </c>
    </row>
    <row r="29" spans="1:1" x14ac:dyDescent="0.2">
      <c r="A29" s="403" t="s">
        <v>677</v>
      </c>
    </row>
    <row r="30" spans="1:1" x14ac:dyDescent="0.2">
      <c r="A30" s="403" t="s">
        <v>678</v>
      </c>
    </row>
    <row r="31" spans="1:1" x14ac:dyDescent="0.2">
      <c r="A31" s="403" t="s">
        <v>679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Kalend</vt:lpstr>
      <vt:lpstr>Üldreiting</vt:lpstr>
      <vt:lpstr>1</vt:lpstr>
      <vt:lpstr>2</vt:lpstr>
      <vt:lpstr>3</vt:lpstr>
      <vt:lpstr>4</vt:lpstr>
      <vt:lpstr>5</vt:lpstr>
      <vt:lpstr>6</vt:lpstr>
      <vt:lpstr>Kl-S</vt:lpstr>
      <vt:lpstr>7</vt:lpstr>
      <vt:lpstr>8</vt:lpstr>
      <vt:lpstr>9</vt:lpstr>
      <vt:lpstr>9b</vt:lpstr>
      <vt:lpstr>10</vt:lpstr>
      <vt:lpstr>11</vt:lpstr>
      <vt:lpstr>nalja</vt:lpstr>
      <vt:lpstr>Reg-Fin</vt:lpstr>
      <vt:lpstr>Juhend</vt:lpstr>
      <vt:lpstr>Üldjuhend</vt:lpstr>
      <vt:lpstr>Reg. karikas</vt:lpstr>
      <vt:lpstr>Klubide sari</vt:lpstr>
      <vt:lpstr>Klubide karikas</vt:lpstr>
      <vt:lpstr>6-8</vt:lpstr>
      <vt:lpstr>9-10</vt:lpstr>
      <vt:lpstr>.11</vt:lpstr>
      <vt:lpstr>12-16</vt:lpstr>
      <vt:lpstr>17-32</vt:lpstr>
      <vt:lpstr>ETAPP</vt:lpstr>
      <vt:lpstr>PUNKTID</vt:lpstr>
      <vt:lpstr>P-EV</vt:lpstr>
      <vt:lpstr>val</vt:lpstr>
      <vt:lpstr>'10'!Print_Area</vt:lpstr>
      <vt:lpstr>'11'!Print_Area</vt:lpstr>
      <vt:lpstr>'6-8'!Print_Area</vt:lpstr>
      <vt:lpstr>'7'!Print_Area</vt:lpstr>
      <vt:lpstr>'8'!Print_Area</vt:lpstr>
      <vt:lpstr>'9-10'!Print_Area</vt:lpstr>
      <vt:lpstr>'Kl-S'!Print_Area</vt:lpstr>
      <vt:lpstr>'Reg-Fin'!Print_Area</vt:lpstr>
      <vt:lpstr>Üldjuhend!Print_Area</vt:lpstr>
      <vt:lpstr>'.11'!Print_Titles</vt:lpstr>
      <vt:lpstr>'1'!Print_Titles</vt:lpstr>
      <vt:lpstr>'10'!Print_Titles</vt:lpstr>
      <vt:lpstr>'11'!Print_Titles</vt:lpstr>
      <vt:lpstr>'12-16'!Print_Titles</vt:lpstr>
      <vt:lpstr>'17-32'!Print_Titles</vt:lpstr>
      <vt:lpstr>'2'!Print_Titles</vt:lpstr>
      <vt:lpstr>'3'!Print_Titles</vt:lpstr>
      <vt:lpstr>'4'!Print_Titles</vt:lpstr>
      <vt:lpstr>'5'!Print_Titles</vt:lpstr>
      <vt:lpstr>'6'!Print_Titles</vt:lpstr>
      <vt:lpstr>'6-8'!Print_Titles</vt:lpstr>
      <vt:lpstr>'7'!Print_Titles</vt:lpstr>
      <vt:lpstr>'8'!Print_Titles</vt:lpstr>
      <vt:lpstr>'9'!Print_Titles</vt:lpstr>
      <vt:lpstr>'9-10'!Print_Titles</vt:lpstr>
      <vt:lpstr>'9b'!Print_Titles</vt:lpstr>
      <vt:lpstr>Kalend!Print_Titles</vt:lpstr>
      <vt:lpstr>'Kl-S'!Print_Titles</vt:lpstr>
      <vt:lpstr>nalja!Print_Titles</vt:lpstr>
      <vt:lpstr>'Reg-Fin'!Print_Titles</vt:lpstr>
      <vt:lpstr>Üldreiting!Print_Titles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2016-04-12T08:00:05Z</dcterms:created>
  <dcterms:modified xsi:type="dcterms:W3CDTF">2018-10-30T20:28:40Z</dcterms:modified>
</cp:coreProperties>
</file>