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800" yWindow="-15" windowWidth="11400" windowHeight="8070" tabRatio="894" activeTab="1"/>
  </bookViews>
  <sheets>
    <sheet name="Kalend" sheetId="36" r:id="rId1"/>
    <sheet name="Üldreiting" sheetId="45" r:id="rId2"/>
    <sheet name="Mehed" sheetId="3" r:id="rId3"/>
    <sheet name="Naised" sheetId="42" r:id="rId4"/>
    <sheet name="Juuniorid" sheetId="43" r:id="rId5"/>
    <sheet name="1" sheetId="11" r:id="rId6"/>
    <sheet name="2" sheetId="12" r:id="rId7"/>
    <sheet name="KV-1" sheetId="53" r:id="rId8"/>
    <sheet name="3M" sheetId="13" r:id="rId9"/>
    <sheet name="3N" sheetId="31" r:id="rId10"/>
    <sheet name="3J" sheetId="32" r:id="rId11"/>
    <sheet name="4" sheetId="14" r:id="rId12"/>
    <sheet name="5" sheetId="35" r:id="rId13"/>
    <sheet name="6" sheetId="16" r:id="rId14"/>
    <sheet name="KV-M" sheetId="56" r:id="rId15"/>
    <sheet name="KV-2" sheetId="54" r:id="rId16"/>
    <sheet name="KV-F" sheetId="55" r:id="rId17"/>
    <sheet name="7" sheetId="17" r:id="rId18"/>
    <sheet name="8" sheetId="18" r:id="rId19"/>
    <sheet name="9" sheetId="19" r:id="rId20"/>
    <sheet name="10" sheetId="20" r:id="rId21"/>
    <sheet name="11" sheetId="21" r:id="rId22"/>
    <sheet name="12" sheetId="22" r:id="rId23"/>
    <sheet name="13M" sheetId="50" r:id="rId24"/>
    <sheet name="13N" sheetId="51" r:id="rId25"/>
    <sheet name="14" sheetId="24" r:id="rId26"/>
    <sheet name="15" sheetId="25" r:id="rId27"/>
    <sheet name="16" sheetId="26" r:id="rId28"/>
    <sheet name="KK-Ala" sheetId="46" r:id="rId29"/>
    <sheet name="KK-Fin" sheetId="48" r:id="rId30"/>
    <sheet name="Ee-So" sheetId="49" r:id="rId31"/>
    <sheet name="Arvestus" sheetId="27" r:id="rId32"/>
    <sheet name="Juhend" sheetId="28" r:id="rId33"/>
    <sheet name="Punktid" sheetId="30" r:id="rId34"/>
    <sheet name="Litsentsid" sheetId="38" r:id="rId35"/>
    <sheet name="KV juhend" sheetId="52" r:id="rId36"/>
    <sheet name="Üld" sheetId="44" r:id="rId37"/>
  </sheets>
  <definedNames>
    <definedName name="_xlnm._FilterDatabase" localSheetId="4" hidden="1">Juuniorid!$A$8:$Z$8</definedName>
    <definedName name="_xlnm._FilterDatabase" localSheetId="0" hidden="1">Kalend!$A$4:$J$35</definedName>
    <definedName name="_xlnm._FilterDatabase" localSheetId="2" hidden="1">Mehed!$A$8:$Z$8</definedName>
    <definedName name="_xlnm._FilterDatabase" localSheetId="3" hidden="1">Naised!$A$8:$Z$8</definedName>
    <definedName name="_xlnm._FilterDatabase" localSheetId="36" hidden="1">Üld!$A$8:$AU$178</definedName>
    <definedName name="_xlnm._FilterDatabase" localSheetId="1" hidden="1">Üldreiting!$A$8:$Z$8</definedName>
    <definedName name="Nimed" localSheetId="23">#REF!</definedName>
    <definedName name="Nimed" localSheetId="24">#REF!</definedName>
    <definedName name="Nimed" localSheetId="7">#REF!</definedName>
    <definedName name="Nimed" localSheetId="15">#REF!</definedName>
    <definedName name="Nimed" localSheetId="16">#REF!</definedName>
    <definedName name="Nimed" localSheetId="14">#REF!</definedName>
    <definedName name="Nimed">#REF!</definedName>
    <definedName name="_xlnm.Print_Area" localSheetId="5">'1'!$A$1:$O$72</definedName>
    <definedName name="_xlnm.Print_Area" localSheetId="31">Arvestus!$A$1:$F$36</definedName>
    <definedName name="_xlnm.Print_Area" localSheetId="30">'Ee-So'!$A$1:$J$63</definedName>
    <definedName name="_xlnm.Print_Area" localSheetId="28">'KK-Ala'!$A$1:$L$112</definedName>
    <definedName name="_xlnm.Print_Area" localSheetId="29">'KK-Fin'!$A$1:$L$69</definedName>
    <definedName name="_xlnm.Print_Area" localSheetId="36">Üld!$K$1:$AS$178</definedName>
    <definedName name="_xlnm.Print_Area" localSheetId="1">Üldreiting!$A$1:$Z$178</definedName>
    <definedName name="_xlnm.Print_Titles" localSheetId="5">'1'!$1:$2</definedName>
    <definedName name="_xlnm.Print_Titles" localSheetId="20">'10'!$1:$2</definedName>
    <definedName name="_xlnm.Print_Titles" localSheetId="21">'11'!$1:$2</definedName>
    <definedName name="_xlnm.Print_Titles" localSheetId="22">'12'!$1:$2</definedName>
    <definedName name="_xlnm.Print_Titles" localSheetId="23">'13M'!$1:$2</definedName>
    <definedName name="_xlnm.Print_Titles" localSheetId="24">'13N'!$1:$2</definedName>
    <definedName name="_xlnm.Print_Titles" localSheetId="25">'14'!$1:$2</definedName>
    <definedName name="_xlnm.Print_Titles" localSheetId="26">'15'!$1:$2</definedName>
    <definedName name="_xlnm.Print_Titles" localSheetId="27">'16'!$1:$2</definedName>
    <definedName name="_xlnm.Print_Titles" localSheetId="6">'2'!$1:$2</definedName>
    <definedName name="_xlnm.Print_Titles" localSheetId="10">'3J'!$1:$2</definedName>
    <definedName name="_xlnm.Print_Titles" localSheetId="8">'3M'!$1:$2</definedName>
    <definedName name="_xlnm.Print_Titles" localSheetId="9">'3N'!$1:$2</definedName>
    <definedName name="_xlnm.Print_Titles" localSheetId="11">'4'!$1:$2</definedName>
    <definedName name="_xlnm.Print_Titles" localSheetId="12">'5'!$1:$2</definedName>
    <definedName name="_xlnm.Print_Titles" localSheetId="13">'6'!$1:$2</definedName>
    <definedName name="_xlnm.Print_Titles" localSheetId="17">'7'!$1:$2</definedName>
    <definedName name="_xlnm.Print_Titles" localSheetId="18">'8'!$1:$2</definedName>
    <definedName name="_xlnm.Print_Titles" localSheetId="19">'9'!$1:$2</definedName>
    <definedName name="_xlnm.Print_Titles" localSheetId="30">'Ee-So'!$1:$2</definedName>
    <definedName name="_xlnm.Print_Titles" localSheetId="4">Juuniorid!$1:$8</definedName>
    <definedName name="_xlnm.Print_Titles" localSheetId="0">Kalend!$1:$1</definedName>
    <definedName name="_xlnm.Print_Titles" localSheetId="28">'KK-Ala'!$1:$2</definedName>
    <definedName name="_xlnm.Print_Titles" localSheetId="29">'KK-Fin'!$1:$2</definedName>
    <definedName name="_xlnm.Print_Titles" localSheetId="7">'KV-1'!$1:$2</definedName>
    <definedName name="_xlnm.Print_Titles" localSheetId="15">'KV-2'!$1:$2</definedName>
    <definedName name="_xlnm.Print_Titles" localSheetId="16">'KV-F'!$1:$2</definedName>
    <definedName name="_xlnm.Print_Titles" localSheetId="14">'KV-M'!$1:$2</definedName>
    <definedName name="_xlnm.Print_Titles" localSheetId="2">Mehed!$1:$8</definedName>
    <definedName name="_xlnm.Print_Titles" localSheetId="3">Naised!$1:$8</definedName>
    <definedName name="_xlnm.Print_Titles" localSheetId="36">Üld!$1:$8</definedName>
    <definedName name="_xlnm.Print_Titles" localSheetId="1">Üldreiting!$1:$8</definedName>
    <definedName name="sd" localSheetId="15">#REF!</definedName>
    <definedName name="sd" localSheetId="16">#REF!</definedName>
    <definedName name="sd" localSheetId="14">#REF!</definedName>
    <definedName name="sd">#REF!</definedName>
  </definedNames>
  <calcPr calcId="145621"/>
</workbook>
</file>

<file path=xl/calcChain.xml><?xml version="1.0" encoding="utf-8"?>
<calcChain xmlns="http://schemas.openxmlformats.org/spreadsheetml/2006/main">
  <c r="E8" i="36" l="1"/>
  <c r="E18" i="36"/>
  <c r="E17" i="36"/>
  <c r="E16" i="36"/>
  <c r="C19" i="36" l="1"/>
  <c r="C25" i="36"/>
  <c r="C35" i="36"/>
  <c r="C34" i="36"/>
  <c r="C23" i="36"/>
  <c r="C9" i="36"/>
  <c r="C27" i="36"/>
  <c r="A1" i="56" l="1"/>
  <c r="A4" i="56"/>
  <c r="A3" i="56"/>
  <c r="A2" i="56"/>
  <c r="I1" i="56"/>
  <c r="A1" i="55"/>
  <c r="A4" i="55"/>
  <c r="A3" i="55"/>
  <c r="A2" i="55"/>
  <c r="E1" i="55"/>
  <c r="C18" i="36" l="1"/>
  <c r="A1" i="54"/>
  <c r="A4" i="54"/>
  <c r="A3" i="54"/>
  <c r="A2" i="54"/>
  <c r="F1" i="54"/>
  <c r="C17" i="36"/>
  <c r="C8" i="36"/>
  <c r="C16" i="36"/>
  <c r="A4" i="53" l="1"/>
  <c r="A3" i="53"/>
  <c r="A2" i="53"/>
  <c r="A1" i="53"/>
  <c r="C6" i="36"/>
  <c r="H17" i="36"/>
  <c r="F1" i="53"/>
  <c r="S8" i="45"/>
  <c r="I8" i="45"/>
  <c r="F27" i="36"/>
  <c r="E27" i="36"/>
  <c r="G9" i="36"/>
  <c r="F9" i="36"/>
  <c r="E9" i="36"/>
  <c r="H12" i="36" l="1"/>
  <c r="C12" i="36"/>
  <c r="C36" i="36"/>
  <c r="C32" i="36"/>
  <c r="C31" i="36"/>
  <c r="C30" i="36"/>
  <c r="C26" i="36"/>
  <c r="C24" i="36"/>
  <c r="C20" i="36"/>
  <c r="C15" i="36"/>
  <c r="C14" i="36"/>
  <c r="C11" i="36"/>
  <c r="C10" i="36"/>
  <c r="C7" i="36"/>
  <c r="F62" i="49" l="1"/>
  <c r="D62" i="49"/>
  <c r="F52" i="49"/>
  <c r="D52" i="49"/>
  <c r="G42" i="49"/>
  <c r="F42" i="49"/>
  <c r="D42" i="49"/>
  <c r="F32" i="49"/>
  <c r="D32" i="49"/>
  <c r="F13" i="49"/>
  <c r="D13" i="49"/>
  <c r="F22" i="49"/>
  <c r="D22" i="49"/>
  <c r="G61" i="49"/>
  <c r="G60" i="49"/>
  <c r="G59" i="49"/>
  <c r="G58" i="49"/>
  <c r="G57" i="49"/>
  <c r="G56" i="49"/>
  <c r="G62" i="49" s="1"/>
  <c r="G51" i="49"/>
  <c r="G50" i="49"/>
  <c r="G49" i="49"/>
  <c r="G48" i="49"/>
  <c r="G47" i="49"/>
  <c r="G46" i="49"/>
  <c r="G52" i="49" s="1"/>
  <c r="G31" i="49"/>
  <c r="G30" i="49"/>
  <c r="G29" i="49"/>
  <c r="G28" i="49"/>
  <c r="G27" i="49"/>
  <c r="G26" i="49"/>
  <c r="G32" i="49" s="1"/>
  <c r="G21" i="49"/>
  <c r="G20" i="49"/>
  <c r="G19" i="49"/>
  <c r="G18" i="49"/>
  <c r="G17" i="49"/>
  <c r="G16" i="49"/>
  <c r="G22" i="49" s="1"/>
  <c r="G12" i="49"/>
  <c r="G11" i="49"/>
  <c r="G10" i="49"/>
  <c r="G9" i="49"/>
  <c r="G8" i="49"/>
  <c r="G7" i="49"/>
  <c r="G13" i="49" s="1"/>
  <c r="G23" i="49" s="1"/>
  <c r="C61" i="49"/>
  <c r="C60" i="49"/>
  <c r="C59" i="49"/>
  <c r="C58" i="49"/>
  <c r="C57" i="49"/>
  <c r="C56" i="49"/>
  <c r="C62" i="49" s="1"/>
  <c r="C51" i="49"/>
  <c r="C50" i="49"/>
  <c r="C49" i="49"/>
  <c r="C48" i="49"/>
  <c r="C47" i="49"/>
  <c r="C46" i="49"/>
  <c r="C52" i="49" s="1"/>
  <c r="C41" i="49"/>
  <c r="C40" i="49"/>
  <c r="C39" i="49"/>
  <c r="C38" i="49"/>
  <c r="C37" i="49"/>
  <c r="C36" i="49"/>
  <c r="C42" i="49" s="1"/>
  <c r="C31" i="49"/>
  <c r="C30" i="49"/>
  <c r="C29" i="49"/>
  <c r="C28" i="49"/>
  <c r="C27" i="49"/>
  <c r="C26" i="49"/>
  <c r="C32" i="49" s="1"/>
  <c r="C21" i="49"/>
  <c r="C20" i="49"/>
  <c r="C19" i="49"/>
  <c r="C18" i="49"/>
  <c r="C17" i="49"/>
  <c r="C16" i="49"/>
  <c r="C22" i="49" s="1"/>
  <c r="C12" i="49"/>
  <c r="C11" i="49"/>
  <c r="C10" i="49"/>
  <c r="C9" i="49"/>
  <c r="C8" i="49"/>
  <c r="C7" i="49"/>
  <c r="C13" i="49" s="1"/>
  <c r="C23" i="49" s="1"/>
  <c r="F23" i="49" l="1"/>
  <c r="D23" i="49"/>
  <c r="C33" i="49"/>
  <c r="C43" i="49" s="1"/>
  <c r="C53" i="49" s="1"/>
  <c r="C63" i="49" s="1"/>
  <c r="G33" i="49"/>
  <c r="F33" i="49"/>
  <c r="F43" i="49" s="1"/>
  <c r="F53" i="49" s="1"/>
  <c r="F63" i="49" s="1"/>
  <c r="D33" i="49"/>
  <c r="D43" i="49" s="1"/>
  <c r="D53" i="49" s="1"/>
  <c r="D63" i="49" s="1"/>
  <c r="G43" i="49"/>
  <c r="G53" i="49" s="1"/>
  <c r="G63" i="49" s="1"/>
  <c r="E11" i="36" l="1"/>
  <c r="E36" i="36" l="1"/>
  <c r="E35" i="36"/>
  <c r="E34" i="36"/>
  <c r="A1" i="51" l="1"/>
  <c r="A1" i="50"/>
  <c r="A1" i="32"/>
  <c r="A1" i="31"/>
  <c r="A1" i="13"/>
  <c r="E23" i="36"/>
  <c r="A1" i="19" s="1"/>
  <c r="E20" i="36"/>
  <c r="A1" i="18" s="1"/>
  <c r="E19" i="36"/>
  <c r="A1" i="17" s="1"/>
  <c r="E15" i="36"/>
  <c r="A1" i="16" s="1"/>
  <c r="E14" i="36"/>
  <c r="A1" i="35" s="1"/>
  <c r="E10" i="36"/>
  <c r="A1" i="14" s="1"/>
  <c r="E7" i="36"/>
  <c r="A1" i="12" s="1"/>
  <c r="E6" i="36"/>
  <c r="A1" i="11" s="1"/>
  <c r="E32" i="36"/>
  <c r="A1" i="26" s="1"/>
  <c r="E31" i="36"/>
  <c r="A1" i="25" s="1"/>
  <c r="E30" i="36"/>
  <c r="A1" i="24" s="1"/>
  <c r="E26" i="36"/>
  <c r="A1" i="22" s="1"/>
  <c r="E25" i="36"/>
  <c r="A1" i="21" s="1"/>
  <c r="E24" i="36"/>
  <c r="A1" i="20" s="1"/>
  <c r="AE5" i="44"/>
  <c r="AD5" i="44"/>
  <c r="AC5" i="44"/>
  <c r="AB5" i="44"/>
  <c r="AA5" i="44"/>
  <c r="X5" i="44"/>
  <c r="W5" i="44"/>
  <c r="V5" i="44"/>
  <c r="AO4" i="44"/>
  <c r="AN4" i="44"/>
  <c r="AI4" i="44"/>
  <c r="AH4" i="44"/>
  <c r="AG4" i="44"/>
  <c r="AF4" i="44"/>
  <c r="AC4" i="44"/>
  <c r="AB4" i="44"/>
  <c r="AA4" i="44"/>
  <c r="X4" i="44"/>
  <c r="W4" i="44"/>
  <c r="V4" i="44"/>
  <c r="F1" i="38"/>
  <c r="N6" i="43"/>
  <c r="M6" i="43"/>
  <c r="L6" i="43"/>
  <c r="K6" i="43"/>
  <c r="J6" i="43"/>
  <c r="I6" i="43"/>
  <c r="H6" i="43"/>
  <c r="G6" i="43"/>
  <c r="V4" i="43"/>
  <c r="U4" i="43"/>
  <c r="R4" i="43"/>
  <c r="Q4" i="43"/>
  <c r="P4" i="43"/>
  <c r="O4" i="43"/>
  <c r="L4" i="43"/>
  <c r="K4" i="43"/>
  <c r="J4" i="43"/>
  <c r="I4" i="43"/>
  <c r="H4" i="43"/>
  <c r="G4" i="43"/>
  <c r="N6" i="42"/>
  <c r="M6" i="42"/>
  <c r="L6" i="42"/>
  <c r="K6" i="42"/>
  <c r="J6" i="42"/>
  <c r="I6" i="42"/>
  <c r="H6" i="42"/>
  <c r="G6" i="42"/>
  <c r="V4" i="42"/>
  <c r="U4" i="42"/>
  <c r="R4" i="42"/>
  <c r="Q4" i="42"/>
  <c r="P4" i="42"/>
  <c r="O4" i="42"/>
  <c r="L4" i="42"/>
  <c r="K4" i="42"/>
  <c r="J4" i="42"/>
  <c r="I4" i="42"/>
  <c r="H4" i="42"/>
  <c r="G4" i="42"/>
  <c r="N6" i="3"/>
  <c r="M6" i="3"/>
  <c r="L6" i="3"/>
  <c r="K6" i="3"/>
  <c r="J6" i="3"/>
  <c r="I6" i="3"/>
  <c r="H6" i="3"/>
  <c r="G6" i="3"/>
  <c r="V4" i="3"/>
  <c r="U4" i="3"/>
  <c r="R4" i="3"/>
  <c r="Q4" i="3"/>
  <c r="P4" i="3"/>
  <c r="O4" i="3"/>
  <c r="L4" i="3"/>
  <c r="K4" i="3"/>
  <c r="J4" i="3"/>
  <c r="I4" i="3"/>
  <c r="H4" i="3"/>
  <c r="G4" i="3"/>
  <c r="N6" i="45"/>
  <c r="M6" i="45"/>
  <c r="L6" i="45"/>
  <c r="K6" i="45"/>
  <c r="J6" i="45"/>
  <c r="I6" i="45"/>
  <c r="H6" i="45"/>
  <c r="G6" i="45"/>
  <c r="V4" i="45"/>
  <c r="U4" i="45"/>
  <c r="R4" i="45"/>
  <c r="Q4" i="45"/>
  <c r="P4" i="45"/>
  <c r="O4" i="45"/>
  <c r="L4" i="45"/>
  <c r="K4" i="45"/>
  <c r="J4" i="45"/>
  <c r="I4" i="45"/>
  <c r="H4" i="45"/>
  <c r="G4" i="45"/>
  <c r="H31" i="36"/>
  <c r="H30" i="36"/>
  <c r="H27" i="36"/>
  <c r="H26" i="36"/>
  <c r="H25" i="36"/>
  <c r="H24" i="36"/>
  <c r="H23" i="36"/>
  <c r="H20" i="36"/>
  <c r="H19" i="36"/>
  <c r="H15" i="36"/>
  <c r="H14" i="36"/>
  <c r="H11" i="36"/>
  <c r="H10" i="36"/>
  <c r="H9" i="36"/>
  <c r="H7" i="36"/>
  <c r="H6" i="36"/>
  <c r="H36" i="36"/>
  <c r="H35" i="36"/>
  <c r="H34" i="36"/>
  <c r="H32" i="36"/>
  <c r="V6" i="45"/>
  <c r="U6" i="45"/>
  <c r="T6" i="45"/>
  <c r="S6" i="45"/>
  <c r="R6" i="45"/>
  <c r="Q6" i="45"/>
  <c r="P6" i="45"/>
  <c r="O6" i="45"/>
  <c r="V6" i="3"/>
  <c r="U6" i="3"/>
  <c r="T6" i="3"/>
  <c r="S6" i="3"/>
  <c r="R6" i="3"/>
  <c r="Q6" i="3"/>
  <c r="P6" i="3"/>
  <c r="O6" i="3"/>
  <c r="V6" i="42"/>
  <c r="U6" i="42"/>
  <c r="T6" i="42"/>
  <c r="S6" i="42"/>
  <c r="R6" i="42"/>
  <c r="Q6" i="42"/>
  <c r="P6" i="42"/>
  <c r="O6" i="42"/>
  <c r="V6" i="43"/>
  <c r="U6" i="43"/>
  <c r="T6" i="43"/>
  <c r="S6" i="43"/>
  <c r="R6" i="43"/>
  <c r="Q6" i="43"/>
  <c r="P6" i="43"/>
  <c r="O6" i="43"/>
  <c r="AO5" i="44"/>
  <c r="AN5" i="44"/>
  <c r="AM5" i="44"/>
  <c r="AJ5" i="44"/>
  <c r="AI5" i="44"/>
  <c r="AH5" i="44"/>
  <c r="AG5" i="44"/>
  <c r="AF5" i="44"/>
  <c r="AK8" i="44" l="1"/>
  <c r="AJ8" i="44"/>
  <c r="AI8" i="44"/>
  <c r="AH8" i="44"/>
  <c r="AG8" i="44"/>
  <c r="AF8" i="44"/>
  <c r="AO8" i="44"/>
  <c r="AN8" i="44"/>
  <c r="AM8" i="44"/>
  <c r="V8" i="43"/>
  <c r="U8" i="43"/>
  <c r="T8" i="43"/>
  <c r="S8" i="43"/>
  <c r="R8" i="43"/>
  <c r="Q8" i="43"/>
  <c r="P8" i="43"/>
  <c r="O8" i="43"/>
  <c r="N8" i="43"/>
  <c r="M8" i="43"/>
  <c r="L8" i="43"/>
  <c r="K8" i="43"/>
  <c r="J8" i="43"/>
  <c r="I8" i="43"/>
  <c r="H8" i="43"/>
  <c r="G8" i="43"/>
  <c r="V8" i="42"/>
  <c r="U8" i="42"/>
  <c r="T8" i="42"/>
  <c r="S8" i="42"/>
  <c r="R8" i="42"/>
  <c r="Q8" i="42"/>
  <c r="P8" i="42"/>
  <c r="O8" i="42"/>
  <c r="N8" i="42"/>
  <c r="M8" i="42"/>
  <c r="L8" i="42"/>
  <c r="K8" i="42"/>
  <c r="J8" i="42"/>
  <c r="I8" i="42"/>
  <c r="H8" i="42"/>
  <c r="G8" i="42"/>
  <c r="V8" i="3"/>
  <c r="U8" i="3"/>
  <c r="T8" i="3"/>
  <c r="S8" i="3"/>
  <c r="R8" i="3"/>
  <c r="Q8" i="3"/>
  <c r="P8" i="3"/>
  <c r="O8" i="3"/>
  <c r="N8" i="3"/>
  <c r="M8" i="3"/>
  <c r="L8" i="3"/>
  <c r="K8" i="3"/>
  <c r="J8" i="3"/>
  <c r="I8" i="3"/>
  <c r="H8" i="3"/>
  <c r="G8" i="3"/>
  <c r="V8" i="45"/>
  <c r="U8" i="45"/>
  <c r="T8" i="45"/>
  <c r="R8" i="45"/>
  <c r="Q8" i="45"/>
  <c r="P8" i="45"/>
  <c r="I1" i="46" l="1"/>
  <c r="H1" i="49"/>
  <c r="I1" i="48"/>
  <c r="G1" i="26"/>
  <c r="E1" i="25"/>
  <c r="F1" i="24"/>
  <c r="Q1" i="51"/>
  <c r="Q1" i="50"/>
  <c r="E1" i="22"/>
  <c r="F1" i="21"/>
  <c r="D1" i="20"/>
  <c r="E1" i="19"/>
  <c r="E1" i="18"/>
  <c r="E1" i="17"/>
  <c r="E1" i="16"/>
  <c r="G1" i="35"/>
  <c r="D1" i="14"/>
  <c r="I1" i="32"/>
  <c r="I1" i="31"/>
  <c r="I1" i="13"/>
  <c r="H1" i="12"/>
  <c r="F1" i="11"/>
  <c r="AE8" i="44" l="1"/>
  <c r="AD8" i="44"/>
  <c r="AC8" i="44"/>
  <c r="AB8" i="44"/>
  <c r="AA8" i="44"/>
  <c r="Z8" i="44"/>
  <c r="Y8" i="44"/>
  <c r="X8" i="44"/>
  <c r="W8" i="44"/>
  <c r="V8" i="44"/>
  <c r="O8" i="45"/>
  <c r="N8" i="45"/>
  <c r="M8" i="45"/>
  <c r="L8" i="45"/>
  <c r="K8" i="45"/>
  <c r="J8" i="45"/>
  <c r="H8" i="45"/>
  <c r="G8" i="45"/>
  <c r="V6" i="44" l="1"/>
  <c r="W6" i="44"/>
  <c r="X6" i="44"/>
  <c r="AA6" i="44"/>
  <c r="AB6" i="44"/>
  <c r="AC6" i="44"/>
  <c r="AD6" i="44"/>
  <c r="AE6" i="44"/>
  <c r="AF6" i="44"/>
  <c r="AG6" i="44"/>
  <c r="AH6" i="44"/>
  <c r="AI6" i="44"/>
  <c r="AJ6" i="44"/>
  <c r="A4" i="51" l="1"/>
  <c r="A3" i="51"/>
  <c r="A2" i="51"/>
  <c r="A4" i="50"/>
  <c r="A3" i="50"/>
  <c r="A2" i="50"/>
  <c r="W31" i="51" l="1"/>
  <c r="W30" i="51"/>
  <c r="W28" i="51"/>
  <c r="W27" i="51"/>
  <c r="W25" i="51"/>
  <c r="X24" i="51"/>
  <c r="W24" i="51"/>
  <c r="X25" i="51" s="1"/>
  <c r="X23" i="51"/>
  <c r="W23" i="51"/>
  <c r="X22" i="51"/>
  <c r="W22" i="51"/>
  <c r="W20" i="51"/>
  <c r="W19" i="51"/>
  <c r="W18" i="51"/>
  <c r="X18" i="51" s="1"/>
  <c r="W17" i="51"/>
  <c r="X20" i="51" s="1"/>
  <c r="W15" i="51"/>
  <c r="X15" i="51" s="1"/>
  <c r="W14" i="51"/>
  <c r="X14" i="51" s="1"/>
  <c r="W13" i="51"/>
  <c r="X13" i="51" s="1"/>
  <c r="W12" i="51"/>
  <c r="X12" i="51" s="1"/>
  <c r="W11" i="51"/>
  <c r="X11" i="51" s="1"/>
  <c r="W10" i="51"/>
  <c r="X10" i="51" s="1"/>
  <c r="W9" i="51"/>
  <c r="X9" i="51" s="1"/>
  <c r="W46" i="50"/>
  <c r="W45" i="50"/>
  <c r="W43" i="50"/>
  <c r="W42" i="50"/>
  <c r="W40" i="50"/>
  <c r="X39" i="50"/>
  <c r="W39" i="50"/>
  <c r="X40" i="50" s="1"/>
  <c r="X38" i="50"/>
  <c r="W38" i="50"/>
  <c r="X37" i="50"/>
  <c r="W37" i="50"/>
  <c r="W35" i="50"/>
  <c r="Y35" i="50" s="1"/>
  <c r="Z34" i="50"/>
  <c r="W34" i="50"/>
  <c r="AA34" i="50" s="1"/>
  <c r="W33" i="50"/>
  <c r="Y33" i="50" s="1"/>
  <c r="Z32" i="50"/>
  <c r="W32" i="50"/>
  <c r="AA32" i="50" s="1"/>
  <c r="W31" i="50"/>
  <c r="Y31" i="50" s="1"/>
  <c r="Z30" i="50"/>
  <c r="W30" i="50"/>
  <c r="AA30" i="50" s="1"/>
  <c r="W29" i="50"/>
  <c r="Y29" i="50" s="1"/>
  <c r="Z28" i="50"/>
  <c r="W28" i="50"/>
  <c r="AA28" i="50" s="1"/>
  <c r="W26" i="50"/>
  <c r="W25" i="50"/>
  <c r="W24" i="50"/>
  <c r="X24" i="50" s="1"/>
  <c r="W23" i="50"/>
  <c r="X23" i="50" s="1"/>
  <c r="W22" i="50"/>
  <c r="X22" i="50" s="1"/>
  <c r="W21" i="50"/>
  <c r="X21" i="50" s="1"/>
  <c r="W20" i="50"/>
  <c r="X20" i="50" s="1"/>
  <c r="W19" i="50"/>
  <c r="X19" i="50" s="1"/>
  <c r="W18" i="50"/>
  <c r="X18" i="50" s="1"/>
  <c r="W17" i="50"/>
  <c r="X17" i="50" s="1"/>
  <c r="W16" i="50"/>
  <c r="X16" i="50" s="1"/>
  <c r="W15" i="50"/>
  <c r="X15" i="50" s="1"/>
  <c r="W14" i="50"/>
  <c r="X14" i="50" s="1"/>
  <c r="W13" i="50"/>
  <c r="X13" i="50" s="1"/>
  <c r="W12" i="50"/>
  <c r="X12" i="50" s="1"/>
  <c r="W11" i="50"/>
  <c r="X11" i="50" s="1"/>
  <c r="W10" i="50"/>
  <c r="X10" i="50" s="1"/>
  <c r="W9" i="50"/>
  <c r="X26" i="50" s="1"/>
  <c r="X42" i="50"/>
  <c r="X30" i="51"/>
  <c r="X31" i="51"/>
  <c r="X28" i="51"/>
  <c r="X27" i="51"/>
  <c r="X46" i="50"/>
  <c r="X45" i="50"/>
  <c r="X43" i="50"/>
  <c r="X17" i="51" l="1"/>
  <c r="X19" i="51"/>
  <c r="Y28" i="50"/>
  <c r="X28" i="50" s="1"/>
  <c r="Y30" i="50"/>
  <c r="X30" i="50" s="1"/>
  <c r="Y32" i="50"/>
  <c r="X32" i="50" s="1"/>
  <c r="Y34" i="50"/>
  <c r="X34" i="50" s="1"/>
  <c r="X9" i="50"/>
  <c r="X25" i="50"/>
  <c r="A4" i="49"/>
  <c r="A2" i="49"/>
  <c r="A1" i="49"/>
  <c r="A3" i="49"/>
  <c r="S21" i="43"/>
  <c r="I128" i="3"/>
  <c r="A1" i="48"/>
  <c r="A1" i="46"/>
  <c r="A4" i="48"/>
  <c r="A2" i="48"/>
  <c r="A4" i="46"/>
  <c r="A2" i="46"/>
  <c r="N10" i="44" a="1"/>
  <c r="N10" i="44" s="1"/>
  <c r="N11" i="44" a="1"/>
  <c r="N11" i="44" s="1"/>
  <c r="N12" i="44" a="1"/>
  <c r="N12" i="44" s="1"/>
  <c r="C12" i="44" s="1"/>
  <c r="N13" i="44" a="1"/>
  <c r="N13" i="44"/>
  <c r="N14" i="44" a="1"/>
  <c r="N14" i="44"/>
  <c r="C14" i="44" s="1"/>
  <c r="N15" i="44" a="1"/>
  <c r="N15" i="44" s="1"/>
  <c r="N16" i="44" a="1"/>
  <c r="N16" i="44" s="1"/>
  <c r="B16" i="44" s="1"/>
  <c r="N17" i="44" a="1"/>
  <c r="N17" i="44" s="1"/>
  <c r="N18" i="44" a="1"/>
  <c r="N18" i="44" s="1"/>
  <c r="N19" i="44" a="1"/>
  <c r="N19" i="44" s="1"/>
  <c r="N20" i="44" a="1"/>
  <c r="N20" i="44" s="1"/>
  <c r="N21" i="44" a="1"/>
  <c r="N21" i="44" s="1"/>
  <c r="C21" i="44" s="1"/>
  <c r="N22" i="44" a="1"/>
  <c r="N22" i="44"/>
  <c r="C22" i="44" s="1"/>
  <c r="N23" i="44" a="1"/>
  <c r="N23" i="44" s="1"/>
  <c r="C23" i="44" s="1"/>
  <c r="N24" i="44" a="1"/>
  <c r="N24" i="44"/>
  <c r="N25" i="44" a="1"/>
  <c r="N25" i="44"/>
  <c r="C25" i="44" s="1"/>
  <c r="C13" i="44"/>
  <c r="A3" i="48"/>
  <c r="A3" i="46"/>
  <c r="Y176" i="45"/>
  <c r="Y175" i="45"/>
  <c r="Y174" i="45"/>
  <c r="Y173" i="45"/>
  <c r="Y172" i="45"/>
  <c r="Y171" i="45"/>
  <c r="Y170" i="45"/>
  <c r="Y169" i="45"/>
  <c r="Y168" i="45"/>
  <c r="Y167" i="45"/>
  <c r="Y166" i="45"/>
  <c r="Y165" i="45"/>
  <c r="Y164" i="45"/>
  <c r="Y163" i="45"/>
  <c r="Y162" i="45"/>
  <c r="Y161" i="45"/>
  <c r="Y160" i="45"/>
  <c r="Y159" i="45"/>
  <c r="Y158" i="45"/>
  <c r="Y157" i="45"/>
  <c r="Y156" i="45"/>
  <c r="Y155" i="45"/>
  <c r="Y154" i="45"/>
  <c r="Y153" i="45"/>
  <c r="Y152" i="45"/>
  <c r="Y151" i="45"/>
  <c r="Y150" i="45"/>
  <c r="Y149" i="45"/>
  <c r="Y148" i="45"/>
  <c r="Y147" i="45"/>
  <c r="Y146" i="45"/>
  <c r="Y145" i="45"/>
  <c r="Y144" i="45"/>
  <c r="Y143" i="45"/>
  <c r="Y142" i="45"/>
  <c r="Y141" i="45"/>
  <c r="Y140" i="45"/>
  <c r="Y139" i="45"/>
  <c r="Y138" i="45"/>
  <c r="Y137" i="45"/>
  <c r="Y136" i="45"/>
  <c r="Y135" i="45"/>
  <c r="Y134" i="45"/>
  <c r="Y133" i="45"/>
  <c r="Y132" i="45"/>
  <c r="Y131" i="45"/>
  <c r="Y130" i="45"/>
  <c r="Y129" i="45"/>
  <c r="Y128" i="45"/>
  <c r="Y127" i="45"/>
  <c r="Y126" i="45"/>
  <c r="Y125" i="45"/>
  <c r="Y124" i="45"/>
  <c r="Y123" i="45"/>
  <c r="Y122" i="45"/>
  <c r="Y121" i="45"/>
  <c r="Y120" i="45"/>
  <c r="Y119" i="45"/>
  <c r="Y118" i="45"/>
  <c r="Y117" i="45"/>
  <c r="Y116" i="45"/>
  <c r="Y115" i="45"/>
  <c r="Y114" i="45"/>
  <c r="Y113" i="45"/>
  <c r="Y112" i="45"/>
  <c r="Y111" i="45"/>
  <c r="Y110" i="45"/>
  <c r="Y109" i="45"/>
  <c r="Y108" i="45"/>
  <c r="Y107" i="45"/>
  <c r="Y106" i="45"/>
  <c r="Y105" i="45"/>
  <c r="Y104" i="45"/>
  <c r="Y103" i="45"/>
  <c r="Y102" i="45"/>
  <c r="Y101" i="45"/>
  <c r="Y100" i="45"/>
  <c r="Y99" i="45"/>
  <c r="Y98" i="45"/>
  <c r="Y97" i="45"/>
  <c r="Y96" i="45"/>
  <c r="Y95" i="45"/>
  <c r="Y94" i="45"/>
  <c r="Y93" i="45"/>
  <c r="Y92" i="45"/>
  <c r="Y91" i="45"/>
  <c r="Y90" i="45"/>
  <c r="Y89" i="45"/>
  <c r="Y88" i="45"/>
  <c r="Y87" i="45"/>
  <c r="Y86" i="45"/>
  <c r="Y85" i="45"/>
  <c r="Y84" i="45"/>
  <c r="Y83" i="45"/>
  <c r="Y82" i="45"/>
  <c r="Y81" i="45"/>
  <c r="Y80" i="45"/>
  <c r="Y79" i="45"/>
  <c r="Y78" i="45"/>
  <c r="Y77" i="45"/>
  <c r="Y76" i="45"/>
  <c r="Y75" i="45"/>
  <c r="Y74" i="45"/>
  <c r="Y73" i="45"/>
  <c r="Y72" i="45"/>
  <c r="Y71" i="45"/>
  <c r="Y70" i="45"/>
  <c r="Y69" i="45"/>
  <c r="Y68" i="45"/>
  <c r="Y67" i="45"/>
  <c r="Y66" i="45"/>
  <c r="Y65" i="45"/>
  <c r="Y64" i="45"/>
  <c r="Y63" i="45"/>
  <c r="Y62" i="45"/>
  <c r="Y61" i="45"/>
  <c r="Y60" i="45"/>
  <c r="Y59" i="45"/>
  <c r="Y58" i="45"/>
  <c r="Y57" i="45"/>
  <c r="Y56" i="45"/>
  <c r="Y55" i="45"/>
  <c r="Y54" i="45"/>
  <c r="Y53" i="45"/>
  <c r="Y52" i="45"/>
  <c r="Y51" i="45"/>
  <c r="Y50" i="45"/>
  <c r="Y49" i="45"/>
  <c r="Y48" i="45"/>
  <c r="Y47" i="45"/>
  <c r="Y46" i="45"/>
  <c r="Y45" i="45"/>
  <c r="Y44" i="45"/>
  <c r="Y43" i="45"/>
  <c r="Y42" i="45"/>
  <c r="Y41" i="45"/>
  <c r="Y40" i="45"/>
  <c r="Y39" i="45"/>
  <c r="Y38" i="45"/>
  <c r="Y37" i="45"/>
  <c r="Y36" i="45"/>
  <c r="Y35" i="45"/>
  <c r="Y34" i="45"/>
  <c r="Y33" i="45"/>
  <c r="Y32" i="45"/>
  <c r="Y31" i="45"/>
  <c r="Y30" i="45"/>
  <c r="Y29" i="45"/>
  <c r="Y28" i="45"/>
  <c r="Y27" i="45"/>
  <c r="Y26" i="45"/>
  <c r="Y25" i="45"/>
  <c r="Y24" i="45"/>
  <c r="Y23" i="45"/>
  <c r="Y22" i="45"/>
  <c r="Y21" i="45"/>
  <c r="Y20" i="45"/>
  <c r="Y19" i="45"/>
  <c r="Y18" i="45"/>
  <c r="Y17" i="45"/>
  <c r="Y16" i="45"/>
  <c r="Y15" i="45"/>
  <c r="Y14" i="45"/>
  <c r="Y13" i="45"/>
  <c r="Y12" i="45"/>
  <c r="Y11" i="45"/>
  <c r="Y10" i="45"/>
  <c r="Y9" i="45"/>
  <c r="Z10" i="45"/>
  <c r="Z11" i="45"/>
  <c r="Z12" i="45"/>
  <c r="Z13" i="45"/>
  <c r="Z14" i="45"/>
  <c r="Z15" i="45"/>
  <c r="Z16" i="45"/>
  <c r="Z17" i="45"/>
  <c r="Z18" i="45"/>
  <c r="Z19" i="45"/>
  <c r="Z20" i="45"/>
  <c r="Z21" i="45"/>
  <c r="Z22" i="45"/>
  <c r="Z23" i="45"/>
  <c r="Z24" i="45"/>
  <c r="Z25" i="45"/>
  <c r="Z26" i="45"/>
  <c r="Z27" i="45"/>
  <c r="Z28" i="45"/>
  <c r="Z29" i="45"/>
  <c r="Z30" i="45"/>
  <c r="Z31" i="45"/>
  <c r="Z32" i="45"/>
  <c r="Z33" i="45"/>
  <c r="Z34" i="45"/>
  <c r="Z35" i="45"/>
  <c r="Z36" i="45"/>
  <c r="Z37" i="45"/>
  <c r="Z38" i="45"/>
  <c r="Z39" i="45"/>
  <c r="Z40" i="45"/>
  <c r="Z41" i="45"/>
  <c r="Z42" i="45"/>
  <c r="Z43" i="45"/>
  <c r="Z44" i="45"/>
  <c r="Z45" i="45"/>
  <c r="Z46" i="45"/>
  <c r="Z47" i="45"/>
  <c r="Z48" i="45"/>
  <c r="Z49" i="45"/>
  <c r="Z50" i="45"/>
  <c r="Z51" i="45"/>
  <c r="Z52" i="45"/>
  <c r="Z53" i="45"/>
  <c r="Z54" i="45"/>
  <c r="Z55" i="45"/>
  <c r="Z56" i="45"/>
  <c r="Z57" i="45"/>
  <c r="Z58" i="45"/>
  <c r="Z59" i="45"/>
  <c r="Z60" i="45"/>
  <c r="Z61" i="45"/>
  <c r="Z62" i="45"/>
  <c r="Z63" i="45"/>
  <c r="Z64" i="45"/>
  <c r="Z65" i="45"/>
  <c r="Z66" i="45"/>
  <c r="Z67" i="45"/>
  <c r="Z68" i="45"/>
  <c r="Z69" i="45"/>
  <c r="Z70" i="45"/>
  <c r="Z71" i="45"/>
  <c r="Z72" i="45"/>
  <c r="Z73" i="45"/>
  <c r="Z74" i="45"/>
  <c r="Z75" i="45"/>
  <c r="Z76" i="45"/>
  <c r="Z77" i="45"/>
  <c r="Z78" i="45"/>
  <c r="Z79" i="45"/>
  <c r="Z80" i="45"/>
  <c r="Z81" i="45"/>
  <c r="Z82" i="45"/>
  <c r="Z83" i="45"/>
  <c r="Z84" i="45"/>
  <c r="Z85" i="45"/>
  <c r="Z86" i="45"/>
  <c r="Z87" i="45"/>
  <c r="Z88" i="45"/>
  <c r="Z89" i="45"/>
  <c r="Z90" i="45"/>
  <c r="Z91" i="45"/>
  <c r="Z92" i="45"/>
  <c r="Z93" i="45"/>
  <c r="Z94" i="45"/>
  <c r="Z95" i="45"/>
  <c r="Z96" i="45"/>
  <c r="Z97" i="45"/>
  <c r="Z98" i="45"/>
  <c r="Z99" i="45"/>
  <c r="Z100" i="45"/>
  <c r="Z101" i="45"/>
  <c r="Z102" i="45"/>
  <c r="Z103" i="45"/>
  <c r="Z104" i="45"/>
  <c r="Z105" i="45"/>
  <c r="Z106" i="45"/>
  <c r="Z107" i="45"/>
  <c r="Z108" i="45"/>
  <c r="Z109" i="45"/>
  <c r="Z110" i="45"/>
  <c r="Z111" i="45"/>
  <c r="Z112" i="45"/>
  <c r="Z113" i="45"/>
  <c r="Z114" i="45"/>
  <c r="Z115" i="45"/>
  <c r="Z116" i="45"/>
  <c r="Z117" i="45"/>
  <c r="Z118" i="45"/>
  <c r="Z119" i="45"/>
  <c r="Z120" i="45"/>
  <c r="Z121" i="45"/>
  <c r="Z122" i="45"/>
  <c r="Z123" i="45"/>
  <c r="Z124" i="45"/>
  <c r="Z125" i="45"/>
  <c r="Z126" i="45"/>
  <c r="Z127" i="45"/>
  <c r="Z128" i="45"/>
  <c r="Z129" i="45"/>
  <c r="Z130" i="45"/>
  <c r="Z131" i="45"/>
  <c r="Z132" i="45"/>
  <c r="Z133" i="45"/>
  <c r="Z134" i="45"/>
  <c r="Z135" i="45"/>
  <c r="Z136" i="45"/>
  <c r="Z137" i="45"/>
  <c r="Z138" i="45"/>
  <c r="Z139" i="45"/>
  <c r="Z140" i="45"/>
  <c r="Z141" i="45"/>
  <c r="Z142" i="45"/>
  <c r="Z143" i="45"/>
  <c r="Z144" i="45"/>
  <c r="Z145" i="45"/>
  <c r="Z146" i="45"/>
  <c r="Z147" i="45"/>
  <c r="Z148" i="45"/>
  <c r="Z149" i="45"/>
  <c r="Z150" i="45"/>
  <c r="Z151" i="45"/>
  <c r="Z152" i="45"/>
  <c r="Z153" i="45"/>
  <c r="Z154" i="45"/>
  <c r="Z155" i="45"/>
  <c r="Z156" i="45"/>
  <c r="Z157" i="45"/>
  <c r="Z158" i="45"/>
  <c r="Z159" i="45"/>
  <c r="Z160" i="45"/>
  <c r="Z161" i="45"/>
  <c r="Z162" i="45"/>
  <c r="Z163" i="45"/>
  <c r="Z164" i="45"/>
  <c r="Z165" i="45"/>
  <c r="Z166" i="45"/>
  <c r="Z167" i="45"/>
  <c r="Z168" i="45"/>
  <c r="Z169" i="45"/>
  <c r="Z170" i="45"/>
  <c r="Z171" i="45"/>
  <c r="Z172" i="45"/>
  <c r="Z173" i="45"/>
  <c r="Z174" i="45"/>
  <c r="Z175" i="45"/>
  <c r="Z176" i="45"/>
  <c r="Z9" i="45"/>
  <c r="W10" i="45"/>
  <c r="W11" i="45"/>
  <c r="W12" i="45"/>
  <c r="W13" i="45"/>
  <c r="W14" i="45"/>
  <c r="W15" i="45"/>
  <c r="W16" i="45"/>
  <c r="W17" i="45"/>
  <c r="W18" i="45"/>
  <c r="W19" i="45"/>
  <c r="W20" i="45"/>
  <c r="W21" i="45"/>
  <c r="W22" i="45"/>
  <c r="W23" i="45"/>
  <c r="W24" i="45"/>
  <c r="W25" i="45"/>
  <c r="W26" i="45"/>
  <c r="W27" i="45"/>
  <c r="W28" i="45"/>
  <c r="W29" i="45"/>
  <c r="W30" i="45"/>
  <c r="W31" i="45"/>
  <c r="W32" i="45"/>
  <c r="W33" i="45"/>
  <c r="W34" i="45"/>
  <c r="W35" i="45"/>
  <c r="W36" i="45"/>
  <c r="W37" i="45"/>
  <c r="W38" i="45"/>
  <c r="W39" i="45"/>
  <c r="W40" i="45"/>
  <c r="W41" i="45"/>
  <c r="W42" i="45"/>
  <c r="W43" i="45"/>
  <c r="W44" i="45"/>
  <c r="W45" i="45"/>
  <c r="W46" i="45"/>
  <c r="W47" i="45"/>
  <c r="W48" i="45"/>
  <c r="W49" i="45"/>
  <c r="W50" i="45"/>
  <c r="W51" i="45"/>
  <c r="W52" i="45"/>
  <c r="W53" i="45"/>
  <c r="W54" i="45"/>
  <c r="W55" i="45"/>
  <c r="W56" i="45"/>
  <c r="W57" i="45"/>
  <c r="W58" i="45"/>
  <c r="W59" i="45"/>
  <c r="W60" i="45"/>
  <c r="W61" i="45"/>
  <c r="W62" i="45"/>
  <c r="W63" i="45"/>
  <c r="W64" i="45"/>
  <c r="W65" i="45"/>
  <c r="W66" i="45"/>
  <c r="W67" i="45"/>
  <c r="W68" i="45"/>
  <c r="W69" i="45"/>
  <c r="W70" i="45"/>
  <c r="W71" i="45"/>
  <c r="W72" i="45"/>
  <c r="W73" i="45"/>
  <c r="W74" i="45"/>
  <c r="W75" i="45"/>
  <c r="W76" i="45"/>
  <c r="W77" i="45"/>
  <c r="W78" i="45"/>
  <c r="W79" i="45"/>
  <c r="W80" i="45"/>
  <c r="W81" i="45"/>
  <c r="W82" i="45"/>
  <c r="W83" i="45"/>
  <c r="W84" i="45"/>
  <c r="W85" i="45"/>
  <c r="W86" i="45"/>
  <c r="W87" i="45"/>
  <c r="W88" i="45"/>
  <c r="W89" i="45"/>
  <c r="W90" i="45"/>
  <c r="W91" i="45"/>
  <c r="W92" i="45"/>
  <c r="W93" i="45"/>
  <c r="W94" i="45"/>
  <c r="W95" i="45"/>
  <c r="W96" i="45"/>
  <c r="W97" i="45"/>
  <c r="W98" i="45"/>
  <c r="W99" i="45"/>
  <c r="W100" i="45"/>
  <c r="W101" i="45"/>
  <c r="W102" i="45"/>
  <c r="W103" i="45"/>
  <c r="W104" i="45"/>
  <c r="W105" i="45"/>
  <c r="W106" i="45"/>
  <c r="W107" i="45"/>
  <c r="W108" i="45"/>
  <c r="W109" i="45"/>
  <c r="W110" i="45"/>
  <c r="W111" i="45"/>
  <c r="W112" i="45"/>
  <c r="W113" i="45"/>
  <c r="W114" i="45"/>
  <c r="W115" i="45"/>
  <c r="W116" i="45"/>
  <c r="W117" i="45"/>
  <c r="W118" i="45"/>
  <c r="W119" i="45"/>
  <c r="W120" i="45"/>
  <c r="W121" i="45"/>
  <c r="W122" i="45"/>
  <c r="W123" i="45"/>
  <c r="W124" i="45"/>
  <c r="W125" i="45"/>
  <c r="W126" i="45"/>
  <c r="W127" i="45"/>
  <c r="W128" i="45"/>
  <c r="W129" i="45"/>
  <c r="W130" i="45"/>
  <c r="W131" i="45"/>
  <c r="W132" i="45"/>
  <c r="W133" i="45"/>
  <c r="W134" i="45"/>
  <c r="W135" i="45"/>
  <c r="W136" i="45"/>
  <c r="W137" i="45"/>
  <c r="W138" i="45"/>
  <c r="W139" i="45"/>
  <c r="W140" i="45"/>
  <c r="W141" i="45"/>
  <c r="W142" i="45"/>
  <c r="W143" i="45"/>
  <c r="W144" i="45"/>
  <c r="W145" i="45"/>
  <c r="W146" i="45"/>
  <c r="W147" i="45"/>
  <c r="W148" i="45"/>
  <c r="W149" i="45"/>
  <c r="W150" i="45"/>
  <c r="W151" i="45"/>
  <c r="W152" i="45"/>
  <c r="W153" i="45"/>
  <c r="W154" i="45"/>
  <c r="W155" i="45"/>
  <c r="W156" i="45"/>
  <c r="W157" i="45"/>
  <c r="W158" i="45"/>
  <c r="W159" i="45"/>
  <c r="W160" i="45"/>
  <c r="W161" i="45"/>
  <c r="W162" i="45"/>
  <c r="W163" i="45"/>
  <c r="W164" i="45"/>
  <c r="W165" i="45"/>
  <c r="W166" i="45"/>
  <c r="W167" i="45"/>
  <c r="W168" i="45"/>
  <c r="W169" i="45"/>
  <c r="W170" i="45"/>
  <c r="W171" i="45"/>
  <c r="W172" i="45"/>
  <c r="W173" i="45"/>
  <c r="W174" i="45"/>
  <c r="W175" i="45"/>
  <c r="W176" i="45"/>
  <c r="W9" i="45"/>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9" i="3"/>
  <c r="X10" i="43"/>
  <c r="X11" i="43"/>
  <c r="X12" i="43"/>
  <c r="X13" i="43"/>
  <c r="X14" i="43"/>
  <c r="X15" i="43"/>
  <c r="X16" i="43"/>
  <c r="X17" i="43"/>
  <c r="X18" i="43"/>
  <c r="X19" i="43"/>
  <c r="X20" i="43"/>
  <c r="X9" i="43"/>
  <c r="W10" i="43"/>
  <c r="W11" i="43"/>
  <c r="W12" i="43"/>
  <c r="W13" i="43"/>
  <c r="W14" i="43"/>
  <c r="W15" i="43"/>
  <c r="W16" i="43"/>
  <c r="W17" i="43"/>
  <c r="W18" i="43"/>
  <c r="W19" i="43"/>
  <c r="W20" i="43"/>
  <c r="W9" i="43"/>
  <c r="X10" i="42"/>
  <c r="X11" i="42"/>
  <c r="X12" i="42"/>
  <c r="X13" i="42"/>
  <c r="X14" i="42"/>
  <c r="X15" i="42"/>
  <c r="X16" i="42"/>
  <c r="X17" i="42"/>
  <c r="X18" i="42"/>
  <c r="X19" i="42"/>
  <c r="X20" i="42"/>
  <c r="X21" i="42"/>
  <c r="X22" i="42"/>
  <c r="X23" i="42"/>
  <c r="X24" i="42"/>
  <c r="X25" i="42"/>
  <c r="X26" i="42"/>
  <c r="X27" i="42"/>
  <c r="X28" i="42"/>
  <c r="X29" i="42"/>
  <c r="X30" i="42"/>
  <c r="X31" i="42"/>
  <c r="X32" i="42"/>
  <c r="X33" i="42"/>
  <c r="X34" i="42"/>
  <c r="X35" i="42"/>
  <c r="X36" i="42"/>
  <c r="X37" i="42"/>
  <c r="X38" i="42"/>
  <c r="X39" i="42"/>
  <c r="X40" i="42"/>
  <c r="X41" i="42"/>
  <c r="X42" i="42"/>
  <c r="X43" i="42"/>
  <c r="X44" i="42"/>
  <c r="X45" i="42"/>
  <c r="X46" i="42"/>
  <c r="X47" i="42"/>
  <c r="X48" i="42"/>
  <c r="X49" i="42"/>
  <c r="X50" i="42"/>
  <c r="X51" i="42"/>
  <c r="X52" i="42"/>
  <c r="X53" i="42"/>
  <c r="X54" i="42"/>
  <c r="X55" i="42"/>
  <c r="X56" i="42"/>
  <c r="X57" i="42"/>
  <c r="X9" i="42"/>
  <c r="W10" i="42"/>
  <c r="W11" i="42"/>
  <c r="W12" i="42"/>
  <c r="W13" i="42"/>
  <c r="W14" i="42"/>
  <c r="W15" i="42"/>
  <c r="W16" i="42"/>
  <c r="W17" i="42"/>
  <c r="W18" i="42"/>
  <c r="W19" i="42"/>
  <c r="W20" i="42"/>
  <c r="W21" i="42"/>
  <c r="W22" i="42"/>
  <c r="W23" i="42"/>
  <c r="W24" i="42"/>
  <c r="W25" i="42"/>
  <c r="W26" i="42"/>
  <c r="W27" i="42"/>
  <c r="W28" i="42"/>
  <c r="W29" i="42"/>
  <c r="W30" i="42"/>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9" i="42"/>
  <c r="V177" i="45"/>
  <c r="V178" i="45" s="1"/>
  <c r="U177" i="45"/>
  <c r="U178" i="45" s="1"/>
  <c r="T177" i="45"/>
  <c r="T178" i="45" s="1"/>
  <c r="S177" i="45"/>
  <c r="R177" i="45"/>
  <c r="R178" i="45" s="1"/>
  <c r="Q177" i="45"/>
  <c r="Q178" i="45" s="1"/>
  <c r="P177" i="45"/>
  <c r="P178" i="45" s="1"/>
  <c r="O177" i="45"/>
  <c r="O178" i="45" s="1"/>
  <c r="N177" i="45"/>
  <c r="N178" i="45" s="1"/>
  <c r="M177" i="45"/>
  <c r="M178" i="45" s="1"/>
  <c r="L177" i="45"/>
  <c r="K177" i="45"/>
  <c r="K178" i="45" s="1"/>
  <c r="J177" i="45"/>
  <c r="J178" i="45" s="1"/>
  <c r="I177" i="45"/>
  <c r="H177" i="45"/>
  <c r="H178" i="45" s="1"/>
  <c r="G177" i="45"/>
  <c r="G178" i="45" s="1"/>
  <c r="F177" i="45"/>
  <c r="A177" i="45"/>
  <c r="X176" i="45"/>
  <c r="X175" i="45"/>
  <c r="X174" i="45"/>
  <c r="X173" i="45"/>
  <c r="X172" i="45"/>
  <c r="X171" i="45"/>
  <c r="X170" i="45"/>
  <c r="X169" i="45"/>
  <c r="X168" i="45"/>
  <c r="X167" i="45"/>
  <c r="X166" i="45"/>
  <c r="X165" i="45"/>
  <c r="X164" i="45"/>
  <c r="X163" i="45"/>
  <c r="X162" i="45"/>
  <c r="X161" i="45"/>
  <c r="X160" i="45"/>
  <c r="X159" i="45"/>
  <c r="X158" i="45"/>
  <c r="X157" i="45"/>
  <c r="X156" i="45"/>
  <c r="X155" i="45"/>
  <c r="X154" i="45"/>
  <c r="X153" i="45"/>
  <c r="X152" i="45"/>
  <c r="X151" i="45"/>
  <c r="X150" i="45"/>
  <c r="X149" i="45"/>
  <c r="X148" i="45"/>
  <c r="X147" i="45"/>
  <c r="X146" i="45"/>
  <c r="X145" i="45"/>
  <c r="X144" i="45"/>
  <c r="X143" i="45"/>
  <c r="X142" i="45"/>
  <c r="X141" i="45"/>
  <c r="X140" i="45"/>
  <c r="X139" i="45"/>
  <c r="X138" i="45"/>
  <c r="X137" i="45"/>
  <c r="X136" i="45"/>
  <c r="X135" i="45"/>
  <c r="X134" i="45"/>
  <c r="X133" i="45"/>
  <c r="X132" i="45"/>
  <c r="X131" i="45"/>
  <c r="X130" i="45"/>
  <c r="X129" i="45"/>
  <c r="X128" i="45"/>
  <c r="X127" i="45"/>
  <c r="X126" i="45"/>
  <c r="X125" i="45"/>
  <c r="X124" i="45"/>
  <c r="X123" i="45"/>
  <c r="X122" i="45"/>
  <c r="X121" i="45"/>
  <c r="X120" i="45"/>
  <c r="X119" i="45"/>
  <c r="X118" i="45"/>
  <c r="X117" i="45"/>
  <c r="X116" i="45"/>
  <c r="X115" i="45"/>
  <c r="X114" i="45"/>
  <c r="X113" i="45"/>
  <c r="X112" i="45"/>
  <c r="X111" i="45"/>
  <c r="X110" i="45"/>
  <c r="X109" i="45"/>
  <c r="X108" i="45"/>
  <c r="X107" i="45"/>
  <c r="X106" i="45"/>
  <c r="X105" i="45"/>
  <c r="X104" i="45"/>
  <c r="X103" i="45"/>
  <c r="X102" i="45"/>
  <c r="X101" i="45"/>
  <c r="X100" i="45"/>
  <c r="X99" i="45"/>
  <c r="X98" i="45"/>
  <c r="X97" i="45"/>
  <c r="X96" i="45"/>
  <c r="X95" i="45"/>
  <c r="X94" i="45"/>
  <c r="X93" i="45"/>
  <c r="X92" i="45"/>
  <c r="X91" i="45"/>
  <c r="X90" i="45"/>
  <c r="X89" i="45"/>
  <c r="X88" i="45"/>
  <c r="X87" i="45"/>
  <c r="X86" i="45"/>
  <c r="X85" i="45"/>
  <c r="X84" i="45"/>
  <c r="X83" i="45"/>
  <c r="X82" i="45"/>
  <c r="X81" i="45"/>
  <c r="X80" i="45"/>
  <c r="X79" i="45"/>
  <c r="X78" i="45"/>
  <c r="X77" i="45"/>
  <c r="X76" i="45"/>
  <c r="X75" i="45"/>
  <c r="X74" i="45"/>
  <c r="X73" i="45"/>
  <c r="X72" i="45"/>
  <c r="X71" i="45"/>
  <c r="X70" i="45"/>
  <c r="X69" i="45"/>
  <c r="X68" i="45"/>
  <c r="X67" i="45"/>
  <c r="X66" i="45"/>
  <c r="X65" i="45"/>
  <c r="X64" i="45"/>
  <c r="X63" i="45"/>
  <c r="X62" i="45"/>
  <c r="X61" i="45"/>
  <c r="X60" i="45"/>
  <c r="X59" i="45"/>
  <c r="X58" i="45"/>
  <c r="X57" i="45"/>
  <c r="X56" i="45"/>
  <c r="X55" i="45"/>
  <c r="X54" i="45"/>
  <c r="X53" i="45"/>
  <c r="X52" i="45"/>
  <c r="X51" i="45"/>
  <c r="X50" i="45"/>
  <c r="X49" i="45"/>
  <c r="X48" i="45"/>
  <c r="X47" i="45"/>
  <c r="X46" i="45"/>
  <c r="X45" i="45"/>
  <c r="X44" i="45"/>
  <c r="X43" i="45"/>
  <c r="X42" i="45"/>
  <c r="X41" i="45"/>
  <c r="X40" i="45"/>
  <c r="X39" i="45"/>
  <c r="X38" i="45"/>
  <c r="X37" i="45"/>
  <c r="X36" i="45"/>
  <c r="X35" i="45"/>
  <c r="X34" i="45"/>
  <c r="X33" i="45"/>
  <c r="X32" i="45"/>
  <c r="X31" i="45"/>
  <c r="X30" i="45"/>
  <c r="X29" i="45"/>
  <c r="X28" i="45"/>
  <c r="X27" i="45"/>
  <c r="X26" i="45"/>
  <c r="X25" i="45"/>
  <c r="X24" i="45"/>
  <c r="X23" i="45"/>
  <c r="X22" i="45"/>
  <c r="X21" i="45"/>
  <c r="X20" i="45"/>
  <c r="X19" i="45"/>
  <c r="X18" i="45"/>
  <c r="X17" i="45"/>
  <c r="X16" i="45"/>
  <c r="X15" i="45"/>
  <c r="X14" i="45"/>
  <c r="X13" i="45"/>
  <c r="X12" i="45"/>
  <c r="X11" i="45"/>
  <c r="X10" i="45"/>
  <c r="Z177" i="45"/>
  <c r="Y177" i="45"/>
  <c r="X9" i="45"/>
  <c r="AO177" i="44"/>
  <c r="AO178" i="44" s="1"/>
  <c r="AN177" i="44"/>
  <c r="AN178" i="44" s="1"/>
  <c r="AM177" i="44"/>
  <c r="AM178" i="44" s="1"/>
  <c r="AL177" i="44"/>
  <c r="AK177" i="44"/>
  <c r="AJ177" i="44"/>
  <c r="AI177" i="44"/>
  <c r="AI178" i="44"/>
  <c r="AH177" i="44"/>
  <c r="AH178" i="44"/>
  <c r="AG177" i="44"/>
  <c r="AG178" i="44"/>
  <c r="AF177" i="44"/>
  <c r="AF178" i="44"/>
  <c r="AE177" i="44"/>
  <c r="AE178" i="44"/>
  <c r="AD177" i="44"/>
  <c r="AD178" i="44"/>
  <c r="AC177" i="44"/>
  <c r="AB177" i="44"/>
  <c r="AB178" i="44" s="1"/>
  <c r="AA177" i="44"/>
  <c r="AA178" i="44" s="1"/>
  <c r="Z177" i="44"/>
  <c r="Y177" i="44"/>
  <c r="X177" i="44"/>
  <c r="W177" i="44"/>
  <c r="W178" i="44"/>
  <c r="V177" i="44"/>
  <c r="V178" i="44"/>
  <c r="U177" i="44"/>
  <c r="K177" i="44"/>
  <c r="G177" i="44"/>
  <c r="D177" i="44"/>
  <c r="A177" i="44"/>
  <c r="AU176" i="44"/>
  <c r="AT176" i="44"/>
  <c r="AS176" i="44"/>
  <c r="AR176" i="44"/>
  <c r="AQ176" i="44"/>
  <c r="AP176" i="44"/>
  <c r="R176" i="44" a="1"/>
  <c r="R176" i="44" s="1"/>
  <c r="P176" i="44" a="1"/>
  <c r="P176" i="44" s="1"/>
  <c r="N176" i="44" a="1"/>
  <c r="N176" i="44" s="1"/>
  <c r="I176" i="44"/>
  <c r="H176" i="44"/>
  <c r="F176" i="44"/>
  <c r="E176" i="44"/>
  <c r="AU175" i="44"/>
  <c r="AT175" i="44"/>
  <c r="AS175" i="44"/>
  <c r="AR175" i="44"/>
  <c r="AQ175" i="44"/>
  <c r="AP175" i="44"/>
  <c r="R175" i="44" a="1"/>
  <c r="R175" i="44" s="1"/>
  <c r="P175" i="44" a="1"/>
  <c r="P175" i="44" s="1"/>
  <c r="F175" i="44" s="1"/>
  <c r="N175" i="44" a="1"/>
  <c r="N175" i="44"/>
  <c r="B175" i="44" s="1"/>
  <c r="I175" i="44"/>
  <c r="H175" i="44"/>
  <c r="C175" i="44"/>
  <c r="AU174" i="44"/>
  <c r="AT174" i="44"/>
  <c r="AS174" i="44"/>
  <c r="AR174" i="44"/>
  <c r="AQ174" i="44"/>
  <c r="AP174" i="44"/>
  <c r="R174" i="44" a="1"/>
  <c r="R174" i="44"/>
  <c r="P174" i="44" a="1"/>
  <c r="P174" i="44"/>
  <c r="N174" i="44" a="1"/>
  <c r="N174" i="44"/>
  <c r="I174" i="44"/>
  <c r="H174" i="44"/>
  <c r="F174" i="44"/>
  <c r="E174" i="44"/>
  <c r="AU173" i="44"/>
  <c r="AT173" i="44"/>
  <c r="AS173" i="44"/>
  <c r="AR173" i="44"/>
  <c r="AQ173" i="44"/>
  <c r="AP173" i="44"/>
  <c r="R173" i="44" a="1"/>
  <c r="R173" i="44"/>
  <c r="P173" i="44" a="1"/>
  <c r="P173" i="44"/>
  <c r="N173" i="44" a="1"/>
  <c r="N173" i="44"/>
  <c r="C173" i="44" s="1"/>
  <c r="I173" i="44"/>
  <c r="H173" i="44"/>
  <c r="F173" i="44"/>
  <c r="E173" i="44"/>
  <c r="AU172" i="44"/>
  <c r="AT172" i="44"/>
  <c r="AS172" i="44"/>
  <c r="AR172" i="44"/>
  <c r="AQ172" i="44"/>
  <c r="AP172" i="44"/>
  <c r="R172" i="44" a="1"/>
  <c r="R172" i="44" s="1"/>
  <c r="P172" i="44" a="1"/>
  <c r="P172" i="44" s="1"/>
  <c r="N172" i="44" a="1"/>
  <c r="N172" i="44" s="1"/>
  <c r="I172" i="44"/>
  <c r="H172" i="44"/>
  <c r="F172" i="44"/>
  <c r="E172" i="44"/>
  <c r="AU171" i="44"/>
  <c r="AT171" i="44"/>
  <c r="AS171" i="44"/>
  <c r="AR171" i="44"/>
  <c r="AQ171" i="44"/>
  <c r="AP171" i="44"/>
  <c r="R171" i="44" a="1"/>
  <c r="R171" i="44" s="1"/>
  <c r="P171" i="44" a="1"/>
  <c r="P171" i="44" s="1"/>
  <c r="N171" i="44" a="1"/>
  <c r="N171" i="44" s="1"/>
  <c r="C171" i="44" s="1"/>
  <c r="I171" i="44"/>
  <c r="H171" i="44"/>
  <c r="F171" i="44"/>
  <c r="E171" i="44"/>
  <c r="AU170" i="44"/>
  <c r="AT170" i="44"/>
  <c r="AS170" i="44"/>
  <c r="AR170" i="44"/>
  <c r="AQ170" i="44"/>
  <c r="AP170" i="44"/>
  <c r="R170" i="44" a="1"/>
  <c r="R170" i="44"/>
  <c r="P170" i="44" a="1"/>
  <c r="P170" i="44"/>
  <c r="N170" i="44" a="1"/>
  <c r="N170" i="44"/>
  <c r="I170" i="44"/>
  <c r="H170" i="44"/>
  <c r="F170" i="44"/>
  <c r="E170" i="44"/>
  <c r="AU169" i="44"/>
  <c r="AT169" i="44"/>
  <c r="AS169" i="44"/>
  <c r="AR169" i="44"/>
  <c r="AQ169" i="44"/>
  <c r="AP169" i="44"/>
  <c r="R169" i="44" a="1"/>
  <c r="R169" i="44"/>
  <c r="P169" i="44" a="1"/>
  <c r="P169" i="44"/>
  <c r="F169" i="44" s="1"/>
  <c r="N169" i="44" a="1"/>
  <c r="N169" i="44" s="1"/>
  <c r="B169" i="44" s="1"/>
  <c r="I169" i="44"/>
  <c r="H169" i="44"/>
  <c r="C169" i="44"/>
  <c r="AU168" i="44"/>
  <c r="AT168" i="44"/>
  <c r="AS168" i="44"/>
  <c r="AR168" i="44"/>
  <c r="AQ168" i="44"/>
  <c r="AP168" i="44"/>
  <c r="R168" i="44" a="1"/>
  <c r="R168" i="44" s="1"/>
  <c r="P168" i="44" a="1"/>
  <c r="P168" i="44" s="1"/>
  <c r="N168" i="44" a="1"/>
  <c r="N168" i="44" s="1"/>
  <c r="I168" i="44"/>
  <c r="H168" i="44"/>
  <c r="F168" i="44"/>
  <c r="E168" i="44"/>
  <c r="AU167" i="44"/>
  <c r="AT167" i="44"/>
  <c r="AS167" i="44"/>
  <c r="AR167" i="44"/>
  <c r="AQ167" i="44"/>
  <c r="AP167" i="44"/>
  <c r="R167" i="44" a="1"/>
  <c r="R167" i="44" s="1"/>
  <c r="P167" i="44" a="1"/>
  <c r="P167" i="44" s="1"/>
  <c r="N167" i="44" a="1"/>
  <c r="N167" i="44" s="1"/>
  <c r="C167" i="44" s="1"/>
  <c r="I167" i="44"/>
  <c r="H167" i="44"/>
  <c r="F167" i="44"/>
  <c r="E167" i="44"/>
  <c r="AU166" i="44"/>
  <c r="AT166" i="44"/>
  <c r="AS166" i="44"/>
  <c r="AR166" i="44"/>
  <c r="AQ166" i="44"/>
  <c r="AP166" i="44"/>
  <c r="R166" i="44" a="1"/>
  <c r="R166" i="44"/>
  <c r="P166" i="44" a="1"/>
  <c r="P166" i="44"/>
  <c r="N166" i="44" a="1"/>
  <c r="N166" i="44"/>
  <c r="I166" i="44"/>
  <c r="H166" i="44"/>
  <c r="F166" i="44"/>
  <c r="E166" i="44"/>
  <c r="AU165" i="44"/>
  <c r="AT165" i="44"/>
  <c r="AS165" i="44"/>
  <c r="AR165" i="44"/>
  <c r="AQ165" i="44"/>
  <c r="AP165" i="44"/>
  <c r="R165" i="44" a="1"/>
  <c r="R165" i="44"/>
  <c r="P165" i="44" a="1"/>
  <c r="P165" i="44"/>
  <c r="N165" i="44" a="1"/>
  <c r="N165" i="44"/>
  <c r="C165" i="44" s="1"/>
  <c r="I165" i="44"/>
  <c r="H165" i="44"/>
  <c r="F165" i="44"/>
  <c r="E165" i="44"/>
  <c r="AU164" i="44"/>
  <c r="AT164" i="44"/>
  <c r="AS164" i="44"/>
  <c r="AR164" i="44"/>
  <c r="AQ164" i="44"/>
  <c r="AP164" i="44"/>
  <c r="R164" i="44" a="1"/>
  <c r="R164" i="44" s="1"/>
  <c r="P164" i="44" a="1"/>
  <c r="P164" i="44" s="1"/>
  <c r="N164" i="44" a="1"/>
  <c r="N164" i="44" s="1"/>
  <c r="C164" i="44" s="1"/>
  <c r="I164" i="44"/>
  <c r="H164" i="44"/>
  <c r="F164" i="44"/>
  <c r="E164" i="44"/>
  <c r="AU163" i="44"/>
  <c r="AT163" i="44"/>
  <c r="AS163" i="44"/>
  <c r="AR163" i="44"/>
  <c r="AQ163" i="44"/>
  <c r="AP163" i="44"/>
  <c r="R163" i="44" a="1"/>
  <c r="R163" i="44"/>
  <c r="P163" i="44" a="1"/>
  <c r="P163" i="44"/>
  <c r="N163" i="44" a="1"/>
  <c r="N163" i="44"/>
  <c r="C163" i="44" s="1"/>
  <c r="I163" i="44"/>
  <c r="H163" i="44"/>
  <c r="F163" i="44"/>
  <c r="E163" i="44"/>
  <c r="AU162" i="44"/>
  <c r="AT162" i="44"/>
  <c r="AS162" i="44"/>
  <c r="AR162" i="44"/>
  <c r="AQ162" i="44"/>
  <c r="AP162" i="44"/>
  <c r="R162" i="44" a="1"/>
  <c r="R162" i="44" s="1"/>
  <c r="P162" i="44" a="1"/>
  <c r="P162" i="44" s="1"/>
  <c r="F162" i="44" s="1"/>
  <c r="N162" i="44" a="1"/>
  <c r="N162" i="44"/>
  <c r="I162" i="44"/>
  <c r="H162" i="44"/>
  <c r="C162" i="44"/>
  <c r="AU161" i="44"/>
  <c r="AT161" i="44"/>
  <c r="AS161" i="44"/>
  <c r="AR161" i="44"/>
  <c r="AQ161" i="44"/>
  <c r="AP161" i="44"/>
  <c r="R161" i="44" a="1"/>
  <c r="R161" i="44" s="1"/>
  <c r="P161" i="44" a="1"/>
  <c r="P161" i="44" s="1"/>
  <c r="F161" i="44" s="1"/>
  <c r="N161" i="44" a="1"/>
  <c r="N161" i="44"/>
  <c r="B161" i="44" s="1"/>
  <c r="I161" i="44"/>
  <c r="H161" i="44"/>
  <c r="C161" i="44"/>
  <c r="AU160" i="44"/>
  <c r="AT160" i="44"/>
  <c r="AS160" i="44"/>
  <c r="AR160" i="44"/>
  <c r="AQ160" i="44"/>
  <c r="AP160" i="44"/>
  <c r="R160" i="44" a="1"/>
  <c r="R160" i="44"/>
  <c r="P160" i="44" a="1"/>
  <c r="P160" i="44"/>
  <c r="N160" i="44" a="1"/>
  <c r="N160" i="44"/>
  <c r="I160" i="44"/>
  <c r="H160" i="44"/>
  <c r="F160" i="44"/>
  <c r="E160" i="44"/>
  <c r="AU159" i="44"/>
  <c r="AT159" i="44"/>
  <c r="AS159" i="44"/>
  <c r="AR159" i="44"/>
  <c r="AQ159" i="44"/>
  <c r="AP159" i="44"/>
  <c r="R159" i="44" a="1"/>
  <c r="R159" i="44"/>
  <c r="P159" i="44" a="1"/>
  <c r="P159" i="44"/>
  <c r="N159" i="44" a="1"/>
  <c r="N159" i="44"/>
  <c r="C159" i="44" s="1"/>
  <c r="I159" i="44"/>
  <c r="H159" i="44"/>
  <c r="F159" i="44"/>
  <c r="E159" i="44"/>
  <c r="AU158" i="44"/>
  <c r="AT158" i="44"/>
  <c r="AS158" i="44"/>
  <c r="AR158" i="44"/>
  <c r="AQ158" i="44"/>
  <c r="AP158" i="44"/>
  <c r="R158" i="44" a="1"/>
  <c r="R158" i="44" s="1"/>
  <c r="P158" i="44" a="1"/>
  <c r="P158" i="44" s="1"/>
  <c r="N158" i="44" a="1"/>
  <c r="N158" i="44" s="1"/>
  <c r="C158" i="44" s="1"/>
  <c r="I158" i="44"/>
  <c r="H158" i="44"/>
  <c r="F158" i="44"/>
  <c r="E158" i="44"/>
  <c r="AU157" i="44"/>
  <c r="AT157" i="44"/>
  <c r="AS157" i="44"/>
  <c r="AR157" i="44"/>
  <c r="AQ157" i="44"/>
  <c r="AP157" i="44"/>
  <c r="R157" i="44" a="1"/>
  <c r="R157" i="44"/>
  <c r="P157" i="44" a="1"/>
  <c r="P157" i="44"/>
  <c r="F157" i="44" s="1"/>
  <c r="N157" i="44" a="1"/>
  <c r="N157" i="44" s="1"/>
  <c r="B157" i="44" s="1"/>
  <c r="I157" i="44"/>
  <c r="H157" i="44"/>
  <c r="C157" i="44"/>
  <c r="AU156" i="44"/>
  <c r="AT156" i="44"/>
  <c r="AS156" i="44"/>
  <c r="AR156" i="44"/>
  <c r="AQ156" i="44"/>
  <c r="AP156" i="44"/>
  <c r="R156" i="44" a="1"/>
  <c r="R156" i="44" s="1"/>
  <c r="P156" i="44" a="1"/>
  <c r="P156" i="44" s="1"/>
  <c r="N156" i="44" a="1"/>
  <c r="N156" i="44" s="1"/>
  <c r="I156" i="44"/>
  <c r="H156" i="44"/>
  <c r="F156" i="44"/>
  <c r="E156" i="44"/>
  <c r="AU155" i="44"/>
  <c r="AT155" i="44"/>
  <c r="AS155" i="44"/>
  <c r="AR155" i="44"/>
  <c r="AQ155" i="44"/>
  <c r="AP155" i="44"/>
  <c r="R155" i="44" a="1"/>
  <c r="R155" i="44" s="1"/>
  <c r="P155" i="44" a="1"/>
  <c r="P155" i="44" s="1"/>
  <c r="N155" i="44" a="1"/>
  <c r="N155" i="44" s="1"/>
  <c r="C155" i="44" s="1"/>
  <c r="I155" i="44"/>
  <c r="H155" i="44"/>
  <c r="F155" i="44"/>
  <c r="E155" i="44"/>
  <c r="AU154" i="44"/>
  <c r="AT154" i="44"/>
  <c r="AS154" i="44"/>
  <c r="AR154" i="44"/>
  <c r="AQ154" i="44"/>
  <c r="AP154" i="44"/>
  <c r="R154" i="44" a="1"/>
  <c r="R154" i="44"/>
  <c r="P154" i="44" a="1"/>
  <c r="P154" i="44"/>
  <c r="N154" i="44" a="1"/>
  <c r="N154" i="44"/>
  <c r="C154" i="44" s="1"/>
  <c r="I154" i="44"/>
  <c r="H154" i="44"/>
  <c r="F154" i="44"/>
  <c r="E154" i="44"/>
  <c r="AU153" i="44"/>
  <c r="AT153" i="44"/>
  <c r="AS153" i="44"/>
  <c r="AR153" i="44"/>
  <c r="AQ153" i="44"/>
  <c r="AP153" i="44"/>
  <c r="R153" i="44" a="1"/>
  <c r="R153" i="44" s="1"/>
  <c r="I153" i="44" s="1"/>
  <c r="P153" i="44" a="1"/>
  <c r="P153" i="44"/>
  <c r="N153" i="44" a="1"/>
  <c r="N153" i="44"/>
  <c r="C153" i="44"/>
  <c r="AU152" i="44"/>
  <c r="AT152" i="44"/>
  <c r="AS152" i="44"/>
  <c r="AR152" i="44"/>
  <c r="AQ152" i="44"/>
  <c r="AP152" i="44"/>
  <c r="R152" i="44" a="1"/>
  <c r="R152" i="44" s="1"/>
  <c r="P152" i="44" a="1"/>
  <c r="P152" i="44" s="1"/>
  <c r="F152" i="44" s="1"/>
  <c r="N152" i="44" a="1"/>
  <c r="N152" i="44"/>
  <c r="I152" i="44"/>
  <c r="H152" i="44"/>
  <c r="C152" i="44"/>
  <c r="AU151" i="44"/>
  <c r="AT151" i="44"/>
  <c r="AS151" i="44"/>
  <c r="AR151" i="44"/>
  <c r="AQ151" i="44"/>
  <c r="AP151" i="44"/>
  <c r="R151" i="44" a="1"/>
  <c r="R151" i="44" s="1"/>
  <c r="P151" i="44" a="1"/>
  <c r="P151" i="44" s="1"/>
  <c r="N151" i="44" a="1"/>
  <c r="N151" i="44" s="1"/>
  <c r="C151" i="44" s="1"/>
  <c r="I151" i="44"/>
  <c r="H151" i="44"/>
  <c r="F151" i="44"/>
  <c r="E151" i="44"/>
  <c r="AU150" i="44"/>
  <c r="AT150" i="44"/>
  <c r="AS150" i="44"/>
  <c r="AR150" i="44"/>
  <c r="AQ150" i="44"/>
  <c r="AP150" i="44"/>
  <c r="R150" i="44" a="1"/>
  <c r="R150" i="44"/>
  <c r="P150" i="44" a="1"/>
  <c r="P150" i="44"/>
  <c r="N150" i="44" a="1"/>
  <c r="N150" i="44"/>
  <c r="I150" i="44"/>
  <c r="H150" i="44"/>
  <c r="F150" i="44"/>
  <c r="E150" i="44"/>
  <c r="AU149" i="44"/>
  <c r="AT149" i="44"/>
  <c r="AS149" i="44"/>
  <c r="AR149" i="44"/>
  <c r="AQ149" i="44"/>
  <c r="AP149" i="44"/>
  <c r="R149" i="44" a="1"/>
  <c r="R149" i="44"/>
  <c r="P149" i="44" a="1"/>
  <c r="P149" i="44"/>
  <c r="F149" i="44" s="1"/>
  <c r="N149" i="44" a="1"/>
  <c r="N149" i="44" s="1"/>
  <c r="B149" i="44"/>
  <c r="I149" i="44"/>
  <c r="H149" i="44"/>
  <c r="C149" i="44"/>
  <c r="AU148" i="44"/>
  <c r="AT148" i="44"/>
  <c r="AS148" i="44"/>
  <c r="AR148" i="44"/>
  <c r="AQ148" i="44"/>
  <c r="AP148" i="44"/>
  <c r="R148" i="44" a="1"/>
  <c r="R148" i="44" s="1"/>
  <c r="P148" i="44" a="1"/>
  <c r="P148" i="44" s="1"/>
  <c r="N148" i="44" a="1"/>
  <c r="N148" i="44" s="1"/>
  <c r="I148" i="44"/>
  <c r="H148" i="44"/>
  <c r="F148" i="44"/>
  <c r="E148" i="44"/>
  <c r="AU147" i="44"/>
  <c r="AT147" i="44"/>
  <c r="AS147" i="44"/>
  <c r="AR147" i="44"/>
  <c r="AQ147" i="44"/>
  <c r="AP147" i="44"/>
  <c r="R147" i="44" a="1"/>
  <c r="R147" i="44"/>
  <c r="P147" i="44" a="1"/>
  <c r="P147" i="44"/>
  <c r="N147" i="44" a="1"/>
  <c r="N147" i="44"/>
  <c r="C147" i="44" s="1"/>
  <c r="I147" i="44"/>
  <c r="H147" i="44"/>
  <c r="F147" i="44"/>
  <c r="E147" i="44"/>
  <c r="AU146" i="44"/>
  <c r="AT146" i="44"/>
  <c r="AS146" i="44"/>
  <c r="AR146" i="44"/>
  <c r="AQ146" i="44"/>
  <c r="AP146" i="44"/>
  <c r="R146" i="44" a="1"/>
  <c r="R146" i="44" s="1"/>
  <c r="P146" i="44" a="1"/>
  <c r="P146" i="44" s="1"/>
  <c r="N146" i="44" a="1"/>
  <c r="N146" i="44" s="1"/>
  <c r="I146" i="44"/>
  <c r="H146" i="44"/>
  <c r="F146" i="44"/>
  <c r="E146" i="44"/>
  <c r="AU145" i="44"/>
  <c r="AT145" i="44"/>
  <c r="AS145" i="44"/>
  <c r="AR145" i="44"/>
  <c r="AQ145" i="44"/>
  <c r="AP145" i="44"/>
  <c r="R145" i="44" a="1"/>
  <c r="R145" i="44" s="1"/>
  <c r="P145" i="44" a="1"/>
  <c r="P145" i="44" s="1"/>
  <c r="N145" i="44" a="1"/>
  <c r="N145" i="44" s="1"/>
  <c r="C145" i="44" s="1"/>
  <c r="I145" i="44"/>
  <c r="H145" i="44"/>
  <c r="F145" i="44"/>
  <c r="E145" i="44"/>
  <c r="AU144" i="44"/>
  <c r="AT144" i="44"/>
  <c r="AS144" i="44"/>
  <c r="AR144" i="44"/>
  <c r="AQ144" i="44"/>
  <c r="AP144" i="44"/>
  <c r="R144" i="44" a="1"/>
  <c r="R144" i="44"/>
  <c r="P144" i="44" a="1"/>
  <c r="P144" i="44"/>
  <c r="N144" i="44" a="1"/>
  <c r="N144" i="44"/>
  <c r="C144" i="44" s="1"/>
  <c r="I144" i="44"/>
  <c r="H144" i="44"/>
  <c r="F144" i="44"/>
  <c r="E144" i="44"/>
  <c r="AU143" i="44"/>
  <c r="AT143" i="44"/>
  <c r="AS143" i="44"/>
  <c r="AR143" i="44"/>
  <c r="AQ143" i="44"/>
  <c r="AP143" i="44"/>
  <c r="R143" i="44" a="1"/>
  <c r="R143" i="44" s="1"/>
  <c r="P143" i="44" a="1"/>
  <c r="P143" i="44" s="1"/>
  <c r="F143" i="44" s="1"/>
  <c r="N143" i="44" a="1"/>
  <c r="N143" i="44"/>
  <c r="B143" i="44" s="1"/>
  <c r="I143" i="44"/>
  <c r="H143" i="44"/>
  <c r="C143" i="44"/>
  <c r="AU142" i="44"/>
  <c r="AT142" i="44"/>
  <c r="AS142" i="44"/>
  <c r="AR142" i="44"/>
  <c r="AQ142" i="44"/>
  <c r="AP142" i="44"/>
  <c r="R142" i="44" a="1"/>
  <c r="R142" i="44"/>
  <c r="P142" i="44" a="1"/>
  <c r="P142" i="44"/>
  <c r="F142" i="44" s="1"/>
  <c r="N142" i="44" a="1"/>
  <c r="N142" i="44" s="1"/>
  <c r="I142" i="44"/>
  <c r="H142" i="44"/>
  <c r="C142" i="44"/>
  <c r="AU141" i="44"/>
  <c r="AT141" i="44"/>
  <c r="AS141" i="44"/>
  <c r="AR141" i="44"/>
  <c r="AQ141" i="44"/>
  <c r="AP141" i="44"/>
  <c r="R141" i="44" a="1"/>
  <c r="R141" i="44"/>
  <c r="P141" i="44" a="1"/>
  <c r="P141" i="44"/>
  <c r="F141" i="44" s="1"/>
  <c r="N141" i="44" a="1"/>
  <c r="N141" i="44" s="1"/>
  <c r="B141" i="44" s="1"/>
  <c r="I141" i="44"/>
  <c r="H141" i="44"/>
  <c r="C141" i="44"/>
  <c r="AU140" i="44"/>
  <c r="AT140" i="44"/>
  <c r="AS140" i="44"/>
  <c r="AR140" i="44"/>
  <c r="AQ140" i="44"/>
  <c r="AP140" i="44"/>
  <c r="R140" i="44" a="1"/>
  <c r="R140" i="44" s="1"/>
  <c r="P140" i="44" a="1"/>
  <c r="P140" i="44" s="1"/>
  <c r="N140" i="44" a="1"/>
  <c r="N140" i="44" s="1"/>
  <c r="I140" i="44"/>
  <c r="H140" i="44"/>
  <c r="F140" i="44"/>
  <c r="E140" i="44"/>
  <c r="AU139" i="44"/>
  <c r="AT139" i="44"/>
  <c r="AS139" i="44"/>
  <c r="AR139" i="44"/>
  <c r="AQ139" i="44"/>
  <c r="AP139" i="44"/>
  <c r="R139" i="44" a="1"/>
  <c r="R139" i="44" s="1"/>
  <c r="P139" i="44" a="1"/>
  <c r="P139" i="44" s="1"/>
  <c r="N139" i="44" a="1"/>
  <c r="N139" i="44" s="1"/>
  <c r="I139" i="44"/>
  <c r="H139" i="44"/>
  <c r="F139" i="44"/>
  <c r="E139" i="44"/>
  <c r="AU138" i="44"/>
  <c r="AT138" i="44"/>
  <c r="AS138" i="44"/>
  <c r="AR138" i="44"/>
  <c r="AQ138" i="44"/>
  <c r="AP138" i="44"/>
  <c r="R138" i="44" a="1"/>
  <c r="R138" i="44" s="1"/>
  <c r="P138" i="44" a="1"/>
  <c r="P138" i="44" s="1"/>
  <c r="N138" i="44" a="1"/>
  <c r="N138" i="44" s="1"/>
  <c r="I138" i="44"/>
  <c r="H138" i="44"/>
  <c r="F138" i="44"/>
  <c r="E138" i="44"/>
  <c r="AU137" i="44"/>
  <c r="AT137" i="44"/>
  <c r="AS137" i="44"/>
  <c r="AR137" i="44"/>
  <c r="AQ137" i="44"/>
  <c r="AP137" i="44"/>
  <c r="R137" i="44" a="1"/>
  <c r="R137" i="44" s="1"/>
  <c r="P137" i="44" a="1"/>
  <c r="P137" i="44" s="1"/>
  <c r="N137" i="44" a="1"/>
  <c r="N137" i="44" s="1"/>
  <c r="C137" i="44" s="1"/>
  <c r="I137" i="44"/>
  <c r="H137" i="44"/>
  <c r="F137" i="44"/>
  <c r="E137" i="44"/>
  <c r="AU136" i="44"/>
  <c r="AT136" i="44"/>
  <c r="AS136" i="44"/>
  <c r="AR136" i="44"/>
  <c r="AQ136" i="44"/>
  <c r="AP136" i="44"/>
  <c r="R136" i="44" a="1"/>
  <c r="R136" i="44"/>
  <c r="P136" i="44" a="1"/>
  <c r="P136" i="44"/>
  <c r="N136" i="44" a="1"/>
  <c r="N136" i="44"/>
  <c r="C136" i="44" s="1"/>
  <c r="I136" i="44"/>
  <c r="H136" i="44"/>
  <c r="F136" i="44"/>
  <c r="E136" i="44"/>
  <c r="AU135" i="44"/>
  <c r="AT135" i="44"/>
  <c r="AS135" i="44"/>
  <c r="AR135" i="44"/>
  <c r="AQ135" i="44"/>
  <c r="AP135" i="44"/>
  <c r="R135" i="44" a="1"/>
  <c r="R135" i="44" s="1"/>
  <c r="P135" i="44" a="1"/>
  <c r="P135" i="44" s="1"/>
  <c r="N135" i="44" a="1"/>
  <c r="N135" i="44" s="1"/>
  <c r="C135" i="44" s="1"/>
  <c r="I135" i="44"/>
  <c r="H135" i="44"/>
  <c r="F135" i="44"/>
  <c r="E135" i="44"/>
  <c r="AU134" i="44"/>
  <c r="AT134" i="44"/>
  <c r="AS134" i="44"/>
  <c r="AR134" i="44"/>
  <c r="AQ134" i="44"/>
  <c r="AP134" i="44"/>
  <c r="R134" i="44" a="1"/>
  <c r="R134" i="44"/>
  <c r="P134" i="44" a="1"/>
  <c r="P134" i="44"/>
  <c r="N134" i="44" a="1"/>
  <c r="N134" i="44"/>
  <c r="I134" i="44"/>
  <c r="H134" i="44"/>
  <c r="F134" i="44"/>
  <c r="E134" i="44"/>
  <c r="AU133" i="44"/>
  <c r="AT133" i="44"/>
  <c r="AS133" i="44"/>
  <c r="AR133" i="44"/>
  <c r="AQ133" i="44"/>
  <c r="AP133" i="44"/>
  <c r="R133" i="44" a="1"/>
  <c r="R133" i="44"/>
  <c r="P133" i="44" a="1"/>
  <c r="P133" i="44"/>
  <c r="F133" i="44" s="1"/>
  <c r="N133" i="44" a="1"/>
  <c r="N133" i="44" s="1"/>
  <c r="B133" i="44" s="1"/>
  <c r="I133" i="44"/>
  <c r="H133" i="44"/>
  <c r="C133" i="44"/>
  <c r="AU132" i="44"/>
  <c r="AT132" i="44"/>
  <c r="AS132" i="44"/>
  <c r="AR132" i="44"/>
  <c r="AQ132" i="44"/>
  <c r="AP132" i="44"/>
  <c r="R132" i="44" a="1"/>
  <c r="R132" i="44" s="1"/>
  <c r="P132" i="44" a="1"/>
  <c r="P132" i="44" s="1"/>
  <c r="N132" i="44" a="1"/>
  <c r="N132" i="44" s="1"/>
  <c r="C132" i="44" s="1"/>
  <c r="I132" i="44"/>
  <c r="H132" i="44"/>
  <c r="F132" i="44"/>
  <c r="E132" i="44"/>
  <c r="AU131" i="44"/>
  <c r="AT131" i="44"/>
  <c r="AS131" i="44"/>
  <c r="AR131" i="44"/>
  <c r="AQ131" i="44"/>
  <c r="AP131" i="44"/>
  <c r="R131" i="44" a="1"/>
  <c r="R131" i="44"/>
  <c r="P131" i="44" a="1"/>
  <c r="P131" i="44"/>
  <c r="F131" i="44" s="1"/>
  <c r="N131" i="44" a="1"/>
  <c r="N131" i="44" s="1"/>
  <c r="B131" i="44" s="1"/>
  <c r="I131" i="44"/>
  <c r="H131" i="44"/>
  <c r="C131" i="44"/>
  <c r="AU130" i="44"/>
  <c r="AT130" i="44"/>
  <c r="AS130" i="44"/>
  <c r="AR130" i="44"/>
  <c r="AQ130" i="44"/>
  <c r="AP130" i="44"/>
  <c r="R130" i="44" a="1"/>
  <c r="R130" i="44" s="1"/>
  <c r="P130" i="44" a="1"/>
  <c r="P130" i="44" s="1"/>
  <c r="F130" i="44" s="1"/>
  <c r="N130" i="44" a="1"/>
  <c r="N130" i="44"/>
  <c r="B130" i="44" s="1"/>
  <c r="I130" i="44"/>
  <c r="H130" i="44"/>
  <c r="C130" i="44"/>
  <c r="AU129" i="44"/>
  <c r="AT129" i="44"/>
  <c r="AS129" i="44"/>
  <c r="AR129" i="44"/>
  <c r="AQ129" i="44"/>
  <c r="AP129" i="44"/>
  <c r="R129" i="44" a="1"/>
  <c r="R129" i="44"/>
  <c r="P129" i="44" a="1"/>
  <c r="P129" i="44"/>
  <c r="N129" i="44" a="1"/>
  <c r="N129" i="44"/>
  <c r="C129" i="44" s="1"/>
  <c r="I129" i="44"/>
  <c r="H129" i="44"/>
  <c r="F129" i="44"/>
  <c r="E129" i="44"/>
  <c r="AU128" i="44"/>
  <c r="AT128" i="44"/>
  <c r="AS128" i="44"/>
  <c r="AR128" i="44"/>
  <c r="AQ128" i="44"/>
  <c r="AP128" i="44"/>
  <c r="R128" i="44" a="1"/>
  <c r="R128" i="44" s="1"/>
  <c r="P128" i="44" a="1"/>
  <c r="P128" i="44" s="1"/>
  <c r="N128" i="44" a="1"/>
  <c r="N128" i="44" s="1"/>
  <c r="C128" i="44" s="1"/>
  <c r="I128" i="44"/>
  <c r="H128" i="44"/>
  <c r="F128" i="44"/>
  <c r="E128" i="44"/>
  <c r="AU127" i="44"/>
  <c r="AT127" i="44"/>
  <c r="AS127" i="44"/>
  <c r="AR127" i="44"/>
  <c r="AQ127" i="44"/>
  <c r="AP127" i="44"/>
  <c r="R127" i="44" a="1"/>
  <c r="R127" i="44"/>
  <c r="P127" i="44" a="1"/>
  <c r="P127" i="44"/>
  <c r="N127" i="44" a="1"/>
  <c r="N127" i="44"/>
  <c r="I127" i="44"/>
  <c r="H127" i="44"/>
  <c r="F127" i="44"/>
  <c r="E127" i="44"/>
  <c r="AU126" i="44"/>
  <c r="AT126" i="44"/>
  <c r="AS126" i="44"/>
  <c r="AR126" i="44"/>
  <c r="AQ126" i="44"/>
  <c r="AP126" i="44"/>
  <c r="R126" i="44" a="1"/>
  <c r="R126" i="44"/>
  <c r="P126" i="44" a="1"/>
  <c r="P126" i="44"/>
  <c r="N126" i="44" a="1"/>
  <c r="N126" i="44"/>
  <c r="C126" i="44" s="1"/>
  <c r="I126" i="44"/>
  <c r="H126" i="44"/>
  <c r="F126" i="44"/>
  <c r="E126" i="44"/>
  <c r="AU125" i="44"/>
  <c r="AT125" i="44"/>
  <c r="AS125" i="44"/>
  <c r="AR125" i="44"/>
  <c r="AQ125" i="44"/>
  <c r="AP125" i="44"/>
  <c r="R125" i="44" a="1"/>
  <c r="R125" i="44" s="1"/>
  <c r="P125" i="44" a="1"/>
  <c r="P125" i="44" s="1"/>
  <c r="N125" i="44" a="1"/>
  <c r="N125" i="44" s="1"/>
  <c r="C125" i="44" s="1"/>
  <c r="I125" i="44"/>
  <c r="H125" i="44"/>
  <c r="F125" i="44"/>
  <c r="E125" i="44"/>
  <c r="AU124" i="44"/>
  <c r="AT124" i="44"/>
  <c r="AS124" i="44"/>
  <c r="AR124" i="44"/>
  <c r="AQ124" i="44"/>
  <c r="AP124" i="44"/>
  <c r="R124" i="44" a="1"/>
  <c r="R124" i="44"/>
  <c r="P124" i="44" a="1"/>
  <c r="P124" i="44"/>
  <c r="N124" i="44" a="1"/>
  <c r="N124" i="44"/>
  <c r="C124" i="44" s="1"/>
  <c r="I124" i="44"/>
  <c r="H124" i="44"/>
  <c r="F124" i="44"/>
  <c r="E124" i="44"/>
  <c r="AU123" i="44"/>
  <c r="AT123" i="44"/>
  <c r="AS123" i="44"/>
  <c r="AR123" i="44"/>
  <c r="AQ123" i="44"/>
  <c r="AP123" i="44"/>
  <c r="R123" i="44" a="1"/>
  <c r="R123" i="44" s="1"/>
  <c r="P123" i="44" a="1"/>
  <c r="P123" i="44" s="1"/>
  <c r="N123" i="44" a="1"/>
  <c r="N123" i="44" s="1"/>
  <c r="I123" i="44"/>
  <c r="H123" i="44"/>
  <c r="F123" i="44"/>
  <c r="E123" i="44"/>
  <c r="AU122" i="44"/>
  <c r="AT122" i="44"/>
  <c r="AS122" i="44"/>
  <c r="AR122" i="44"/>
  <c r="AQ122" i="44"/>
  <c r="AP122" i="44"/>
  <c r="R122" i="44" a="1"/>
  <c r="R122" i="44" s="1"/>
  <c r="P122" i="44" a="1"/>
  <c r="P122" i="44" s="1"/>
  <c r="F122" i="44" s="1"/>
  <c r="N122" i="44" a="1"/>
  <c r="N122" i="44"/>
  <c r="B122" i="44" s="1"/>
  <c r="I122" i="44"/>
  <c r="H122" i="44"/>
  <c r="C122" i="44"/>
  <c r="AU121" i="44"/>
  <c r="AT121" i="44"/>
  <c r="AS121" i="44"/>
  <c r="AR121" i="44"/>
  <c r="AQ121" i="44"/>
  <c r="AP121" i="44"/>
  <c r="R121" i="44" a="1"/>
  <c r="R121" i="44"/>
  <c r="P121" i="44" a="1"/>
  <c r="P121" i="44"/>
  <c r="N121" i="44" a="1"/>
  <c r="N121" i="44"/>
  <c r="C121" i="44" s="1"/>
  <c r="I121" i="44"/>
  <c r="H121" i="44"/>
  <c r="F121" i="44"/>
  <c r="E121" i="44"/>
  <c r="AU120" i="44"/>
  <c r="AT120" i="44"/>
  <c r="AS120" i="44"/>
  <c r="AR120" i="44"/>
  <c r="AQ120" i="44"/>
  <c r="AP120" i="44"/>
  <c r="R120" i="44" a="1"/>
  <c r="R120" i="44" s="1"/>
  <c r="I120" i="44" s="1"/>
  <c r="P120" i="44" a="1"/>
  <c r="P120" i="44"/>
  <c r="N120" i="44" a="1"/>
  <c r="N120" i="44"/>
  <c r="C120" i="44" s="1"/>
  <c r="F120" i="44"/>
  <c r="E120" i="44"/>
  <c r="AU119" i="44"/>
  <c r="AT119" i="44"/>
  <c r="AS119" i="44"/>
  <c r="AR119" i="44"/>
  <c r="AQ119" i="44"/>
  <c r="AP119" i="44"/>
  <c r="R119" i="44" a="1"/>
  <c r="R119" i="44" s="1"/>
  <c r="P119" i="44" a="1"/>
  <c r="P119" i="44" s="1"/>
  <c r="N119" i="44" a="1"/>
  <c r="N119" i="44" s="1"/>
  <c r="C119" i="44" s="1"/>
  <c r="I119" i="44"/>
  <c r="H119" i="44"/>
  <c r="F119" i="44"/>
  <c r="E119" i="44"/>
  <c r="AU118" i="44"/>
  <c r="AT118" i="44"/>
  <c r="AS118" i="44"/>
  <c r="AR118" i="44"/>
  <c r="AQ118" i="44"/>
  <c r="AP118" i="44"/>
  <c r="R118" i="44" a="1"/>
  <c r="R118" i="44"/>
  <c r="P118" i="44" a="1"/>
  <c r="P118" i="44"/>
  <c r="F118" i="44" s="1"/>
  <c r="N118" i="44" a="1"/>
  <c r="N118" i="44" s="1"/>
  <c r="B118" i="44" s="1"/>
  <c r="I118" i="44"/>
  <c r="H118" i="44"/>
  <c r="C118" i="44"/>
  <c r="AU117" i="44"/>
  <c r="AT117" i="44"/>
  <c r="AS117" i="44"/>
  <c r="AR117" i="44"/>
  <c r="AQ117" i="44"/>
  <c r="AP117" i="44"/>
  <c r="R117" i="44" a="1"/>
  <c r="R117" i="44" s="1"/>
  <c r="P117" i="44" a="1"/>
  <c r="P117" i="44" s="1"/>
  <c r="F117" i="44" s="1"/>
  <c r="N117" i="44" a="1"/>
  <c r="N117" i="44"/>
  <c r="B117" i="44" s="1"/>
  <c r="I117" i="44"/>
  <c r="H117" i="44"/>
  <c r="C117" i="44"/>
  <c r="AU116" i="44"/>
  <c r="AT116" i="44"/>
  <c r="AS116" i="44"/>
  <c r="AR116" i="44"/>
  <c r="AQ116" i="44"/>
  <c r="AP116" i="44"/>
  <c r="R116" i="44" a="1"/>
  <c r="R116" i="44"/>
  <c r="P116" i="44" a="1"/>
  <c r="P116" i="44"/>
  <c r="N116" i="44" a="1"/>
  <c r="N116" i="44"/>
  <c r="C116" i="44" s="1"/>
  <c r="I116" i="44"/>
  <c r="H116" i="44"/>
  <c r="F116" i="44"/>
  <c r="E116" i="44"/>
  <c r="AU115" i="44"/>
  <c r="AT115" i="44"/>
  <c r="AS115" i="44"/>
  <c r="AR115" i="44"/>
  <c r="AQ115" i="44"/>
  <c r="AP115" i="44"/>
  <c r="R115" i="44" a="1"/>
  <c r="R115" i="44" s="1"/>
  <c r="P115" i="44" a="1"/>
  <c r="P115" i="44" s="1"/>
  <c r="N115" i="44" a="1"/>
  <c r="N115" i="44" s="1"/>
  <c r="C115" i="44" s="1"/>
  <c r="I115" i="44"/>
  <c r="H115" i="44"/>
  <c r="F115" i="44"/>
  <c r="E115" i="44"/>
  <c r="AU114" i="44"/>
  <c r="AT114" i="44"/>
  <c r="AS114" i="44"/>
  <c r="AR114" i="44"/>
  <c r="AQ114" i="44"/>
  <c r="AP114" i="44"/>
  <c r="R114" i="44" a="1"/>
  <c r="R114" i="44"/>
  <c r="I114" i="44" s="1"/>
  <c r="P114" i="44" a="1"/>
  <c r="P114" i="44" s="1"/>
  <c r="N114" i="44" a="1"/>
  <c r="N114" i="44" s="1"/>
  <c r="C114" i="44" s="1"/>
  <c r="F114" i="44"/>
  <c r="E114" i="44"/>
  <c r="AU113" i="44"/>
  <c r="AT113" i="44"/>
  <c r="AS113" i="44"/>
  <c r="AR113" i="44"/>
  <c r="AQ113" i="44"/>
  <c r="AP113" i="44"/>
  <c r="R113" i="44" a="1"/>
  <c r="R113" i="44"/>
  <c r="P113" i="44" a="1"/>
  <c r="P113" i="44"/>
  <c r="N113" i="44" a="1"/>
  <c r="N113" i="44"/>
  <c r="I113" i="44"/>
  <c r="H113" i="44"/>
  <c r="F113" i="44"/>
  <c r="E113" i="44"/>
  <c r="AU112" i="44"/>
  <c r="AT112" i="44"/>
  <c r="AS112" i="44"/>
  <c r="AR112" i="44"/>
  <c r="AQ112" i="44"/>
  <c r="AP112" i="44"/>
  <c r="R112" i="44" a="1"/>
  <c r="R112" i="44"/>
  <c r="P112" i="44" a="1"/>
  <c r="P112" i="44"/>
  <c r="N112" i="44" a="1"/>
  <c r="N112" i="44"/>
  <c r="C112" i="44" s="1"/>
  <c r="I112" i="44"/>
  <c r="H112" i="44"/>
  <c r="F112" i="44"/>
  <c r="E112" i="44"/>
  <c r="AU111" i="44"/>
  <c r="AT111" i="44"/>
  <c r="AS111" i="44"/>
  <c r="AR111" i="44"/>
  <c r="AQ111" i="44"/>
  <c r="AP111" i="44"/>
  <c r="R111" i="44" a="1"/>
  <c r="R111" i="44" s="1"/>
  <c r="P111" i="44" a="1"/>
  <c r="P111" i="44" s="1"/>
  <c r="N111" i="44" a="1"/>
  <c r="N111" i="44" s="1"/>
  <c r="C111" i="44" s="1"/>
  <c r="I111" i="44"/>
  <c r="H111" i="44"/>
  <c r="F111" i="44"/>
  <c r="E111" i="44"/>
  <c r="AU110" i="44"/>
  <c r="AT110" i="44"/>
  <c r="AS110" i="44"/>
  <c r="AR110" i="44"/>
  <c r="AQ110" i="44"/>
  <c r="AP110" i="44"/>
  <c r="R110" i="44" a="1"/>
  <c r="R110" i="44"/>
  <c r="P110" i="44" a="1"/>
  <c r="P110" i="44"/>
  <c r="N110" i="44" a="1"/>
  <c r="N110" i="44"/>
  <c r="C110" i="44" s="1"/>
  <c r="I110" i="44"/>
  <c r="H110" i="44"/>
  <c r="F110" i="44"/>
  <c r="E110" i="44"/>
  <c r="AU109" i="44"/>
  <c r="AT109" i="44"/>
  <c r="AS109" i="44"/>
  <c r="AR109" i="44"/>
  <c r="AQ109" i="44"/>
  <c r="AP109" i="44"/>
  <c r="R109" i="44" a="1"/>
  <c r="R109" i="44" s="1"/>
  <c r="P109" i="44" a="1"/>
  <c r="P109" i="44" s="1"/>
  <c r="F109" i="44" s="1"/>
  <c r="N109" i="44" a="1"/>
  <c r="N109" i="44"/>
  <c r="B109" i="44" s="1"/>
  <c r="I109" i="44"/>
  <c r="H109" i="44"/>
  <c r="C109" i="44"/>
  <c r="AU108" i="44"/>
  <c r="AT108" i="44"/>
  <c r="AS108" i="44"/>
  <c r="AR108" i="44"/>
  <c r="AQ108" i="44"/>
  <c r="AP108" i="44"/>
  <c r="R108" i="44" a="1"/>
  <c r="R108" i="44"/>
  <c r="P108" i="44" a="1"/>
  <c r="P108" i="44"/>
  <c r="N108" i="44" a="1"/>
  <c r="N108" i="44"/>
  <c r="C108" i="44" s="1"/>
  <c r="I108" i="44"/>
  <c r="H108" i="44"/>
  <c r="F108" i="44"/>
  <c r="E108" i="44"/>
  <c r="AU107" i="44"/>
  <c r="AT107" i="44"/>
  <c r="AS107" i="44"/>
  <c r="AR107" i="44"/>
  <c r="AQ107" i="44"/>
  <c r="AP107" i="44"/>
  <c r="R107" i="44" a="1"/>
  <c r="R107" i="44" s="1"/>
  <c r="P107" i="44" a="1"/>
  <c r="P107" i="44" s="1"/>
  <c r="N107" i="44" a="1"/>
  <c r="N107" i="44" s="1"/>
  <c r="C107" i="44" s="1"/>
  <c r="I107" i="44"/>
  <c r="H107" i="44"/>
  <c r="F107" i="44"/>
  <c r="E107" i="44"/>
  <c r="AU106" i="44"/>
  <c r="AT106" i="44"/>
  <c r="AS106" i="44"/>
  <c r="AR106" i="44"/>
  <c r="AQ106" i="44"/>
  <c r="AP106" i="44"/>
  <c r="R106" i="44" a="1"/>
  <c r="R106" i="44"/>
  <c r="P106" i="44" a="1"/>
  <c r="P106" i="44"/>
  <c r="N106" i="44" a="1"/>
  <c r="N106" i="44" s="1"/>
  <c r="C106" i="44" s="1"/>
  <c r="I106" i="44"/>
  <c r="H106" i="44"/>
  <c r="F106" i="44"/>
  <c r="E106" i="44"/>
  <c r="AU105" i="44"/>
  <c r="AT105" i="44"/>
  <c r="AS105" i="44"/>
  <c r="AR105" i="44"/>
  <c r="AQ105" i="44"/>
  <c r="AP105" i="44"/>
  <c r="R105" i="44" a="1"/>
  <c r="R105" i="44"/>
  <c r="P105" i="44" a="1"/>
  <c r="P105" i="44"/>
  <c r="N105" i="44" a="1"/>
  <c r="N105" i="44"/>
  <c r="C105" i="44"/>
  <c r="I105" i="44"/>
  <c r="H105" i="44"/>
  <c r="F105" i="44"/>
  <c r="E105" i="44"/>
  <c r="AU104" i="44"/>
  <c r="AT104" i="44"/>
  <c r="AS104" i="44"/>
  <c r="AR104" i="44"/>
  <c r="AQ104" i="44"/>
  <c r="AP104" i="44"/>
  <c r="R104" i="44" a="1"/>
  <c r="R104" i="44"/>
  <c r="P104" i="44" a="1"/>
  <c r="P104" i="44"/>
  <c r="N104" i="44" a="1"/>
  <c r="N104" i="44" s="1"/>
  <c r="I104" i="44"/>
  <c r="H104" i="44"/>
  <c r="F104" i="44"/>
  <c r="E104" i="44"/>
  <c r="AU103" i="44"/>
  <c r="AT103" i="44"/>
  <c r="AS103" i="44"/>
  <c r="AR103" i="44"/>
  <c r="AQ103" i="44"/>
  <c r="AP103" i="44"/>
  <c r="R103" i="44" a="1"/>
  <c r="R103" i="44" s="1"/>
  <c r="I103" i="44" s="1"/>
  <c r="P103" i="44" a="1"/>
  <c r="P103" i="44"/>
  <c r="N103" i="44" a="1"/>
  <c r="N103" i="44"/>
  <c r="F103" i="44"/>
  <c r="E103" i="44"/>
  <c r="AU102" i="44"/>
  <c r="AT102" i="44"/>
  <c r="AS102" i="44"/>
  <c r="AR102" i="44"/>
  <c r="AQ102" i="44"/>
  <c r="AP102" i="44"/>
  <c r="R102" i="44" a="1"/>
  <c r="R102" i="44" s="1"/>
  <c r="P102" i="44" a="1"/>
  <c r="P102" i="44" s="1"/>
  <c r="F102" i="44" s="1"/>
  <c r="N102" i="44" a="1"/>
  <c r="N102" i="44"/>
  <c r="B102" i="44" s="1"/>
  <c r="I102" i="44"/>
  <c r="H102" i="44"/>
  <c r="C102" i="44"/>
  <c r="AU101" i="44"/>
  <c r="AT101" i="44"/>
  <c r="AS101" i="44"/>
  <c r="AR101" i="44"/>
  <c r="AQ101" i="44"/>
  <c r="AP101" i="44"/>
  <c r="R101" i="44" a="1"/>
  <c r="R101" i="44"/>
  <c r="P101" i="44" a="1"/>
  <c r="P101" i="44"/>
  <c r="N101" i="44" a="1"/>
  <c r="N101" i="44"/>
  <c r="C101" i="44" s="1"/>
  <c r="I101" i="44"/>
  <c r="H101" i="44"/>
  <c r="F101" i="44"/>
  <c r="E101" i="44"/>
  <c r="AU100" i="44"/>
  <c r="AT100" i="44"/>
  <c r="AS100" i="44"/>
  <c r="AR100" i="44"/>
  <c r="AQ100" i="44"/>
  <c r="AP100" i="44"/>
  <c r="R100" i="44" a="1"/>
  <c r="R100" i="44" s="1"/>
  <c r="P100" i="44" a="1"/>
  <c r="P100" i="44" s="1"/>
  <c r="N100" i="44" a="1"/>
  <c r="N100" i="44" s="1"/>
  <c r="C100" i="44" s="1"/>
  <c r="I100" i="44"/>
  <c r="H100" i="44"/>
  <c r="F100" i="44"/>
  <c r="E100" i="44"/>
  <c r="AU99" i="44"/>
  <c r="AT99" i="44"/>
  <c r="AS99" i="44"/>
  <c r="AR99" i="44"/>
  <c r="AQ99" i="44"/>
  <c r="AP99" i="44"/>
  <c r="R99" i="44" a="1"/>
  <c r="R99" i="44"/>
  <c r="P99" i="44" a="1"/>
  <c r="P99" i="44" s="1"/>
  <c r="F99" i="44" s="1"/>
  <c r="N99" i="44" a="1"/>
  <c r="N99" i="44"/>
  <c r="I99" i="44"/>
  <c r="H99" i="44"/>
  <c r="C99" i="44"/>
  <c r="AU98" i="44"/>
  <c r="AT98" i="44"/>
  <c r="AS98" i="44"/>
  <c r="AR98" i="44"/>
  <c r="AQ98" i="44"/>
  <c r="AP98" i="44"/>
  <c r="R98" i="44" a="1"/>
  <c r="R98" i="44" s="1"/>
  <c r="P98" i="44" a="1"/>
  <c r="P98" i="44" s="1"/>
  <c r="F98" i="44" s="1"/>
  <c r="N98" i="44" a="1"/>
  <c r="N98" i="44"/>
  <c r="B98" i="44" s="1"/>
  <c r="I98" i="44"/>
  <c r="H98" i="44"/>
  <c r="C98" i="44"/>
  <c r="AU97" i="44"/>
  <c r="AT97" i="44"/>
  <c r="AS97" i="44"/>
  <c r="AR97" i="44"/>
  <c r="AQ97" i="44"/>
  <c r="AP97" i="44"/>
  <c r="R97" i="44" a="1"/>
  <c r="R97" i="44"/>
  <c r="P97" i="44" a="1"/>
  <c r="P97" i="44"/>
  <c r="N97" i="44" a="1"/>
  <c r="N97" i="44"/>
  <c r="I97" i="44"/>
  <c r="H97" i="44"/>
  <c r="F97" i="44"/>
  <c r="E97" i="44"/>
  <c r="AU96" i="44"/>
  <c r="AT96" i="44"/>
  <c r="AS96" i="44"/>
  <c r="AR96" i="44"/>
  <c r="AQ96" i="44"/>
  <c r="AP96" i="44"/>
  <c r="R96" i="44" a="1"/>
  <c r="R96" i="44"/>
  <c r="P96" i="44" a="1"/>
  <c r="P96" i="44"/>
  <c r="N96" i="44" a="1"/>
  <c r="N96" i="44"/>
  <c r="C96" i="44" s="1"/>
  <c r="I96" i="44"/>
  <c r="H96" i="44"/>
  <c r="F96" i="44"/>
  <c r="E96" i="44"/>
  <c r="AU95" i="44"/>
  <c r="AT95" i="44"/>
  <c r="AS95" i="44"/>
  <c r="AR95" i="44"/>
  <c r="AQ95" i="44"/>
  <c r="AP95" i="44"/>
  <c r="R95" i="44" a="1"/>
  <c r="R95" i="44"/>
  <c r="P95" i="44" a="1"/>
  <c r="P95" i="44"/>
  <c r="N95" i="44" a="1"/>
  <c r="N95" i="44" s="1"/>
  <c r="C95" i="44" s="1"/>
  <c r="I95" i="44"/>
  <c r="H95" i="44"/>
  <c r="F95" i="44"/>
  <c r="E95" i="44"/>
  <c r="AU94" i="44"/>
  <c r="AT94" i="44"/>
  <c r="AS94" i="44"/>
  <c r="AR94" i="44"/>
  <c r="AQ94" i="44"/>
  <c r="AP94" i="44"/>
  <c r="R94" i="44" a="1"/>
  <c r="R94" i="44"/>
  <c r="P94" i="44" a="1"/>
  <c r="P94" i="44"/>
  <c r="N94" i="44" a="1"/>
  <c r="N94" i="44" s="1"/>
  <c r="C94" i="44" s="1"/>
  <c r="I94" i="44"/>
  <c r="H94" i="44"/>
  <c r="F94" i="44"/>
  <c r="E94" i="44"/>
  <c r="AU93" i="44"/>
  <c r="AT93" i="44"/>
  <c r="AS93" i="44"/>
  <c r="AR93" i="44"/>
  <c r="AQ93" i="44"/>
  <c r="AP93" i="44"/>
  <c r="R93" i="44" a="1"/>
  <c r="R93" i="44"/>
  <c r="P93" i="44" a="1"/>
  <c r="P93" i="44"/>
  <c r="N93" i="44" a="1"/>
  <c r="N93" i="44" s="1"/>
  <c r="C93" i="44" s="1"/>
  <c r="I93" i="44"/>
  <c r="H93" i="44"/>
  <c r="F93" i="44"/>
  <c r="E93" i="44"/>
  <c r="AU92" i="44"/>
  <c r="AT92" i="44"/>
  <c r="AS92" i="44"/>
  <c r="AR92" i="44"/>
  <c r="AQ92" i="44"/>
  <c r="AP92" i="44"/>
  <c r="R92" i="44" a="1"/>
  <c r="R92" i="44" s="1"/>
  <c r="P92" i="44" a="1"/>
  <c r="P92" i="44" s="1"/>
  <c r="F92" i="44" s="1"/>
  <c r="N92" i="44" a="1"/>
  <c r="N92" i="44"/>
  <c r="I92" i="44"/>
  <c r="H92" i="44"/>
  <c r="C92" i="44"/>
  <c r="AU91" i="44"/>
  <c r="AT91" i="44"/>
  <c r="AS91" i="44"/>
  <c r="AR91" i="44"/>
  <c r="AQ91" i="44"/>
  <c r="AP91" i="44"/>
  <c r="R91" i="44" a="1"/>
  <c r="R91" i="44" s="1"/>
  <c r="P91" i="44" a="1"/>
  <c r="P91" i="44" s="1"/>
  <c r="N91" i="44" a="1"/>
  <c r="N91" i="44" s="1"/>
  <c r="C91" i="44" s="1"/>
  <c r="I91" i="44"/>
  <c r="H91" i="44"/>
  <c r="F91" i="44"/>
  <c r="E91" i="44"/>
  <c r="AU90" i="44"/>
  <c r="AT90" i="44"/>
  <c r="AS90" i="44"/>
  <c r="AR90" i="44"/>
  <c r="AQ90" i="44"/>
  <c r="AP90" i="44"/>
  <c r="R90" i="44" a="1"/>
  <c r="R90" i="44"/>
  <c r="P90" i="44" a="1"/>
  <c r="P90" i="44"/>
  <c r="N90" i="44" a="1"/>
  <c r="N90" i="44"/>
  <c r="C90" i="44" s="1"/>
  <c r="I90" i="44"/>
  <c r="H90" i="44"/>
  <c r="F90" i="44"/>
  <c r="E90" i="44"/>
  <c r="AU89" i="44"/>
  <c r="AT89" i="44"/>
  <c r="AS89" i="44"/>
  <c r="AR89" i="44"/>
  <c r="AQ89" i="44"/>
  <c r="AP89" i="44"/>
  <c r="R89" i="44" a="1"/>
  <c r="R89" i="44" s="1"/>
  <c r="P89" i="44" a="1"/>
  <c r="P89" i="44" s="1"/>
  <c r="N89" i="44" a="1"/>
  <c r="N89" i="44" s="1"/>
  <c r="C89" i="44" s="1"/>
  <c r="I89" i="44"/>
  <c r="H89" i="44"/>
  <c r="F89" i="44"/>
  <c r="E89" i="44"/>
  <c r="AU88" i="44"/>
  <c r="AT88" i="44"/>
  <c r="AS88" i="44"/>
  <c r="AR88" i="44"/>
  <c r="AQ88" i="44"/>
  <c r="AP88" i="44"/>
  <c r="R88" i="44" a="1"/>
  <c r="R88" i="44"/>
  <c r="P88" i="44" a="1"/>
  <c r="P88" i="44"/>
  <c r="N88" i="44" a="1"/>
  <c r="N88" i="44"/>
  <c r="I88" i="44"/>
  <c r="H88" i="44"/>
  <c r="F88" i="44"/>
  <c r="E88" i="44"/>
  <c r="AU87" i="44"/>
  <c r="AT87" i="44"/>
  <c r="AS87" i="44"/>
  <c r="AR87" i="44"/>
  <c r="AQ87" i="44"/>
  <c r="AP87" i="44"/>
  <c r="R87" i="44" a="1"/>
  <c r="R87" i="44"/>
  <c r="P87" i="44" a="1"/>
  <c r="P87" i="44"/>
  <c r="N87" i="44" a="1"/>
  <c r="N87" i="44"/>
  <c r="I87" i="44"/>
  <c r="H87" i="44"/>
  <c r="F87" i="44"/>
  <c r="E87" i="44"/>
  <c r="AU86" i="44"/>
  <c r="AT86" i="44"/>
  <c r="AS86" i="44"/>
  <c r="AR86" i="44"/>
  <c r="AQ86" i="44"/>
  <c r="AP86" i="44"/>
  <c r="R86" i="44" a="1"/>
  <c r="R86" i="44" s="1"/>
  <c r="I86" i="44" s="1"/>
  <c r="P86" i="44" a="1"/>
  <c r="P86" i="44"/>
  <c r="N86" i="44" a="1"/>
  <c r="N86" i="44"/>
  <c r="C86" i="44"/>
  <c r="AU85" i="44"/>
  <c r="AT85" i="44"/>
  <c r="AS85" i="44"/>
  <c r="AR85" i="44"/>
  <c r="AQ85" i="44"/>
  <c r="AP85" i="44"/>
  <c r="R85" i="44" a="1"/>
  <c r="R85" i="44" s="1"/>
  <c r="P85" i="44" a="1"/>
  <c r="P85" i="44" s="1"/>
  <c r="N85" i="44" a="1"/>
  <c r="N85" i="44" s="1"/>
  <c r="C85" i="44" s="1"/>
  <c r="I85" i="44"/>
  <c r="H85" i="44"/>
  <c r="F85" i="44"/>
  <c r="E85" i="44"/>
  <c r="AU84" i="44"/>
  <c r="AT84" i="44"/>
  <c r="AS84" i="44"/>
  <c r="AR84" i="44"/>
  <c r="AQ84" i="44"/>
  <c r="AP84" i="44"/>
  <c r="R84" i="44" a="1"/>
  <c r="R84" i="44"/>
  <c r="P84" i="44" a="1"/>
  <c r="P84" i="44"/>
  <c r="N84" i="44" a="1"/>
  <c r="N84" i="44"/>
  <c r="C84" i="44" s="1"/>
  <c r="I84" i="44"/>
  <c r="H84" i="44"/>
  <c r="F84" i="44"/>
  <c r="E84" i="44"/>
  <c r="AU83" i="44"/>
  <c r="AT83" i="44"/>
  <c r="AS83" i="44"/>
  <c r="AR83" i="44"/>
  <c r="AQ83" i="44"/>
  <c r="AP83" i="44"/>
  <c r="R83" i="44" a="1"/>
  <c r="R83" i="44"/>
  <c r="P83" i="44" a="1"/>
  <c r="P83" i="44" s="1"/>
  <c r="N83" i="44" a="1"/>
  <c r="N83" i="44" s="1"/>
  <c r="C83" i="44" s="1"/>
  <c r="I83" i="44"/>
  <c r="H83" i="44"/>
  <c r="F83" i="44"/>
  <c r="E83" i="44"/>
  <c r="AU82" i="44"/>
  <c r="AT82" i="44"/>
  <c r="AS82" i="44"/>
  <c r="AR82" i="44"/>
  <c r="AQ82" i="44"/>
  <c r="AP82" i="44"/>
  <c r="R82" i="44" a="1"/>
  <c r="R82" i="44"/>
  <c r="P82" i="44" a="1"/>
  <c r="P82" i="44" s="1"/>
  <c r="F82" i="44" s="1"/>
  <c r="N82" i="44" a="1"/>
  <c r="N82" i="44"/>
  <c r="I82" i="44"/>
  <c r="H82" i="44"/>
  <c r="C82" i="44"/>
  <c r="AU81" i="44"/>
  <c r="AT81" i="44"/>
  <c r="AS81" i="44"/>
  <c r="AR81" i="44"/>
  <c r="AQ81" i="44"/>
  <c r="AP81" i="44"/>
  <c r="R81" i="44" a="1"/>
  <c r="R81" i="44"/>
  <c r="P81" i="44" a="1"/>
  <c r="P81" i="44" s="1"/>
  <c r="N81" i="44" a="1"/>
  <c r="N81" i="44" s="1"/>
  <c r="C81" i="44" s="1"/>
  <c r="I81" i="44"/>
  <c r="H81" i="44"/>
  <c r="F81" i="44"/>
  <c r="E81" i="44"/>
  <c r="AU80" i="44"/>
  <c r="AT80" i="44"/>
  <c r="AS80" i="44"/>
  <c r="AR80" i="44"/>
  <c r="AQ80" i="44"/>
  <c r="AP80" i="44"/>
  <c r="R80" i="44" a="1"/>
  <c r="R80" i="44"/>
  <c r="P80" i="44" a="1"/>
  <c r="P80" i="44"/>
  <c r="N80" i="44" a="1"/>
  <c r="N80" i="44"/>
  <c r="C80" i="44" s="1"/>
  <c r="I80" i="44"/>
  <c r="H80" i="44"/>
  <c r="F80" i="44"/>
  <c r="E80" i="44"/>
  <c r="AU79" i="44"/>
  <c r="AT79" i="44"/>
  <c r="AS79" i="44"/>
  <c r="AR79" i="44"/>
  <c r="AQ79" i="44"/>
  <c r="AP79" i="44"/>
  <c r="R79" i="44" a="1"/>
  <c r="R79" i="44"/>
  <c r="P79" i="44" a="1"/>
  <c r="P79" i="44" s="1"/>
  <c r="N79" i="44" a="1"/>
  <c r="N79" i="44" s="1"/>
  <c r="C79" i="44" s="1"/>
  <c r="I79" i="44"/>
  <c r="H79" i="44"/>
  <c r="F79" i="44"/>
  <c r="E79" i="44"/>
  <c r="AU78" i="44"/>
  <c r="AT78" i="44"/>
  <c r="AS78" i="44"/>
  <c r="AR78" i="44"/>
  <c r="AQ78" i="44"/>
  <c r="AP78" i="44"/>
  <c r="R78" i="44" a="1"/>
  <c r="R78" i="44" s="1"/>
  <c r="P78" i="44" a="1"/>
  <c r="P78" i="44" s="1"/>
  <c r="F78" i="44" s="1"/>
  <c r="N78" i="44" a="1"/>
  <c r="N78" i="44"/>
  <c r="B78" i="44" s="1"/>
  <c r="I78" i="44"/>
  <c r="H78" i="44"/>
  <c r="C78" i="44"/>
  <c r="AU77" i="44"/>
  <c r="AT77" i="44"/>
  <c r="AS77" i="44"/>
  <c r="AR77" i="44"/>
  <c r="AQ77" i="44"/>
  <c r="AP77" i="44"/>
  <c r="R77" i="44" a="1"/>
  <c r="R77" i="44"/>
  <c r="P77" i="44" a="1"/>
  <c r="P77" i="44"/>
  <c r="N77" i="44" a="1"/>
  <c r="N77" i="44"/>
  <c r="C77" i="44" s="1"/>
  <c r="I77" i="44"/>
  <c r="H77" i="44"/>
  <c r="F77" i="44"/>
  <c r="E77" i="44"/>
  <c r="AU76" i="44"/>
  <c r="AT76" i="44"/>
  <c r="AS76" i="44"/>
  <c r="AR76" i="44"/>
  <c r="AQ76" i="44"/>
  <c r="AP76" i="44"/>
  <c r="R76" i="44" a="1"/>
  <c r="R76" i="44" s="1"/>
  <c r="P76" i="44" a="1"/>
  <c r="P76" i="44" s="1"/>
  <c r="N76" i="44" a="1"/>
  <c r="N76" i="44" s="1"/>
  <c r="C76" i="44" s="1"/>
  <c r="I76" i="44"/>
  <c r="H76" i="44"/>
  <c r="F76" i="44"/>
  <c r="E76" i="44"/>
  <c r="AU75" i="44"/>
  <c r="AT75" i="44"/>
  <c r="AS75" i="44"/>
  <c r="AR75" i="44"/>
  <c r="AQ75" i="44"/>
  <c r="AP75" i="44"/>
  <c r="R75" i="44" a="1"/>
  <c r="R75" i="44"/>
  <c r="P75" i="44" a="1"/>
  <c r="P75" i="44"/>
  <c r="N75" i="44" a="1"/>
  <c r="N75" i="44"/>
  <c r="C75" i="44" s="1"/>
  <c r="I75" i="44"/>
  <c r="H75" i="44"/>
  <c r="F75" i="44"/>
  <c r="E75" i="44"/>
  <c r="AU74" i="44"/>
  <c r="AT74" i="44"/>
  <c r="AS74" i="44"/>
  <c r="AR74" i="44"/>
  <c r="AQ74" i="44"/>
  <c r="AP74" i="44"/>
  <c r="R74" i="44" a="1"/>
  <c r="R74" i="44" s="1"/>
  <c r="P74" i="44" a="1"/>
  <c r="P74" i="44" s="1"/>
  <c r="F74" i="44" s="1"/>
  <c r="N74" i="44" a="1"/>
  <c r="N74" i="44"/>
  <c r="B74" i="44" s="1"/>
  <c r="I74" i="44"/>
  <c r="H74" i="44"/>
  <c r="C74" i="44"/>
  <c r="AU73" i="44"/>
  <c r="AT73" i="44"/>
  <c r="AS73" i="44"/>
  <c r="AR73" i="44"/>
  <c r="AQ73" i="44"/>
  <c r="AP73" i="44"/>
  <c r="R73" i="44" a="1"/>
  <c r="R73" i="44"/>
  <c r="P73" i="44" a="1"/>
  <c r="P73" i="44"/>
  <c r="F73" i="44" s="1"/>
  <c r="N73" i="44" a="1"/>
  <c r="N73" i="44" s="1"/>
  <c r="B73" i="44" s="1"/>
  <c r="I73" i="44"/>
  <c r="H73" i="44"/>
  <c r="C73" i="44"/>
  <c r="AU72" i="44"/>
  <c r="AT72" i="44"/>
  <c r="AS72" i="44"/>
  <c r="AR72" i="44"/>
  <c r="AQ72" i="44"/>
  <c r="AP72" i="44"/>
  <c r="R72" i="44" a="1"/>
  <c r="R72" i="44" s="1"/>
  <c r="I72" i="44" s="1"/>
  <c r="P72" i="44" a="1"/>
  <c r="P72" i="44"/>
  <c r="N72" i="44" a="1"/>
  <c r="N72" i="44"/>
  <c r="F72" i="44" s="1"/>
  <c r="C72" i="44"/>
  <c r="AU71" i="44"/>
  <c r="AT71" i="44"/>
  <c r="AS71" i="44"/>
  <c r="AR71" i="44"/>
  <c r="AQ71" i="44"/>
  <c r="AP71" i="44"/>
  <c r="R71" i="44" a="1"/>
  <c r="R71" i="44"/>
  <c r="P71" i="44" a="1"/>
  <c r="P71" i="44"/>
  <c r="N71" i="44" a="1"/>
  <c r="N71" i="44"/>
  <c r="C71" i="44" s="1"/>
  <c r="I71" i="44"/>
  <c r="H71" i="44"/>
  <c r="F71" i="44"/>
  <c r="E71" i="44"/>
  <c r="AU70" i="44"/>
  <c r="AT70" i="44"/>
  <c r="AS70" i="44"/>
  <c r="AR70" i="44"/>
  <c r="AQ70" i="44"/>
  <c r="AP70" i="44"/>
  <c r="R70" i="44" a="1"/>
  <c r="R70" i="44"/>
  <c r="P70" i="44" a="1"/>
  <c r="P70" i="44" s="1"/>
  <c r="N70" i="44" a="1"/>
  <c r="N70" i="44" s="1"/>
  <c r="C70" i="44" s="1"/>
  <c r="I70" i="44"/>
  <c r="H70" i="44"/>
  <c r="F70" i="44"/>
  <c r="E70" i="44"/>
  <c r="AU69" i="44"/>
  <c r="AT69" i="44"/>
  <c r="AS69" i="44"/>
  <c r="AR69" i="44"/>
  <c r="AQ69" i="44"/>
  <c r="AP69" i="44"/>
  <c r="R69" i="44" a="1"/>
  <c r="R69" i="44" s="1"/>
  <c r="P69" i="44" a="1"/>
  <c r="P69" i="44" s="1"/>
  <c r="F69" i="44" s="1"/>
  <c r="N69" i="44" a="1"/>
  <c r="N69" i="44"/>
  <c r="I69" i="44"/>
  <c r="H69" i="44"/>
  <c r="C69" i="44"/>
  <c r="AU68" i="44"/>
  <c r="AT68" i="44"/>
  <c r="AS68" i="44"/>
  <c r="AR68" i="44"/>
  <c r="AQ68" i="44"/>
  <c r="AP68" i="44"/>
  <c r="R68" i="44" a="1"/>
  <c r="R68" i="44" s="1"/>
  <c r="P68" i="44" a="1"/>
  <c r="P68" i="44" s="1"/>
  <c r="F68" i="44" s="1"/>
  <c r="N68" i="44" a="1"/>
  <c r="N68" i="44"/>
  <c r="I68" i="44"/>
  <c r="H68" i="44"/>
  <c r="C68" i="44"/>
  <c r="AU67" i="44"/>
  <c r="AT67" i="44"/>
  <c r="AS67" i="44"/>
  <c r="AR67" i="44"/>
  <c r="AQ67" i="44"/>
  <c r="AP67" i="44"/>
  <c r="R67" i="44" a="1"/>
  <c r="R67" i="44" s="1"/>
  <c r="P67" i="44" a="1"/>
  <c r="P67" i="44" s="1"/>
  <c r="N67" i="44" a="1"/>
  <c r="N67" i="44" s="1"/>
  <c r="I67" i="44"/>
  <c r="H67" i="44"/>
  <c r="F67" i="44"/>
  <c r="E67" i="44"/>
  <c r="AU66" i="44"/>
  <c r="AT66" i="44"/>
  <c r="AS66" i="44"/>
  <c r="AR66" i="44"/>
  <c r="AQ66" i="44"/>
  <c r="AP66" i="44"/>
  <c r="R66" i="44" a="1"/>
  <c r="R66" i="44"/>
  <c r="P66" i="44" a="1"/>
  <c r="P66" i="44"/>
  <c r="N66" i="44" a="1"/>
  <c r="N66" i="44"/>
  <c r="C66" i="44" s="1"/>
  <c r="I66" i="44"/>
  <c r="H66" i="44"/>
  <c r="F66" i="44"/>
  <c r="E66" i="44"/>
  <c r="AU65" i="44"/>
  <c r="AT65" i="44"/>
  <c r="AS65" i="44"/>
  <c r="AR65" i="44"/>
  <c r="AQ65" i="44"/>
  <c r="AP65" i="44"/>
  <c r="R65" i="44" a="1"/>
  <c r="R65" i="44" s="1"/>
  <c r="P65" i="44" a="1"/>
  <c r="P65" i="44" s="1"/>
  <c r="F65" i="44" s="1"/>
  <c r="N65" i="44" a="1"/>
  <c r="N65" i="44"/>
  <c r="B65" i="44" s="1"/>
  <c r="I65" i="44"/>
  <c r="H65" i="44"/>
  <c r="C65" i="44"/>
  <c r="AU64" i="44"/>
  <c r="AT64" i="44"/>
  <c r="AS64" i="44"/>
  <c r="AR64" i="44"/>
  <c r="AQ64" i="44"/>
  <c r="AP64" i="44"/>
  <c r="R64" i="44" a="1"/>
  <c r="R64" i="44"/>
  <c r="I64" i="44" s="1"/>
  <c r="P64" i="44" a="1"/>
  <c r="P64" i="44" s="1"/>
  <c r="N64" i="44" a="1"/>
  <c r="N64" i="44" s="1"/>
  <c r="B64" i="44" s="1"/>
  <c r="C64" i="44"/>
  <c r="AU63" i="44"/>
  <c r="AT63" i="44"/>
  <c r="AS63" i="44"/>
  <c r="AR63" i="44"/>
  <c r="AQ63" i="44"/>
  <c r="AP63" i="44"/>
  <c r="R63" i="44" a="1"/>
  <c r="R63" i="44" s="1"/>
  <c r="P63" i="44" a="1"/>
  <c r="P63" i="44" s="1"/>
  <c r="F63" i="44" s="1"/>
  <c r="N63" i="44" a="1"/>
  <c r="N63" i="44"/>
  <c r="B63" i="44" s="1"/>
  <c r="I63" i="44"/>
  <c r="H63" i="44"/>
  <c r="C63" i="44"/>
  <c r="AU62" i="44"/>
  <c r="AT62" i="44"/>
  <c r="AS62" i="44"/>
  <c r="AR62" i="44"/>
  <c r="AQ62" i="44"/>
  <c r="AP62" i="44"/>
  <c r="R62" i="44" a="1"/>
  <c r="R62" i="44"/>
  <c r="P62" i="44" a="1"/>
  <c r="P62" i="44"/>
  <c r="N62" i="44" a="1"/>
  <c r="N62" i="44"/>
  <c r="C62" i="44" s="1"/>
  <c r="I62" i="44"/>
  <c r="H62" i="44"/>
  <c r="F62" i="44"/>
  <c r="E62" i="44"/>
  <c r="AU61" i="44"/>
  <c r="AT61" i="44"/>
  <c r="AS61" i="44"/>
  <c r="AR61" i="44"/>
  <c r="AQ61" i="44"/>
  <c r="AP61" i="44"/>
  <c r="R61" i="44" a="1"/>
  <c r="R61" i="44" s="1"/>
  <c r="P61" i="44" a="1"/>
  <c r="P61" i="44" s="1"/>
  <c r="N61" i="44" a="1"/>
  <c r="N61" i="44" s="1"/>
  <c r="I61" i="44"/>
  <c r="H61" i="44"/>
  <c r="F61" i="44"/>
  <c r="E61" i="44"/>
  <c r="AU60" i="44"/>
  <c r="AT60" i="44"/>
  <c r="AS60" i="44"/>
  <c r="AR60" i="44"/>
  <c r="AQ60" i="44"/>
  <c r="AP60" i="44"/>
  <c r="R60" i="44" a="1"/>
  <c r="R60" i="44"/>
  <c r="P60" i="44" a="1"/>
  <c r="P60" i="44"/>
  <c r="N60" i="44" a="1"/>
  <c r="N60" i="44"/>
  <c r="I60" i="44"/>
  <c r="H60" i="44"/>
  <c r="F60" i="44"/>
  <c r="E60" i="44"/>
  <c r="AU59" i="44"/>
  <c r="AT59" i="44"/>
  <c r="AS59" i="44"/>
  <c r="AR59" i="44"/>
  <c r="AQ59" i="44"/>
  <c r="AP59" i="44"/>
  <c r="R59" i="44" a="1"/>
  <c r="R59" i="44"/>
  <c r="P59" i="44" a="1"/>
  <c r="P59" i="44"/>
  <c r="F59" i="44" s="1"/>
  <c r="N59" i="44" a="1"/>
  <c r="N59" i="44" s="1"/>
  <c r="B59" i="44" s="1"/>
  <c r="I59" i="44"/>
  <c r="H59" i="44"/>
  <c r="C59" i="44"/>
  <c r="AU58" i="44"/>
  <c r="AT58" i="44"/>
  <c r="AS58" i="44"/>
  <c r="AR58" i="44"/>
  <c r="AQ58" i="44"/>
  <c r="AP58" i="44"/>
  <c r="R58" i="44" a="1"/>
  <c r="R58" i="44" s="1"/>
  <c r="P58" i="44" a="1"/>
  <c r="P58" i="44" s="1"/>
  <c r="N58" i="44" a="1"/>
  <c r="N58" i="44" s="1"/>
  <c r="I58" i="44"/>
  <c r="H58" i="44"/>
  <c r="F58" i="44"/>
  <c r="E58" i="44"/>
  <c r="AU57" i="44"/>
  <c r="AT57" i="44"/>
  <c r="AS57" i="44"/>
  <c r="AR57" i="44"/>
  <c r="AQ57" i="44"/>
  <c r="AP57" i="44"/>
  <c r="R57" i="44" a="1"/>
  <c r="R57" i="44"/>
  <c r="P57" i="44" a="1"/>
  <c r="P57" i="44"/>
  <c r="N57" i="44" a="1"/>
  <c r="N57" i="44"/>
  <c r="C57" i="44" s="1"/>
  <c r="I57" i="44"/>
  <c r="H57" i="44"/>
  <c r="F57" i="44"/>
  <c r="E57" i="44"/>
  <c r="AU56" i="44"/>
  <c r="AT56" i="44"/>
  <c r="AS56" i="44"/>
  <c r="AR56" i="44"/>
  <c r="AQ56" i="44"/>
  <c r="AP56" i="44"/>
  <c r="R56" i="44" a="1"/>
  <c r="R56" i="44" s="1"/>
  <c r="P56" i="44" a="1"/>
  <c r="P56" i="44" s="1"/>
  <c r="F56" i="44" s="1"/>
  <c r="N56" i="44" a="1"/>
  <c r="N56" i="44"/>
  <c r="B56" i="44" s="1"/>
  <c r="I56" i="44"/>
  <c r="H56" i="44"/>
  <c r="C56" i="44"/>
  <c r="AU55" i="44"/>
  <c r="AT55" i="44"/>
  <c r="AS55" i="44"/>
  <c r="AR55" i="44"/>
  <c r="AQ55" i="44"/>
  <c r="AP55" i="44"/>
  <c r="R55" i="44" a="1"/>
  <c r="R55" i="44"/>
  <c r="P55" i="44" a="1"/>
  <c r="P55" i="44"/>
  <c r="N55" i="44" a="1"/>
  <c r="N55" i="44"/>
  <c r="C55" i="44" s="1"/>
  <c r="I55" i="44"/>
  <c r="H55" i="44"/>
  <c r="F55" i="44"/>
  <c r="E55" i="44"/>
  <c r="AU54" i="44"/>
  <c r="AT54" i="44"/>
  <c r="AS54" i="44"/>
  <c r="AR54" i="44"/>
  <c r="AQ54" i="44"/>
  <c r="AP54" i="44"/>
  <c r="R54" i="44" a="1"/>
  <c r="R54" i="44" s="1"/>
  <c r="P54" i="44" a="1"/>
  <c r="P54" i="44" s="1"/>
  <c r="N54" i="44" a="1"/>
  <c r="N54" i="44" s="1"/>
  <c r="C54" i="44" s="1"/>
  <c r="I54" i="44"/>
  <c r="H54" i="44"/>
  <c r="F54" i="44"/>
  <c r="E54" i="44"/>
  <c r="AU53" i="44"/>
  <c r="AT53" i="44"/>
  <c r="AS53" i="44"/>
  <c r="AR53" i="44"/>
  <c r="AQ53" i="44"/>
  <c r="AP53" i="44"/>
  <c r="R53" i="44" a="1"/>
  <c r="R53" i="44"/>
  <c r="P53" i="44" a="1"/>
  <c r="P53" i="44"/>
  <c r="N53" i="44" a="1"/>
  <c r="N53" i="44"/>
  <c r="C53" i="44" s="1"/>
  <c r="I53" i="44"/>
  <c r="H53" i="44"/>
  <c r="F53" i="44"/>
  <c r="E53" i="44"/>
  <c r="AU52" i="44"/>
  <c r="AT52" i="44"/>
  <c r="AS52" i="44"/>
  <c r="AR52" i="44"/>
  <c r="AQ52" i="44"/>
  <c r="AP52" i="44"/>
  <c r="R52" i="44" a="1"/>
  <c r="R52" i="44" s="1"/>
  <c r="P52" i="44" a="1"/>
  <c r="P52" i="44" s="1"/>
  <c r="N52" i="44" a="1"/>
  <c r="N52" i="44" s="1"/>
  <c r="I52" i="44"/>
  <c r="H52" i="44"/>
  <c r="F52" i="44"/>
  <c r="E52" i="44"/>
  <c r="AU51" i="44"/>
  <c r="AT51" i="44"/>
  <c r="AS51" i="44"/>
  <c r="AR51" i="44"/>
  <c r="AQ51" i="44"/>
  <c r="AP51" i="44"/>
  <c r="R51" i="44" a="1"/>
  <c r="R51" i="44" s="1"/>
  <c r="P51" i="44" a="1"/>
  <c r="P51" i="44" s="1"/>
  <c r="F51" i="44" s="1"/>
  <c r="N51" i="44" a="1"/>
  <c r="N51" i="44"/>
  <c r="I51" i="44"/>
  <c r="H51" i="44"/>
  <c r="C51" i="44"/>
  <c r="AU50" i="44"/>
  <c r="AT50" i="44"/>
  <c r="AS50" i="44"/>
  <c r="AR50" i="44"/>
  <c r="AQ50" i="44"/>
  <c r="AP50" i="44"/>
  <c r="R50" i="44" a="1"/>
  <c r="R50" i="44" s="1"/>
  <c r="P50" i="44" a="1"/>
  <c r="P50" i="44" s="1"/>
  <c r="N50" i="44" a="1"/>
  <c r="N50" i="44" s="1"/>
  <c r="I50" i="44"/>
  <c r="H50" i="44"/>
  <c r="F50" i="44"/>
  <c r="E50" i="44"/>
  <c r="AU49" i="44"/>
  <c r="AT49" i="44"/>
  <c r="AS49" i="44"/>
  <c r="AR49" i="44"/>
  <c r="AQ49" i="44"/>
  <c r="AP49" i="44"/>
  <c r="R49" i="44" a="1"/>
  <c r="R49" i="44"/>
  <c r="P49" i="44" a="1"/>
  <c r="P49" i="44"/>
  <c r="N49" i="44" a="1"/>
  <c r="N49" i="44"/>
  <c r="C49" i="44" s="1"/>
  <c r="I49" i="44"/>
  <c r="H49" i="44"/>
  <c r="F49" i="44"/>
  <c r="E49" i="44"/>
  <c r="AU48" i="44"/>
  <c r="AT48" i="44"/>
  <c r="AS48" i="44"/>
  <c r="AR48" i="44"/>
  <c r="AQ48" i="44"/>
  <c r="AP48" i="44"/>
  <c r="R48" i="44" a="1"/>
  <c r="R48" i="44" s="1"/>
  <c r="P48" i="44" a="1"/>
  <c r="P48" i="44" s="1"/>
  <c r="F48" i="44" s="1"/>
  <c r="N48" i="44" a="1"/>
  <c r="N48" i="44"/>
  <c r="B48" i="44" s="1"/>
  <c r="I48" i="44"/>
  <c r="H48" i="44"/>
  <c r="C48" i="44"/>
  <c r="AU47" i="44"/>
  <c r="AT47" i="44"/>
  <c r="AS47" i="44"/>
  <c r="AR47" i="44"/>
  <c r="AQ47" i="44"/>
  <c r="AP47" i="44"/>
  <c r="R47" i="44" a="1"/>
  <c r="R47" i="44"/>
  <c r="P47" i="44" a="1"/>
  <c r="P47" i="44"/>
  <c r="F47" i="44" s="1"/>
  <c r="N47" i="44" a="1"/>
  <c r="N47" i="44" s="1"/>
  <c r="I47" i="44"/>
  <c r="H47" i="44"/>
  <c r="C47" i="44"/>
  <c r="AU46" i="44"/>
  <c r="AT46" i="44"/>
  <c r="AS46" i="44"/>
  <c r="AR46" i="44"/>
  <c r="AQ46" i="44"/>
  <c r="AP46" i="44"/>
  <c r="R46" i="44" a="1"/>
  <c r="R46" i="44" s="1"/>
  <c r="P46" i="44" a="1"/>
  <c r="P46" i="44" s="1"/>
  <c r="N46" i="44" a="1"/>
  <c r="N46" i="44" s="1"/>
  <c r="C46" i="44" s="1"/>
  <c r="I46" i="44"/>
  <c r="H46" i="44"/>
  <c r="F46" i="44"/>
  <c r="E46" i="44"/>
  <c r="AU45" i="44"/>
  <c r="AT45" i="44"/>
  <c r="AS45" i="44"/>
  <c r="AR45" i="44"/>
  <c r="AQ45" i="44"/>
  <c r="AP45" i="44"/>
  <c r="R45" i="44" a="1"/>
  <c r="R45" i="44" s="1"/>
  <c r="P45" i="44" a="1"/>
  <c r="P45" i="44" s="1"/>
  <c r="N45" i="44" a="1"/>
  <c r="N45" i="44" s="1"/>
  <c r="I45" i="44"/>
  <c r="H45" i="44"/>
  <c r="F45" i="44"/>
  <c r="E45" i="44"/>
  <c r="AU44" i="44"/>
  <c r="AT44" i="44"/>
  <c r="AS44" i="44"/>
  <c r="AR44" i="44"/>
  <c r="AQ44" i="44"/>
  <c r="AP44" i="44"/>
  <c r="R44" i="44" a="1"/>
  <c r="R44" i="44"/>
  <c r="I44" i="44" s="1"/>
  <c r="P44" i="44" a="1"/>
  <c r="P44" i="44" s="1"/>
  <c r="N44" i="44" a="1"/>
  <c r="N44" i="44" s="1"/>
  <c r="C44" i="44" s="1"/>
  <c r="F44" i="44"/>
  <c r="E44" i="44"/>
  <c r="AU43" i="44"/>
  <c r="AT43" i="44"/>
  <c r="AS43" i="44"/>
  <c r="AR43" i="44"/>
  <c r="AQ43" i="44"/>
  <c r="AP43" i="44"/>
  <c r="R43" i="44" a="1"/>
  <c r="R43" i="44"/>
  <c r="P43" i="44" a="1"/>
  <c r="P43" i="44"/>
  <c r="N43" i="44" a="1"/>
  <c r="N43" i="44"/>
  <c r="C43" i="44" s="1"/>
  <c r="I43" i="44"/>
  <c r="H43" i="44"/>
  <c r="F43" i="44"/>
  <c r="E43" i="44"/>
  <c r="AU42" i="44"/>
  <c r="AT42" i="44"/>
  <c r="AS42" i="44"/>
  <c r="AR42" i="44"/>
  <c r="AQ42" i="44"/>
  <c r="AP42" i="44"/>
  <c r="R42" i="44" a="1"/>
  <c r="R42" i="44" s="1"/>
  <c r="P42" i="44" a="1"/>
  <c r="P42" i="44" s="1"/>
  <c r="N42" i="44" a="1"/>
  <c r="N42" i="44" s="1"/>
  <c r="I42" i="44"/>
  <c r="H42" i="44"/>
  <c r="F42" i="44"/>
  <c r="E42" i="44"/>
  <c r="AU41" i="44"/>
  <c r="AT41" i="44"/>
  <c r="AS41" i="44"/>
  <c r="AR41" i="44"/>
  <c r="AQ41" i="44"/>
  <c r="AP41" i="44"/>
  <c r="R41" i="44" a="1"/>
  <c r="R41" i="44"/>
  <c r="I41" i="44" s="1"/>
  <c r="P41" i="44" a="1"/>
  <c r="P41" i="44" s="1"/>
  <c r="N41" i="44" a="1"/>
  <c r="N41" i="44" s="1"/>
  <c r="C41" i="44" s="1"/>
  <c r="F41" i="44"/>
  <c r="E41" i="44"/>
  <c r="AU40" i="44"/>
  <c r="AT40" i="44"/>
  <c r="AS40" i="44"/>
  <c r="AR40" i="44"/>
  <c r="AQ40" i="44"/>
  <c r="AP40" i="44"/>
  <c r="R40" i="44" a="1"/>
  <c r="R40" i="44"/>
  <c r="P40" i="44" a="1"/>
  <c r="P40" i="44"/>
  <c r="N40" i="44" a="1"/>
  <c r="N40" i="44"/>
  <c r="I40" i="44"/>
  <c r="H40" i="44"/>
  <c r="F40" i="44"/>
  <c r="E40" i="44"/>
  <c r="AU39" i="44"/>
  <c r="AT39" i="44"/>
  <c r="AS39" i="44"/>
  <c r="AR39" i="44"/>
  <c r="AQ39" i="44"/>
  <c r="AP39" i="44"/>
  <c r="R39" i="44" a="1"/>
  <c r="R39" i="44"/>
  <c r="P39" i="44" a="1"/>
  <c r="P39" i="44"/>
  <c r="N39" i="44" a="1"/>
  <c r="N39" i="44"/>
  <c r="C39" i="44" s="1"/>
  <c r="I39" i="44"/>
  <c r="H39" i="44"/>
  <c r="F39" i="44"/>
  <c r="E39" i="44"/>
  <c r="AU38" i="44"/>
  <c r="AT38" i="44"/>
  <c r="AS38" i="44"/>
  <c r="AR38" i="44"/>
  <c r="AQ38" i="44"/>
  <c r="AP38" i="44"/>
  <c r="R38" i="44" a="1"/>
  <c r="R38" i="44" s="1"/>
  <c r="P38" i="44" a="1"/>
  <c r="P38" i="44" s="1"/>
  <c r="N38" i="44" a="1"/>
  <c r="N38" i="44" s="1"/>
  <c r="I38" i="44"/>
  <c r="H38" i="44"/>
  <c r="F38" i="44"/>
  <c r="E38" i="44"/>
  <c r="AU37" i="44"/>
  <c r="AT37" i="44"/>
  <c r="AS37" i="44"/>
  <c r="AR37" i="44"/>
  <c r="AQ37" i="44"/>
  <c r="AP37" i="44"/>
  <c r="R37" i="44" a="1"/>
  <c r="R37" i="44" s="1"/>
  <c r="P37" i="44" a="1"/>
  <c r="P37" i="44" s="1"/>
  <c r="F37" i="44" s="1"/>
  <c r="N37" i="44" a="1"/>
  <c r="N37" i="44"/>
  <c r="B37" i="44" s="1"/>
  <c r="I37" i="44"/>
  <c r="H37" i="44"/>
  <c r="C37" i="44"/>
  <c r="AU36" i="44"/>
  <c r="AT36" i="44"/>
  <c r="AS36" i="44"/>
  <c r="AR36" i="44"/>
  <c r="AQ36" i="44"/>
  <c r="AP36" i="44"/>
  <c r="R36" i="44" a="1"/>
  <c r="R36" i="44"/>
  <c r="P36" i="44" a="1"/>
  <c r="P36" i="44"/>
  <c r="F36" i="44" s="1"/>
  <c r="N36" i="44" a="1"/>
  <c r="N36" i="44" s="1"/>
  <c r="B36" i="44" s="1"/>
  <c r="I36" i="44"/>
  <c r="H36" i="44"/>
  <c r="C36" i="44"/>
  <c r="AU35" i="44"/>
  <c r="AT35" i="44"/>
  <c r="AS35" i="44"/>
  <c r="AR35" i="44"/>
  <c r="AQ35" i="44"/>
  <c r="AP35" i="44"/>
  <c r="R35" i="44" a="1"/>
  <c r="R35" i="44"/>
  <c r="P35" i="44" a="1"/>
  <c r="P35" i="44"/>
  <c r="N35" i="44" a="1"/>
  <c r="N35" i="44"/>
  <c r="I35" i="44"/>
  <c r="H35" i="44"/>
  <c r="F35" i="44"/>
  <c r="E35" i="44"/>
  <c r="AU34" i="44"/>
  <c r="AT34" i="44"/>
  <c r="AS34" i="44"/>
  <c r="AR34" i="44"/>
  <c r="AQ34" i="44"/>
  <c r="AP34" i="44"/>
  <c r="R34" i="44" a="1"/>
  <c r="R34" i="44"/>
  <c r="P34" i="44" a="1"/>
  <c r="P34" i="44"/>
  <c r="F34" i="44" s="1"/>
  <c r="N34" i="44" a="1"/>
  <c r="N34" i="44" s="1"/>
  <c r="I34" i="44"/>
  <c r="H34" i="44"/>
  <c r="C34" i="44"/>
  <c r="AU33" i="44"/>
  <c r="AT33" i="44"/>
  <c r="AS33" i="44"/>
  <c r="AR33" i="44"/>
  <c r="AQ33" i="44"/>
  <c r="AP33" i="44"/>
  <c r="R33" i="44" a="1"/>
  <c r="R33" i="44"/>
  <c r="P33" i="44" a="1"/>
  <c r="P33" i="44" s="1"/>
  <c r="F33" i="44" s="1"/>
  <c r="N33" i="44" a="1"/>
  <c r="N33" i="44" s="1"/>
  <c r="B33" i="44" s="1"/>
  <c r="I33" i="44"/>
  <c r="H33" i="44"/>
  <c r="C33" i="44"/>
  <c r="AU32" i="44"/>
  <c r="AT32" i="44"/>
  <c r="AS32" i="44"/>
  <c r="AR32" i="44"/>
  <c r="AQ32" i="44"/>
  <c r="AP32" i="44"/>
  <c r="R32" i="44" a="1"/>
  <c r="R32" i="44" s="1"/>
  <c r="P32" i="44" a="1"/>
  <c r="P32" i="44" s="1"/>
  <c r="F32" i="44" s="1"/>
  <c r="N32" i="44" a="1"/>
  <c r="N32" i="44"/>
  <c r="B32" i="44" s="1"/>
  <c r="I32" i="44"/>
  <c r="H32" i="44"/>
  <c r="C32" i="44"/>
  <c r="AU31" i="44"/>
  <c r="AT31" i="44"/>
  <c r="AS31" i="44"/>
  <c r="AR31" i="44"/>
  <c r="AQ31" i="44"/>
  <c r="AP31" i="44"/>
  <c r="R31" i="44" a="1"/>
  <c r="R31" i="44"/>
  <c r="P31" i="44" a="1"/>
  <c r="P31" i="44" s="1"/>
  <c r="F31" i="44" s="1"/>
  <c r="N31" i="44" a="1"/>
  <c r="N31" i="44" s="1"/>
  <c r="B31" i="44" s="1"/>
  <c r="I31" i="44"/>
  <c r="H31" i="44"/>
  <c r="C31" i="44"/>
  <c r="AU30" i="44"/>
  <c r="AT30" i="44"/>
  <c r="AS30" i="44"/>
  <c r="AR30" i="44"/>
  <c r="AQ30" i="44"/>
  <c r="AP30" i="44"/>
  <c r="R30" i="44" a="1"/>
  <c r="R30" i="44" s="1"/>
  <c r="P30" i="44" a="1"/>
  <c r="P30" i="44" s="1"/>
  <c r="F30" i="44" s="1"/>
  <c r="N30" i="44" a="1"/>
  <c r="N30" i="44"/>
  <c r="B30" i="44" s="1"/>
  <c r="I30" i="44"/>
  <c r="H30" i="44"/>
  <c r="C30" i="44"/>
  <c r="AU29" i="44"/>
  <c r="AT29" i="44"/>
  <c r="AS29" i="44"/>
  <c r="AR29" i="44"/>
  <c r="AQ29" i="44"/>
  <c r="AP29" i="44"/>
  <c r="R29" i="44" a="1"/>
  <c r="R29" i="44"/>
  <c r="P29" i="44" a="1"/>
  <c r="P29" i="44"/>
  <c r="F29" i="44" s="1"/>
  <c r="N29" i="44" a="1"/>
  <c r="N29" i="44" s="1"/>
  <c r="B29" i="44" s="1"/>
  <c r="I29" i="44"/>
  <c r="H29" i="44"/>
  <c r="C29" i="44"/>
  <c r="AU28" i="44"/>
  <c r="AT28" i="44"/>
  <c r="AS28" i="44"/>
  <c r="AR28" i="44"/>
  <c r="AQ28" i="44"/>
  <c r="AP28" i="44"/>
  <c r="R28" i="44" a="1"/>
  <c r="R28" i="44" s="1"/>
  <c r="P28" i="44" a="1"/>
  <c r="P28" i="44" s="1"/>
  <c r="N28" i="44" a="1"/>
  <c r="N28" i="44" s="1"/>
  <c r="C28" i="44" s="1"/>
  <c r="I28" i="44"/>
  <c r="H28" i="44"/>
  <c r="F28" i="44"/>
  <c r="E28" i="44"/>
  <c r="AU27" i="44"/>
  <c r="AT27" i="44"/>
  <c r="AS27" i="44"/>
  <c r="AR27" i="44"/>
  <c r="AQ27" i="44"/>
  <c r="AP27" i="44"/>
  <c r="R27" i="44" a="1"/>
  <c r="R27" i="44" s="1"/>
  <c r="P27" i="44" a="1"/>
  <c r="P27" i="44" s="1"/>
  <c r="F27" i="44" s="1"/>
  <c r="N27" i="44" a="1"/>
  <c r="N27" i="44"/>
  <c r="B27" i="44" s="1"/>
  <c r="I27" i="44"/>
  <c r="H27" i="44"/>
  <c r="C27" i="44"/>
  <c r="AU26" i="44"/>
  <c r="AT26" i="44"/>
  <c r="AS26" i="44"/>
  <c r="AR26" i="44"/>
  <c r="AQ26" i="44"/>
  <c r="AP26" i="44"/>
  <c r="R26" i="44" a="1"/>
  <c r="R26" i="44"/>
  <c r="P26" i="44" a="1"/>
  <c r="P26" i="44"/>
  <c r="N26" i="44" a="1"/>
  <c r="N26" i="44"/>
  <c r="I26" i="44"/>
  <c r="H26" i="44"/>
  <c r="F26" i="44"/>
  <c r="E26" i="44"/>
  <c r="AU25" i="44"/>
  <c r="AT25" i="44"/>
  <c r="AS25" i="44"/>
  <c r="AR25" i="44"/>
  <c r="AQ25" i="44"/>
  <c r="AP25" i="44"/>
  <c r="R25" i="44" a="1"/>
  <c r="R25" i="44" s="1"/>
  <c r="I25" i="44" s="1"/>
  <c r="P25" i="44" a="1"/>
  <c r="P25" i="44"/>
  <c r="F25" i="44"/>
  <c r="E25" i="44"/>
  <c r="AU24" i="44"/>
  <c r="AT24" i="44"/>
  <c r="AS24" i="44"/>
  <c r="AR24" i="44"/>
  <c r="AQ24" i="44"/>
  <c r="AP24" i="44"/>
  <c r="R24" i="44" a="1"/>
  <c r="R24" i="44"/>
  <c r="P24" i="44" a="1"/>
  <c r="P24" i="44"/>
  <c r="I24" i="44"/>
  <c r="H24" i="44"/>
  <c r="F24" i="44"/>
  <c r="E24" i="44"/>
  <c r="AU23" i="44"/>
  <c r="AT23" i="44"/>
  <c r="AS23" i="44"/>
  <c r="AR23" i="44"/>
  <c r="AQ23" i="44"/>
  <c r="AP23" i="44"/>
  <c r="R23" i="44" a="1"/>
  <c r="R23" i="44" s="1"/>
  <c r="I23" i="44" s="1"/>
  <c r="P23" i="44" a="1"/>
  <c r="P23" i="44"/>
  <c r="F23" i="44"/>
  <c r="E23" i="44"/>
  <c r="AU22" i="44"/>
  <c r="AT22" i="44"/>
  <c r="AS22" i="44"/>
  <c r="AR22" i="44"/>
  <c r="AQ22" i="44"/>
  <c r="AP22" i="44"/>
  <c r="R22" i="44" a="1"/>
  <c r="R22" i="44"/>
  <c r="P22" i="44" a="1"/>
  <c r="P22" i="44"/>
  <c r="I22" i="44"/>
  <c r="H22" i="44"/>
  <c r="F22" i="44"/>
  <c r="E22" i="44"/>
  <c r="AU21" i="44"/>
  <c r="AT21" i="44"/>
  <c r="AS21" i="44"/>
  <c r="AR21" i="44"/>
  <c r="AQ21" i="44"/>
  <c r="AP21" i="44"/>
  <c r="R21" i="44" a="1"/>
  <c r="R21" i="44"/>
  <c r="P21" i="44" a="1"/>
  <c r="P21" i="44"/>
  <c r="I21" i="44"/>
  <c r="H21" i="44"/>
  <c r="F21" i="44"/>
  <c r="E21" i="44"/>
  <c r="AU20" i="44"/>
  <c r="AT20" i="44"/>
  <c r="AS20" i="44"/>
  <c r="AR20" i="44"/>
  <c r="AQ20" i="44"/>
  <c r="AP20" i="44"/>
  <c r="R20" i="44" a="1"/>
  <c r="R20" i="44"/>
  <c r="P20" i="44" a="1"/>
  <c r="P20" i="44"/>
  <c r="C20" i="44"/>
  <c r="I20" i="44"/>
  <c r="H20" i="44"/>
  <c r="F20" i="44"/>
  <c r="E20" i="44"/>
  <c r="AU19" i="44"/>
  <c r="AT19" i="44"/>
  <c r="AS19" i="44"/>
  <c r="AR19" i="44"/>
  <c r="AQ19" i="44"/>
  <c r="AP19" i="44"/>
  <c r="R19" i="44" a="1"/>
  <c r="R19" i="44" s="1"/>
  <c r="P19" i="44" a="1"/>
  <c r="P19" i="44" s="1"/>
  <c r="I19" i="44"/>
  <c r="H19" i="44"/>
  <c r="F19" i="44"/>
  <c r="E19" i="44"/>
  <c r="AU18" i="44"/>
  <c r="AT18" i="44"/>
  <c r="AS18" i="44"/>
  <c r="AR18" i="44"/>
  <c r="AQ18" i="44"/>
  <c r="AP18" i="44"/>
  <c r="R18" i="44" a="1"/>
  <c r="R18" i="44" s="1"/>
  <c r="P18" i="44" a="1"/>
  <c r="P18" i="44" s="1"/>
  <c r="I18" i="44"/>
  <c r="H18" i="44"/>
  <c r="F18" i="44"/>
  <c r="E18" i="44"/>
  <c r="AU17" i="44"/>
  <c r="AT17" i="44"/>
  <c r="AS17" i="44"/>
  <c r="AR17" i="44"/>
  <c r="AQ17" i="44"/>
  <c r="AP17" i="44"/>
  <c r="R17" i="44" a="1"/>
  <c r="R17" i="44" s="1"/>
  <c r="P17" i="44" a="1"/>
  <c r="P17" i="44" s="1"/>
  <c r="F17" i="44" s="1"/>
  <c r="B17" i="44"/>
  <c r="I17" i="44"/>
  <c r="H17" i="44"/>
  <c r="C17" i="44"/>
  <c r="AU16" i="44"/>
  <c r="AT16" i="44"/>
  <c r="AS16" i="44"/>
  <c r="AR16" i="44"/>
  <c r="AQ16" i="44"/>
  <c r="AP16" i="44"/>
  <c r="R16" i="44" a="1"/>
  <c r="R16" i="44"/>
  <c r="P16" i="44" a="1"/>
  <c r="P16" i="44"/>
  <c r="F16" i="44" s="1"/>
  <c r="I16" i="44"/>
  <c r="H16" i="44"/>
  <c r="C16" i="44"/>
  <c r="AU15" i="44"/>
  <c r="AT15" i="44"/>
  <c r="AS15" i="44"/>
  <c r="AR15" i="44"/>
  <c r="AQ15" i="44"/>
  <c r="AP15" i="44"/>
  <c r="R15" i="44" a="1"/>
  <c r="R15" i="44"/>
  <c r="P15" i="44" a="1"/>
  <c r="P15" i="44"/>
  <c r="C15" i="44"/>
  <c r="I15" i="44"/>
  <c r="H15" i="44"/>
  <c r="F15" i="44"/>
  <c r="E15" i="44"/>
  <c r="AU14" i="44"/>
  <c r="AT14" i="44"/>
  <c r="AS14" i="44"/>
  <c r="AR14" i="44"/>
  <c r="AQ14" i="44"/>
  <c r="AP14" i="44"/>
  <c r="R14" i="44" a="1"/>
  <c r="R14" i="44" s="1"/>
  <c r="P14" i="44" a="1"/>
  <c r="P14" i="44" s="1"/>
  <c r="I14" i="44"/>
  <c r="H14" i="44"/>
  <c r="F14" i="44"/>
  <c r="E14" i="44"/>
  <c r="AU13" i="44"/>
  <c r="AT13" i="44"/>
  <c r="AS13" i="44"/>
  <c r="AR13" i="44"/>
  <c r="AQ13" i="44"/>
  <c r="AP13" i="44"/>
  <c r="R13" i="44" a="1"/>
  <c r="R13" i="44" s="1"/>
  <c r="P13" i="44" a="1"/>
  <c r="P13" i="44" s="1"/>
  <c r="I13" i="44"/>
  <c r="H13" i="44"/>
  <c r="F13" i="44"/>
  <c r="E13" i="44"/>
  <c r="AU12" i="44"/>
  <c r="AT12" i="44"/>
  <c r="AS12" i="44"/>
  <c r="AR12" i="44"/>
  <c r="AQ12" i="44"/>
  <c r="AP12" i="44"/>
  <c r="R12" i="44" a="1"/>
  <c r="R12" i="44" s="1"/>
  <c r="P12" i="44" a="1"/>
  <c r="P12" i="44" s="1"/>
  <c r="I12" i="44"/>
  <c r="H12" i="44"/>
  <c r="F12" i="44"/>
  <c r="E12" i="44"/>
  <c r="AU11" i="44"/>
  <c r="AT11" i="44"/>
  <c r="AS11" i="44"/>
  <c r="AR11" i="44"/>
  <c r="AQ11" i="44"/>
  <c r="AP11" i="44"/>
  <c r="R11" i="44" a="1"/>
  <c r="R11" i="44" s="1"/>
  <c r="P11" i="44" a="1"/>
  <c r="P11" i="44" s="1"/>
  <c r="I11" i="44"/>
  <c r="H11" i="44"/>
  <c r="F11" i="44"/>
  <c r="E11" i="44"/>
  <c r="AU10" i="44"/>
  <c r="AT10" i="44"/>
  <c r="AS10" i="44"/>
  <c r="AR10" i="44"/>
  <c r="AQ10" i="44"/>
  <c r="AP10" i="44"/>
  <c r="R10" i="44" a="1"/>
  <c r="R10" i="44" s="1"/>
  <c r="P10" i="44" a="1"/>
  <c r="P10" i="44" s="1"/>
  <c r="I10" i="44"/>
  <c r="H10" i="44"/>
  <c r="F10" i="44"/>
  <c r="E10" i="44"/>
  <c r="AU9" i="44"/>
  <c r="AT9" i="44"/>
  <c r="AS9" i="44"/>
  <c r="AR9" i="44"/>
  <c r="AR177" i="44" s="1"/>
  <c r="AQ9" i="44"/>
  <c r="AQ177" i="44" s="1"/>
  <c r="AP9" i="44"/>
  <c r="R9" i="44" a="1"/>
  <c r="R9" i="44"/>
  <c r="P9" i="44" a="1"/>
  <c r="P9" i="44"/>
  <c r="N9" i="44" a="1"/>
  <c r="N9" i="44" s="1"/>
  <c r="I9" i="44"/>
  <c r="H9" i="44"/>
  <c r="F9" i="44"/>
  <c r="E9" i="44"/>
  <c r="AO6" i="44"/>
  <c r="AN6" i="44"/>
  <c r="AM6" i="44"/>
  <c r="V21" i="43"/>
  <c r="U21" i="43"/>
  <c r="T21" i="43"/>
  <c r="R21" i="43"/>
  <c r="Q21" i="43"/>
  <c r="P21" i="43"/>
  <c r="O21" i="43"/>
  <c r="N21" i="43"/>
  <c r="M21" i="43"/>
  <c r="L21" i="43"/>
  <c r="K21" i="43"/>
  <c r="J21" i="43"/>
  <c r="I21" i="43"/>
  <c r="H21" i="43"/>
  <c r="G21" i="43"/>
  <c r="F21" i="43"/>
  <c r="A21" i="43"/>
  <c r="Z20" i="43"/>
  <c r="Y20" i="43"/>
  <c r="Z19" i="43"/>
  <c r="Y19" i="43"/>
  <c r="Z18" i="43"/>
  <c r="Y18" i="43"/>
  <c r="Z16" i="43"/>
  <c r="Y16" i="43"/>
  <c r="Z17" i="43"/>
  <c r="Y17" i="43"/>
  <c r="Z15" i="43"/>
  <c r="Y15" i="43"/>
  <c r="Z14" i="43"/>
  <c r="Y14" i="43"/>
  <c r="Z13" i="43"/>
  <c r="Y13" i="43"/>
  <c r="Z12" i="43"/>
  <c r="Y12" i="43"/>
  <c r="Z11" i="43"/>
  <c r="Y11" i="43"/>
  <c r="Z10" i="43"/>
  <c r="Y10" i="43"/>
  <c r="Z9" i="43"/>
  <c r="Y9" i="43"/>
  <c r="Y21" i="43" s="1"/>
  <c r="V58" i="42"/>
  <c r="U58" i="42"/>
  <c r="T58" i="42"/>
  <c r="S58" i="42"/>
  <c r="R58" i="42"/>
  <c r="Q58" i="42"/>
  <c r="P58" i="42"/>
  <c r="O58" i="42"/>
  <c r="N58" i="42"/>
  <c r="M58" i="42"/>
  <c r="L58" i="42"/>
  <c r="K58" i="42"/>
  <c r="J58" i="42"/>
  <c r="I58" i="42"/>
  <c r="H58" i="42"/>
  <c r="G58" i="42"/>
  <c r="F58" i="42"/>
  <c r="A58" i="42"/>
  <c r="Z57" i="42"/>
  <c r="Y57" i="42"/>
  <c r="Z56" i="42"/>
  <c r="Y56" i="42"/>
  <c r="Z55" i="42"/>
  <c r="Y55" i="42"/>
  <c r="Z54" i="42"/>
  <c r="Y54" i="42"/>
  <c r="Z53" i="42"/>
  <c r="Y53" i="42"/>
  <c r="Z52" i="42"/>
  <c r="Y52" i="42"/>
  <c r="Z51" i="42"/>
  <c r="Y51" i="42"/>
  <c r="Z50" i="42"/>
  <c r="Y50" i="42"/>
  <c r="Z49" i="42"/>
  <c r="Y49" i="42"/>
  <c r="Z48" i="42"/>
  <c r="Y48" i="42"/>
  <c r="Z47" i="42"/>
  <c r="Y47" i="42"/>
  <c r="Z46" i="42"/>
  <c r="Y46" i="42"/>
  <c r="Z45" i="42"/>
  <c r="Y45" i="42"/>
  <c r="Z44" i="42"/>
  <c r="Y44" i="42"/>
  <c r="Z43" i="42"/>
  <c r="Y43" i="42"/>
  <c r="Z42" i="42"/>
  <c r="Y42" i="42"/>
  <c r="Z41" i="42"/>
  <c r="Y41" i="42"/>
  <c r="Z40" i="42"/>
  <c r="Y40" i="42"/>
  <c r="Z39" i="42"/>
  <c r="Y39" i="42"/>
  <c r="Z38" i="42"/>
  <c r="Y38" i="42"/>
  <c r="Z37" i="42"/>
  <c r="Y37" i="42"/>
  <c r="Z36" i="42"/>
  <c r="Y36" i="42"/>
  <c r="Z35" i="42"/>
  <c r="Y35" i="42"/>
  <c r="Z28" i="42"/>
  <c r="Y28" i="42"/>
  <c r="Z34" i="42"/>
  <c r="Y34" i="42"/>
  <c r="Z33" i="42"/>
  <c r="Y33" i="42"/>
  <c r="Z32" i="42"/>
  <c r="Y32" i="42"/>
  <c r="Z31" i="42"/>
  <c r="Y31" i="42"/>
  <c r="Z30" i="42"/>
  <c r="Y30" i="42"/>
  <c r="Z29" i="42"/>
  <c r="Y29" i="42"/>
  <c r="Z27" i="42"/>
  <c r="Y27" i="42"/>
  <c r="Z26" i="42"/>
  <c r="Y26" i="42"/>
  <c r="Z25" i="42"/>
  <c r="Y25" i="42"/>
  <c r="Z22" i="42"/>
  <c r="Y22" i="42"/>
  <c r="Z24" i="42"/>
  <c r="Y24" i="42"/>
  <c r="Z23" i="42"/>
  <c r="Y23" i="42"/>
  <c r="Z21" i="42"/>
  <c r="Y21" i="42"/>
  <c r="Z20" i="42"/>
  <c r="Y20" i="42"/>
  <c r="Z19" i="42"/>
  <c r="Y19" i="42"/>
  <c r="Z18" i="42"/>
  <c r="Y18" i="42"/>
  <c r="Z17" i="42"/>
  <c r="Y17" i="42"/>
  <c r="Z13" i="42"/>
  <c r="Y13" i="42"/>
  <c r="Z15" i="42"/>
  <c r="Y15" i="42"/>
  <c r="Z11" i="42"/>
  <c r="Y11" i="42"/>
  <c r="Z14" i="42"/>
  <c r="Y14" i="42"/>
  <c r="Z16" i="42"/>
  <c r="Y16" i="42"/>
  <c r="Z12" i="42"/>
  <c r="Y12" i="42"/>
  <c r="Z9" i="42"/>
  <c r="Y9" i="42"/>
  <c r="Z10" i="42"/>
  <c r="Y10" i="42"/>
  <c r="X58" i="42"/>
  <c r="X21" i="43"/>
  <c r="Z21" i="43"/>
  <c r="B92" i="44"/>
  <c r="B82" i="44"/>
  <c r="C88" i="44"/>
  <c r="C97" i="44"/>
  <c r="B99" i="44"/>
  <c r="C113" i="44"/>
  <c r="C123" i="44"/>
  <c r="C127" i="44"/>
  <c r="C134" i="44"/>
  <c r="C138" i="44"/>
  <c r="C148" i="44"/>
  <c r="B142" i="44"/>
  <c r="C146" i="44"/>
  <c r="C150" i="44"/>
  <c r="B152" i="44"/>
  <c r="C168" i="44"/>
  <c r="C172" i="44"/>
  <c r="C176" i="44"/>
  <c r="C156" i="44"/>
  <c r="C160" i="44"/>
  <c r="B162" i="44"/>
  <c r="C166" i="44"/>
  <c r="C170" i="44"/>
  <c r="C174" i="44"/>
  <c r="Z9" i="3"/>
  <c r="Z12" i="3"/>
  <c r="Z17" i="3"/>
  <c r="Z14" i="3"/>
  <c r="Z13" i="3"/>
  <c r="Z18" i="3"/>
  <c r="Z16" i="3"/>
  <c r="Z25" i="3"/>
  <c r="Z15" i="3"/>
  <c r="Z21" i="3"/>
  <c r="Z22" i="3"/>
  <c r="Z24" i="3"/>
  <c r="Z20" i="3"/>
  <c r="Z27" i="3"/>
  <c r="Z23" i="3"/>
  <c r="Z28" i="3"/>
  <c r="Z19" i="3"/>
  <c r="Z26" i="3"/>
  <c r="Z31" i="3"/>
  <c r="Z33" i="3"/>
  <c r="Z34" i="3"/>
  <c r="Z35" i="3"/>
  <c r="Z32" i="3"/>
  <c r="Z29" i="3"/>
  <c r="Z30" i="3"/>
  <c r="Z37" i="3"/>
  <c r="Z38" i="3"/>
  <c r="Z40" i="3"/>
  <c r="Z42" i="3"/>
  <c r="Z36" i="3"/>
  <c r="Z39" i="3"/>
  <c r="Z44" i="3"/>
  <c r="Z45" i="3"/>
  <c r="Z43" i="3"/>
  <c r="Z41" i="3"/>
  <c r="Z48" i="3"/>
  <c r="Z49" i="3"/>
  <c r="Z50" i="3"/>
  <c r="Z52" i="3"/>
  <c r="Z53" i="3"/>
  <c r="Z51" i="3"/>
  <c r="Z54" i="3"/>
  <c r="Z55" i="3"/>
  <c r="Z56" i="3"/>
  <c r="Z57" i="3"/>
  <c r="Z58" i="3"/>
  <c r="Z59" i="3"/>
  <c r="Z61" i="3"/>
  <c r="Z60" i="3"/>
  <c r="Z63" i="3"/>
  <c r="Z64" i="3"/>
  <c r="Z65" i="3"/>
  <c r="Z67" i="3"/>
  <c r="Z70" i="3"/>
  <c r="Z46" i="3"/>
  <c r="Z72" i="3"/>
  <c r="Z73" i="3"/>
  <c r="Z80" i="3"/>
  <c r="Z81" i="3"/>
  <c r="Z82" i="3"/>
  <c r="Z83" i="3"/>
  <c r="Z84" i="3"/>
  <c r="Z85" i="3"/>
  <c r="Z86" i="3"/>
  <c r="Z87" i="3"/>
  <c r="Z88" i="3"/>
  <c r="Z91" i="3"/>
  <c r="Z75" i="3"/>
  <c r="Z92" i="3"/>
  <c r="Z93" i="3"/>
  <c r="Z76" i="3"/>
  <c r="Z94" i="3"/>
  <c r="Z77" i="3"/>
  <c r="Z96" i="3"/>
  <c r="Z97" i="3"/>
  <c r="Z98" i="3"/>
  <c r="Z99" i="3"/>
  <c r="Z100" i="3"/>
  <c r="Z74" i="3"/>
  <c r="Z101" i="3"/>
  <c r="Z102" i="3"/>
  <c r="Z62" i="3"/>
  <c r="Z103" i="3"/>
  <c r="Z104" i="3"/>
  <c r="Z79" i="3"/>
  <c r="Z68" i="3"/>
  <c r="Z47" i="3"/>
  <c r="Z108" i="3"/>
  <c r="Z109" i="3"/>
  <c r="Z78" i="3"/>
  <c r="Z110" i="3"/>
  <c r="Z111" i="3"/>
  <c r="Z112" i="3"/>
  <c r="Z113" i="3"/>
  <c r="Z114" i="3"/>
  <c r="Z115" i="3"/>
  <c r="Z116" i="3"/>
  <c r="Z117" i="3"/>
  <c r="Z118" i="3"/>
  <c r="Z119" i="3"/>
  <c r="Z120" i="3"/>
  <c r="Z121" i="3"/>
  <c r="Z122" i="3"/>
  <c r="Z123" i="3"/>
  <c r="Z124" i="3"/>
  <c r="Z125" i="3"/>
  <c r="Z126" i="3"/>
  <c r="Z105" i="3"/>
  <c r="Z127" i="3"/>
  <c r="Z95" i="3"/>
  <c r="Z106" i="3"/>
  <c r="Z89" i="3"/>
  <c r="Z90" i="3"/>
  <c r="Z107" i="3"/>
  <c r="Z69" i="3"/>
  <c r="Z66" i="3"/>
  <c r="Z71" i="3"/>
  <c r="Z10" i="3"/>
  <c r="Z11" i="3"/>
  <c r="X10" i="3"/>
  <c r="Y10" i="3"/>
  <c r="Y11" i="3"/>
  <c r="Y12" i="3"/>
  <c r="Y9" i="3"/>
  <c r="Y17" i="3"/>
  <c r="Y14" i="3"/>
  <c r="Y16" i="3"/>
  <c r="Y25" i="3"/>
  <c r="Y18" i="3"/>
  <c r="Y13" i="3"/>
  <c r="Y21" i="3"/>
  <c r="Y22" i="3"/>
  <c r="Y24" i="3"/>
  <c r="Y15" i="3"/>
  <c r="Y20" i="3"/>
  <c r="Y28" i="3"/>
  <c r="Y27" i="3"/>
  <c r="Y23" i="3"/>
  <c r="Y26" i="3"/>
  <c r="Y19" i="3"/>
  <c r="Y33" i="3"/>
  <c r="Y35" i="3"/>
  <c r="Y32" i="3"/>
  <c r="Y29" i="3"/>
  <c r="Y31" i="3"/>
  <c r="Y37" i="3"/>
  <c r="Y34" i="3"/>
  <c r="Y38" i="3"/>
  <c r="Y40" i="3"/>
  <c r="Y42" i="3"/>
  <c r="Y30" i="3"/>
  <c r="Y36" i="3"/>
  <c r="Y39" i="3"/>
  <c r="Y44" i="3"/>
  <c r="Y45" i="3"/>
  <c r="Y43" i="3"/>
  <c r="Y48" i="3"/>
  <c r="Y49" i="3"/>
  <c r="Y50" i="3"/>
  <c r="Y52" i="3"/>
  <c r="Y53" i="3"/>
  <c r="Y51" i="3"/>
  <c r="Y41" i="3"/>
  <c r="Y54" i="3"/>
  <c r="Y55" i="3"/>
  <c r="Y56" i="3"/>
  <c r="Y57" i="3"/>
  <c r="Y58" i="3"/>
  <c r="Y59" i="3"/>
  <c r="Y61" i="3"/>
  <c r="Y60" i="3"/>
  <c r="Y63" i="3"/>
  <c r="Y64" i="3"/>
  <c r="Y65" i="3"/>
  <c r="Y67" i="3"/>
  <c r="Y70" i="3"/>
  <c r="Y46" i="3"/>
  <c r="Y72" i="3"/>
  <c r="Y73" i="3"/>
  <c r="Y80" i="3"/>
  <c r="Y81" i="3"/>
  <c r="Y82" i="3"/>
  <c r="Y83" i="3"/>
  <c r="Y84" i="3"/>
  <c r="Y85" i="3"/>
  <c r="Y86" i="3"/>
  <c r="Y87" i="3"/>
  <c r="Y88" i="3"/>
  <c r="Y91" i="3"/>
  <c r="Y75" i="3"/>
  <c r="Y92" i="3"/>
  <c r="Y93" i="3"/>
  <c r="Y76" i="3"/>
  <c r="Y94" i="3"/>
  <c r="Y77" i="3"/>
  <c r="Y96" i="3"/>
  <c r="Y97" i="3"/>
  <c r="Y98" i="3"/>
  <c r="Y99" i="3"/>
  <c r="Y100" i="3"/>
  <c r="Y74" i="3"/>
  <c r="Y101" i="3"/>
  <c r="Y102" i="3"/>
  <c r="Y62" i="3"/>
  <c r="Y103" i="3"/>
  <c r="Y104" i="3"/>
  <c r="Y79" i="3"/>
  <c r="Y68" i="3"/>
  <c r="Y47" i="3"/>
  <c r="Y108" i="3"/>
  <c r="Y109" i="3"/>
  <c r="Y78" i="3"/>
  <c r="Y110" i="3"/>
  <c r="Y111" i="3"/>
  <c r="Y112" i="3"/>
  <c r="Y113" i="3"/>
  <c r="Y114" i="3"/>
  <c r="Y115" i="3"/>
  <c r="Y116" i="3"/>
  <c r="Y117" i="3"/>
  <c r="Y118" i="3"/>
  <c r="Y119" i="3"/>
  <c r="Y120" i="3"/>
  <c r="Y121" i="3"/>
  <c r="Y122" i="3"/>
  <c r="Y123" i="3"/>
  <c r="Y124" i="3"/>
  <c r="Y125" i="3"/>
  <c r="Y126" i="3"/>
  <c r="Y105" i="3"/>
  <c r="Y127" i="3"/>
  <c r="Y95" i="3"/>
  <c r="Y106" i="3"/>
  <c r="Y89" i="3"/>
  <c r="Y90" i="3"/>
  <c r="Y107" i="3"/>
  <c r="Y69" i="3"/>
  <c r="Y66" i="3"/>
  <c r="Y71" i="3"/>
  <c r="A4" i="26"/>
  <c r="A2" i="26"/>
  <c r="A4" i="25"/>
  <c r="A2" i="25"/>
  <c r="A4" i="24"/>
  <c r="A3" i="24"/>
  <c r="A2" i="24"/>
  <c r="A4" i="22"/>
  <c r="A2" i="22"/>
  <c r="A4" i="21"/>
  <c r="A2" i="21"/>
  <c r="A4" i="20"/>
  <c r="A2" i="20"/>
  <c r="A4" i="19"/>
  <c r="A2" i="19"/>
  <c r="A4" i="18"/>
  <c r="A2" i="18"/>
  <c r="A4" i="17"/>
  <c r="A2" i="17"/>
  <c r="A4" i="16"/>
  <c r="A2" i="16"/>
  <c r="A4" i="35"/>
  <c r="A2" i="35"/>
  <c r="A4" i="14"/>
  <c r="A2" i="14"/>
  <c r="A4" i="32"/>
  <c r="A2" i="32"/>
  <c r="A4" i="31"/>
  <c r="A2" i="31"/>
  <c r="A4" i="13"/>
  <c r="A2" i="13"/>
  <c r="A4" i="12"/>
  <c r="A2" i="12"/>
  <c r="A4" i="11"/>
  <c r="A2" i="11"/>
  <c r="A3" i="18"/>
  <c r="A3" i="17"/>
  <c r="A3" i="26"/>
  <c r="A3" i="25"/>
  <c r="A3" i="22"/>
  <c r="A3" i="21"/>
  <c r="A3" i="14"/>
  <c r="A3" i="12"/>
  <c r="A3" i="11"/>
  <c r="A3" i="20"/>
  <c r="A3" i="19"/>
  <c r="A3" i="16"/>
  <c r="A3" i="35"/>
  <c r="A3" i="32"/>
  <c r="X26" i="3"/>
  <c r="X11" i="3"/>
  <c r="X20" i="3"/>
  <c r="X14" i="3"/>
  <c r="X45" i="3"/>
  <c r="X18" i="3"/>
  <c r="X21" i="3"/>
  <c r="X22" i="3"/>
  <c r="X16" i="3"/>
  <c r="X35" i="3"/>
  <c r="X56" i="3"/>
  <c r="X39" i="3"/>
  <c r="X17" i="3"/>
  <c r="X24" i="3"/>
  <c r="X28" i="3"/>
  <c r="X19" i="3"/>
  <c r="X40" i="3"/>
  <c r="X13" i="3"/>
  <c r="X86" i="3"/>
  <c r="X23" i="3"/>
  <c r="X82" i="3"/>
  <c r="X70" i="3"/>
  <c r="X29" i="3"/>
  <c r="X30" i="3"/>
  <c r="X34" i="3"/>
  <c r="X83" i="3"/>
  <c r="X50" i="3"/>
  <c r="X9" i="3"/>
  <c r="X63" i="3"/>
  <c r="X36" i="3"/>
  <c r="X41" i="3"/>
  <c r="X84" i="3"/>
  <c r="X110" i="3"/>
  <c r="X111" i="3"/>
  <c r="X85" i="3"/>
  <c r="X112" i="3"/>
  <c r="X113" i="3"/>
  <c r="X114" i="3"/>
  <c r="X115" i="3"/>
  <c r="X79" i="3"/>
  <c r="X27" i="3"/>
  <c r="X116" i="3"/>
  <c r="X117" i="3"/>
  <c r="X118" i="3"/>
  <c r="X47" i="3"/>
  <c r="X119" i="3"/>
  <c r="X103" i="3"/>
  <c r="X62" i="3"/>
  <c r="X108" i="3"/>
  <c r="X120" i="3"/>
  <c r="X121" i="3"/>
  <c r="X122" i="3"/>
  <c r="X123" i="3"/>
  <c r="X124" i="3"/>
  <c r="X125" i="3"/>
  <c r="X126" i="3"/>
  <c r="X68" i="3"/>
  <c r="X105" i="3"/>
  <c r="X74" i="3"/>
  <c r="X127" i="3"/>
  <c r="X78" i="3"/>
  <c r="X95" i="3"/>
  <c r="X87" i="3"/>
  <c r="X25" i="3"/>
  <c r="X33" i="3"/>
  <c r="X44" i="3"/>
  <c r="X81" i="3"/>
  <c r="X37" i="3"/>
  <c r="X61" i="3"/>
  <c r="X32" i="3"/>
  <c r="X38" i="3"/>
  <c r="X48" i="3"/>
  <c r="X43" i="3"/>
  <c r="X96" i="3"/>
  <c r="X97" i="3"/>
  <c r="X80" i="3"/>
  <c r="X104" i="3"/>
  <c r="X31" i="3"/>
  <c r="X55" i="3"/>
  <c r="X57" i="3"/>
  <c r="X64" i="3"/>
  <c r="X109" i="3"/>
  <c r="X92" i="3"/>
  <c r="X93" i="3"/>
  <c r="X91" i="3"/>
  <c r="X59" i="3"/>
  <c r="X67" i="3"/>
  <c r="X72" i="3"/>
  <c r="X73" i="3"/>
  <c r="X15" i="3"/>
  <c r="X88" i="3"/>
  <c r="X51" i="3"/>
  <c r="X60" i="3"/>
  <c r="X46" i="3"/>
  <c r="X65" i="3"/>
  <c r="X76" i="3"/>
  <c r="X94" i="3"/>
  <c r="X77" i="3"/>
  <c r="X98" i="3"/>
  <c r="X75" i="3"/>
  <c r="X42" i="3"/>
  <c r="X52" i="3"/>
  <c r="X54" i="3"/>
  <c r="X49" i="3"/>
  <c r="X53" i="3"/>
  <c r="X58" i="3"/>
  <c r="X99" i="3"/>
  <c r="X101" i="3"/>
  <c r="X100" i="3"/>
  <c r="X102" i="3"/>
  <c r="X106" i="3"/>
  <c r="X89" i="3"/>
  <c r="X90" i="3"/>
  <c r="X107" i="3"/>
  <c r="X69" i="3"/>
  <c r="X66" i="3"/>
  <c r="X71" i="3"/>
  <c r="H128" i="3"/>
  <c r="K7" i="36" s="1"/>
  <c r="K9" i="36"/>
  <c r="J128" i="3"/>
  <c r="K10" i="36" s="1"/>
  <c r="K128" i="3"/>
  <c r="L128" i="3"/>
  <c r="K15" i="36" s="1"/>
  <c r="M128" i="3"/>
  <c r="N128" i="3"/>
  <c r="K20" i="36" s="1"/>
  <c r="O128" i="3"/>
  <c r="K23" i="36" s="1"/>
  <c r="P128" i="3"/>
  <c r="K24" i="36" s="1"/>
  <c r="Q128" i="3"/>
  <c r="R128" i="3"/>
  <c r="K26" i="36" s="1"/>
  <c r="S128" i="3"/>
  <c r="K27" i="36" s="1"/>
  <c r="T128" i="3"/>
  <c r="K30" i="36" s="1"/>
  <c r="U128" i="3"/>
  <c r="K31" i="36" s="1"/>
  <c r="V128" i="3"/>
  <c r="K32" i="36" s="1"/>
  <c r="G128" i="3"/>
  <c r="K6" i="36" s="1"/>
  <c r="X12" i="3"/>
  <c r="X128" i="3" s="1"/>
  <c r="F128" i="3"/>
  <c r="A128" i="3"/>
  <c r="A3" i="13"/>
  <c r="A3" i="31"/>
  <c r="Z128" i="3"/>
  <c r="Y128" i="3"/>
  <c r="K19" i="36"/>
  <c r="K25" i="36"/>
  <c r="K14" i="36"/>
  <c r="B69" i="44"/>
  <c r="C87" i="44"/>
  <c r="F153" i="44"/>
  <c r="B153" i="44"/>
  <c r="B72" i="44"/>
  <c r="AS177" i="44"/>
  <c r="C140" i="44"/>
  <c r="C103" i="44"/>
  <c r="C139" i="44"/>
  <c r="C60" i="44"/>
  <c r="F64" i="44"/>
  <c r="C11" i="44"/>
  <c r="C19" i="44"/>
  <c r="C24" i="44"/>
  <c r="C38" i="44"/>
  <c r="C18" i="44"/>
  <c r="C35" i="44"/>
  <c r="B86" i="44"/>
  <c r="F86" i="44"/>
  <c r="E86" i="44" s="1"/>
  <c r="J92" i="44"/>
  <c r="J90" i="44"/>
  <c r="J108" i="44"/>
  <c r="J93" i="44"/>
  <c r="J23" i="44"/>
  <c r="J124" i="44"/>
  <c r="J13" i="44"/>
  <c r="C26" i="44"/>
  <c r="J97" i="44"/>
  <c r="J165" i="44"/>
  <c r="J76" i="44"/>
  <c r="J64" i="44"/>
  <c r="J35" i="44"/>
  <c r="J28" i="44"/>
  <c r="J77" i="44"/>
  <c r="J163" i="44"/>
  <c r="J95" i="44"/>
  <c r="J152" i="44"/>
  <c r="J57" i="44"/>
  <c r="J141" i="44"/>
  <c r="J22" i="44"/>
  <c r="J11" i="44"/>
  <c r="J121" i="44"/>
  <c r="J101" i="44"/>
  <c r="J127" i="44"/>
  <c r="J115" i="44"/>
  <c r="J87" i="44"/>
  <c r="J29" i="44"/>
  <c r="B34" i="44"/>
  <c r="C52" i="44"/>
  <c r="H86" i="44"/>
  <c r="H72" i="44"/>
  <c r="E64" i="44"/>
  <c r="E78" i="44"/>
  <c r="J36" i="44"/>
  <c r="C40" i="44"/>
  <c r="E149" i="44"/>
  <c r="E92" i="44"/>
  <c r="B51" i="44"/>
  <c r="J24" i="44"/>
  <c r="J117" i="44"/>
  <c r="J37" i="44"/>
  <c r="J130" i="44"/>
  <c r="J176" i="44"/>
  <c r="J100" i="44"/>
  <c r="J137" i="44"/>
  <c r="J166" i="44"/>
  <c r="J132" i="44"/>
  <c r="J140" i="44"/>
  <c r="C9" i="44"/>
  <c r="H114" i="44"/>
  <c r="H25" i="44"/>
  <c r="H41" i="44"/>
  <c r="J68" i="44"/>
  <c r="B68" i="44"/>
  <c r="J69" i="44"/>
  <c r="E34" i="44"/>
  <c r="E99" i="44"/>
  <c r="E118" i="44"/>
  <c r="E162" i="44"/>
  <c r="E68" i="44"/>
  <c r="E51" i="44"/>
  <c r="J16" i="44"/>
  <c r="J79" i="44"/>
  <c r="J143" i="44"/>
  <c r="J83" i="44"/>
  <c r="J49" i="44"/>
  <c r="J136" i="44"/>
  <c r="J78" i="44"/>
  <c r="J65" i="44"/>
  <c r="J27" i="44"/>
  <c r="J89" i="44"/>
  <c r="J119" i="44"/>
  <c r="J75" i="44"/>
  <c r="J41" i="44"/>
  <c r="J53" i="44"/>
  <c r="J72" i="44"/>
  <c r="J38" i="44"/>
  <c r="J128" i="44"/>
  <c r="J158" i="44"/>
  <c r="J106" i="44"/>
  <c r="J54" i="44"/>
  <c r="J142" i="44"/>
  <c r="J56" i="44"/>
  <c r="J168" i="44"/>
  <c r="J122" i="44"/>
  <c r="J31" i="44"/>
  <c r="J94" i="44"/>
  <c r="J44" i="44"/>
  <c r="J33" i="44"/>
  <c r="J103" i="44"/>
  <c r="J135" i="44"/>
  <c r="J30" i="44"/>
  <c r="J82" i="44"/>
  <c r="J9" i="44"/>
  <c r="J126" i="44"/>
  <c r="J55" i="44"/>
  <c r="J99" i="44"/>
  <c r="J148" i="44"/>
  <c r="J164" i="44"/>
  <c r="J170" i="44"/>
  <c r="J131" i="44"/>
  <c r="J59" i="44"/>
  <c r="E30" i="44"/>
  <c r="E16" i="44"/>
  <c r="J21" i="44"/>
  <c r="J19" i="44"/>
  <c r="E153" i="44"/>
  <c r="E32" i="44"/>
  <c r="E37" i="44"/>
  <c r="E157" i="44"/>
  <c r="E59" i="44"/>
  <c r="E131" i="44"/>
  <c r="E122" i="44"/>
  <c r="E47" i="44"/>
  <c r="E130" i="44"/>
  <c r="E161" i="44"/>
  <c r="E152" i="44"/>
  <c r="E175" i="44"/>
  <c r="E17" i="44"/>
  <c r="E27" i="44"/>
  <c r="E29" i="44"/>
  <c r="E33" i="44"/>
  <c r="E36" i="44"/>
  <c r="E142" i="44"/>
  <c r="E74" i="44"/>
  <c r="E69" i="44"/>
  <c r="E98" i="44"/>
  <c r="E141" i="44"/>
  <c r="E133" i="44"/>
  <c r="E63" i="44"/>
  <c r="E48" i="44"/>
  <c r="E56" i="44"/>
  <c r="J43" i="44"/>
  <c r="J46" i="44"/>
  <c r="J66" i="44"/>
  <c r="J138" i="44"/>
  <c r="J81" i="44"/>
  <c r="J73" i="44"/>
  <c r="J48" i="44"/>
  <c r="C10" i="44"/>
  <c r="J85" i="44"/>
  <c r="J134" i="44"/>
  <c r="J129" i="44"/>
  <c r="J154" i="44"/>
  <c r="J10" i="44"/>
  <c r="J112" i="44"/>
  <c r="J149" i="44"/>
  <c r="J71" i="44"/>
  <c r="J70" i="44"/>
  <c r="J60" i="44"/>
  <c r="J133" i="44"/>
  <c r="J96" i="44"/>
  <c r="J125" i="44"/>
  <c r="J114" i="44"/>
  <c r="J172" i="44"/>
  <c r="J113" i="44"/>
  <c r="J110" i="44"/>
  <c r="J107" i="44"/>
  <c r="J118" i="44"/>
  <c r="J62" i="44"/>
  <c r="J153" i="44"/>
  <c r="J145" i="44"/>
  <c r="J144" i="44"/>
  <c r="J171" i="44"/>
  <c r="J80" i="44"/>
  <c r="J91" i="44"/>
  <c r="J150" i="44"/>
  <c r="Z58" i="42" l="1"/>
  <c r="X177" i="45"/>
  <c r="Y58" i="42"/>
  <c r="X33" i="50"/>
  <c r="X35" i="50"/>
  <c r="X29" i="50"/>
  <c r="X31" i="50"/>
  <c r="E117" i="44"/>
  <c r="E169" i="44"/>
  <c r="E143" i="44"/>
  <c r="E31" i="44"/>
  <c r="E177" i="44" s="1"/>
  <c r="J34" i="44"/>
  <c r="H44" i="44"/>
  <c r="C45" i="44"/>
  <c r="J45" i="44"/>
  <c r="C58" i="44"/>
  <c r="J58" i="44"/>
  <c r="H64" i="44"/>
  <c r="E73" i="44"/>
  <c r="E82" i="44"/>
  <c r="C104" i="44"/>
  <c r="J104" i="44"/>
  <c r="J74" i="44"/>
  <c r="J167" i="44"/>
  <c r="J156" i="44"/>
  <c r="J109" i="44"/>
  <c r="J12" i="44"/>
  <c r="J105" i="44"/>
  <c r="J14" i="44"/>
  <c r="J155" i="44"/>
  <c r="J169" i="44"/>
  <c r="J174" i="44"/>
  <c r="J159" i="44"/>
  <c r="J146" i="44"/>
  <c r="J26" i="44"/>
  <c r="J88" i="44"/>
  <c r="J20" i="44"/>
  <c r="J173" i="44"/>
  <c r="J32" i="44"/>
  <c r="J15" i="44"/>
  <c r="J123" i="44"/>
  <c r="J98" i="44"/>
  <c r="J157" i="44"/>
  <c r="J25" i="44"/>
  <c r="J40" i="44"/>
  <c r="J51" i="44"/>
  <c r="J39" i="44"/>
  <c r="J18" i="44"/>
  <c r="J139" i="44"/>
  <c r="J161" i="44"/>
  <c r="J111" i="44"/>
  <c r="J116" i="44"/>
  <c r="J102" i="44"/>
  <c r="J17" i="44"/>
  <c r="J162" i="44"/>
  <c r="J151" i="44"/>
  <c r="J147" i="44"/>
  <c r="J63" i="44"/>
  <c r="J86" i="44"/>
  <c r="J175" i="44"/>
  <c r="J120" i="44"/>
  <c r="J160" i="44"/>
  <c r="J84" i="44"/>
  <c r="H120" i="44"/>
  <c r="H153" i="44"/>
  <c r="H23" i="44"/>
  <c r="C42" i="44"/>
  <c r="J42" i="44"/>
  <c r="B47" i="44"/>
  <c r="J47" i="44"/>
  <c r="C50" i="44"/>
  <c r="J50" i="44"/>
  <c r="J52" i="44"/>
  <c r="C61" i="44"/>
  <c r="B61" i="44" s="1"/>
  <c r="J61" i="44"/>
  <c r="E65" i="44"/>
  <c r="C67" i="44"/>
  <c r="J67" i="44"/>
  <c r="E72" i="44"/>
  <c r="E102" i="44"/>
  <c r="H103" i="44"/>
  <c r="E109" i="44"/>
  <c r="B67" i="44" l="1"/>
  <c r="B50" i="44"/>
  <c r="B165" i="44"/>
  <c r="B163" i="44"/>
  <c r="B160" i="44"/>
  <c r="B14" i="44"/>
  <c r="B76" i="44"/>
  <c r="B80" i="44"/>
  <c r="B97" i="44"/>
  <c r="B44" i="44"/>
  <c r="B151" i="44"/>
  <c r="B24" i="44"/>
  <c r="B40" i="44"/>
  <c r="B108" i="44"/>
  <c r="B84" i="44"/>
  <c r="B112" i="44"/>
  <c r="B88" i="44"/>
  <c r="B147" i="44"/>
  <c r="B42" i="44"/>
  <c r="B138" i="44"/>
  <c r="B132" i="44"/>
  <c r="B94" i="44"/>
  <c r="B119" i="44"/>
  <c r="B19" i="44"/>
  <c r="B77" i="44"/>
  <c r="B126" i="44"/>
  <c r="B83" i="44"/>
  <c r="B79" i="44"/>
  <c r="B110" i="44"/>
  <c r="B173" i="44"/>
  <c r="B174" i="44"/>
  <c r="B155" i="44"/>
  <c r="B167" i="44"/>
  <c r="B154" i="44"/>
  <c r="B170" i="44"/>
  <c r="B11" i="44"/>
  <c r="B62" i="44"/>
  <c r="B134" i="44"/>
  <c r="B100" i="44"/>
  <c r="B125" i="44"/>
  <c r="B150" i="44"/>
  <c r="B12" i="44"/>
  <c r="B52" i="44"/>
  <c r="B71" i="44"/>
  <c r="B22" i="44"/>
  <c r="B114" i="44"/>
  <c r="B145" i="44"/>
  <c r="B41" i="44"/>
  <c r="B15" i="44"/>
  <c r="B81" i="44"/>
  <c r="B137" i="44"/>
  <c r="B60" i="44"/>
  <c r="B39" i="44"/>
  <c r="B116" i="44"/>
  <c r="B111" i="44"/>
  <c r="B10" i="44"/>
  <c r="B101" i="44"/>
  <c r="B93" i="44"/>
  <c r="B13" i="44"/>
  <c r="B104" i="44"/>
  <c r="B171" i="44"/>
  <c r="B166" i="44"/>
  <c r="B168" i="44"/>
  <c r="B156" i="44"/>
  <c r="B28" i="44"/>
  <c r="B20" i="44"/>
  <c r="B115" i="44"/>
  <c r="B105" i="44"/>
  <c r="B144" i="44"/>
  <c r="B54" i="44"/>
  <c r="B25" i="44"/>
  <c r="B21" i="44"/>
  <c r="B127" i="44"/>
  <c r="B136" i="44"/>
  <c r="B140" i="44"/>
  <c r="B96" i="44"/>
  <c r="B91" i="44"/>
  <c r="B146" i="44"/>
  <c r="B124" i="44"/>
  <c r="B57" i="44"/>
  <c r="B53" i="44"/>
  <c r="B89" i="44"/>
  <c r="B148" i="44"/>
  <c r="B85" i="44"/>
  <c r="B9" i="44"/>
  <c r="B123" i="44"/>
  <c r="B121" i="44"/>
  <c r="H177" i="44"/>
  <c r="B58" i="44"/>
  <c r="B45" i="44"/>
  <c r="B176" i="44"/>
  <c r="B158" i="44"/>
  <c r="B164" i="44"/>
  <c r="B172" i="44"/>
  <c r="B38" i="44"/>
  <c r="B87" i="44"/>
  <c r="B129" i="44"/>
  <c r="B43" i="44"/>
  <c r="B75" i="44"/>
  <c r="B46" i="44"/>
  <c r="B18" i="44"/>
  <c r="B35" i="44"/>
  <c r="B135" i="44"/>
  <c r="B113" i="44"/>
  <c r="B66" i="44"/>
  <c r="B49" i="44"/>
  <c r="B103" i="44"/>
  <c r="B90" i="44"/>
  <c r="B107" i="44"/>
  <c r="B128" i="44"/>
  <c r="B106" i="44"/>
  <c r="B26" i="44"/>
  <c r="B70" i="44"/>
  <c r="B120" i="44"/>
  <c r="B139" i="44"/>
  <c r="B23" i="44"/>
  <c r="B55" i="44"/>
  <c r="B159" i="44"/>
  <c r="B177" i="44" l="1"/>
</calcChain>
</file>

<file path=xl/comments1.xml><?xml version="1.0" encoding="utf-8"?>
<comments xmlns="http://schemas.openxmlformats.org/spreadsheetml/2006/main">
  <authors>
    <author>Author</author>
  </authors>
  <commentList>
    <comment ref="K4" authorId="0">
      <text>
        <r>
          <rPr>
            <b/>
            <sz val="8"/>
            <color indexed="81"/>
            <rFont val="Tahoma"/>
            <family val="2"/>
            <charset val="186"/>
          </rPr>
          <t>Osalejate arv</t>
        </r>
      </text>
    </comment>
    <comment ref="H6" authorId="0">
      <text>
        <r>
          <rPr>
            <b/>
            <sz val="8"/>
            <color indexed="81"/>
            <rFont val="Tahoma"/>
            <family val="2"/>
            <charset val="186"/>
          </rPr>
          <t>Jüri, Laste 3
Jüri terviseradade alguses Kelgumäe taga
Petangiväljak asub staadionist paremalt poolt mööda, eemalt paistab kelgumägi. Liikuda kelgumäe suunas.</t>
        </r>
      </text>
    </comment>
    <comment ref="H7" authorId="0">
      <text>
        <r>
          <rPr>
            <b/>
            <sz val="8"/>
            <color indexed="81"/>
            <rFont val="Tahoma"/>
            <family val="2"/>
            <charset val="186"/>
          </rPr>
          <t>Jüri, Laste 3
Jüri terviseradade alguses Kelgumäe taga
Petangiväljak asub staadionist paremalt poolt mööda, eemalt paistab kelgumägi. Liikuda kelgumäe suunas.</t>
        </r>
      </text>
    </comment>
    <comment ref="H9" authorId="0">
      <text>
        <r>
          <rPr>
            <b/>
            <sz val="8"/>
            <color indexed="81"/>
            <rFont val="Tahoma"/>
            <family val="2"/>
            <charset val="186"/>
          </rPr>
          <t>Tallinn, Mäekalda tn
Kadrioru pargi KUMU-poolses otsas suure purskkaevu juures</t>
        </r>
      </text>
    </comment>
    <comment ref="J9" authorId="0">
      <text>
        <r>
          <rPr>
            <b/>
            <sz val="8"/>
            <color indexed="81"/>
            <rFont val="Tahoma"/>
            <family val="2"/>
            <charset val="186"/>
          </rPr>
          <t>Juunioridel 2 €
Eesti meistrivõistlustel osalemiseks peavad olema: 
 - petankeri litsents, 
 - võistluskuulid.</t>
        </r>
      </text>
    </comment>
    <comment ref="H10" authorId="0">
      <text>
        <r>
          <rPr>
            <b/>
            <sz val="8"/>
            <color indexed="81"/>
            <rFont val="Tahoma"/>
            <family val="2"/>
            <charset val="186"/>
          </rPr>
          <t>Saku, Teaduse 2
Teaduse 2 maja taga asuv hokiväljak, kruusakate
12 väljakut</t>
        </r>
      </text>
    </comment>
    <comment ref="H11" authorId="0">
      <text>
        <r>
          <rPr>
            <b/>
            <sz val="8"/>
            <color indexed="81"/>
            <rFont val="Tahoma"/>
            <family val="2"/>
            <charset val="186"/>
          </rPr>
          <t>Valga, Pärna pst 17a 
nn “Tivoli väljak“</t>
        </r>
      </text>
    </comment>
    <comment ref="H12" authorId="0">
      <text>
        <r>
          <rPr>
            <b/>
            <sz val="8"/>
            <color indexed="81"/>
            <rFont val="Tahoma"/>
            <family val="2"/>
            <charset val="186"/>
          </rPr>
          <t>Valga, Pärna pst 17a 
nn “Tivoli väljak“</t>
        </r>
      </text>
    </comment>
    <comment ref="J12" authorId="0">
      <text>
        <r>
          <rPr>
            <b/>
            <sz val="8"/>
            <color indexed="81"/>
            <rFont val="Tahoma"/>
            <family val="2"/>
            <charset val="186"/>
          </rPr>
          <t>Osalustasu: 
25€ võistkond</t>
        </r>
      </text>
    </comment>
    <comment ref="H14" authorId="0">
      <text>
        <r>
          <rPr>
            <b/>
            <sz val="8"/>
            <color indexed="81"/>
            <rFont val="Tahoma"/>
            <family val="2"/>
            <charset val="186"/>
          </rPr>
          <t>Viljandi, Järve tn. 9</t>
        </r>
      </text>
    </comment>
    <comment ref="H15" authorId="0">
      <text>
        <r>
          <rPr>
            <b/>
            <sz val="8"/>
            <color indexed="81"/>
            <rFont val="Tahoma"/>
            <family val="2"/>
            <charset val="186"/>
          </rPr>
          <t>Viljandi, Järve tn. 9</t>
        </r>
      </text>
    </comment>
    <comment ref="H17" authorId="0">
      <text>
        <r>
          <rPr>
            <b/>
            <sz val="8"/>
            <color indexed="81"/>
            <rFont val="Tahoma"/>
            <family val="2"/>
            <charset val="186"/>
          </rPr>
          <t>Tallinn, Mäekalda tn
Kadrioru pargi KUMU-poolses otsas suure purskkaevu juures</t>
        </r>
      </text>
    </comment>
    <comment ref="H19" authorId="0">
      <text>
        <r>
          <rPr>
            <b/>
            <sz val="8"/>
            <color indexed="81"/>
            <rFont val="Tahoma"/>
            <family val="2"/>
            <charset val="186"/>
          </rPr>
          <t>Uuskalda, Kärbla küla, Lääne-Nigula vald, Läänemaa</t>
        </r>
      </text>
    </comment>
    <comment ref="J19" authorId="0">
      <text>
        <r>
          <rPr>
            <b/>
            <sz val="8"/>
            <color indexed="81"/>
            <rFont val="Tahoma"/>
            <family val="2"/>
            <charset val="186"/>
          </rPr>
          <t>Lõunaks tasuta supp
Juunioridel 2 €
Eesti meistrivõistlustel osalemiseks peavad olema: 
 - petankeri litsents, 
 - võistluskuulid, 
 - meeskonnal ühtne võistlussärk.</t>
        </r>
      </text>
    </comment>
    <comment ref="H20" authorId="0">
      <text>
        <r>
          <rPr>
            <b/>
            <sz val="8"/>
            <color indexed="81"/>
            <rFont val="Tahoma"/>
            <family val="2"/>
            <charset val="186"/>
          </rPr>
          <t>Uuskalda, Kärbla küla, Lääne-Nigula vald, Läänemaa</t>
        </r>
      </text>
    </comment>
    <comment ref="H23" authorId="0">
      <text>
        <r>
          <rPr>
            <b/>
            <sz val="8"/>
            <color indexed="81"/>
            <rFont val="Tahoma"/>
            <family val="2"/>
            <charset val="186"/>
          </rPr>
          <t>Metsa ja Jõe tänava ristist keerata Pedeli jõe poole</t>
        </r>
      </text>
    </comment>
    <comment ref="J23" authorId="0">
      <text>
        <r>
          <rPr>
            <b/>
            <sz val="8"/>
            <color indexed="81"/>
            <rFont val="Tahoma"/>
            <family val="2"/>
            <charset val="186"/>
          </rPr>
          <t>Juunioridel 2 €
Eesti meistrivõistlustel osalemiseks peavad olema: 
 - petankeri litsents, 
 - võistluskuulid, 
 - meeskonnal ühtne võistlussärk.</t>
        </r>
      </text>
    </comment>
    <comment ref="H24" authorId="0">
      <text>
        <r>
          <rPr>
            <b/>
            <sz val="8"/>
            <color indexed="81"/>
            <rFont val="Tahoma"/>
            <family val="2"/>
            <charset val="186"/>
          </rPr>
          <t>Metsa ja Jõe tänava ristist keerata Pedeli jõe poole</t>
        </r>
      </text>
    </comment>
    <comment ref="H25" authorId="0">
      <text>
        <r>
          <rPr>
            <b/>
            <sz val="8"/>
            <color indexed="81"/>
            <rFont val="Tahoma"/>
            <family val="2"/>
            <charset val="186"/>
          </rPr>
          <t>Kärdla, Nuutri 21 
Mängude maja</t>
        </r>
      </text>
    </comment>
    <comment ref="J25" authorId="0">
      <text>
        <r>
          <rPr>
            <b/>
            <sz val="8"/>
            <color indexed="81"/>
            <rFont val="Tahoma"/>
            <family val="2"/>
            <charset val="186"/>
          </rPr>
          <t>Juunioridel 2 €
Eesti meistrivõistlustel osalemiseks peavad olema: 
 - petankeri litsents, 
 - võistluskuulid, 
 - meeskonnal ühtne võistlussärk.</t>
        </r>
      </text>
    </comment>
    <comment ref="H26" authorId="0">
      <text>
        <r>
          <rPr>
            <b/>
            <sz val="8"/>
            <color indexed="81"/>
            <rFont val="Tahoma"/>
            <family val="2"/>
            <charset val="186"/>
          </rPr>
          <t>Kärdla, Nuutri 21 
Mängude maja</t>
        </r>
      </text>
    </comment>
    <comment ref="H27" authorId="0">
      <text>
        <r>
          <rPr>
            <b/>
            <sz val="8"/>
            <color indexed="81"/>
            <rFont val="Tahoma"/>
            <family val="2"/>
            <charset val="186"/>
          </rPr>
          <t>Võistlus toimub Algi 38 ees parklas, vihma korral hallis sees.</t>
        </r>
      </text>
    </comment>
    <comment ref="J27" authorId="0">
      <text>
        <r>
          <rPr>
            <b/>
            <sz val="8"/>
            <color indexed="81"/>
            <rFont val="Tahoma"/>
            <family val="2"/>
            <charset val="186"/>
          </rPr>
          <t>Juunioridel 2 €
Eesti meistrivõistlustel osalemiseks peavad olema: 
 - petankeri litsents, 
 - võistluskuulid.</t>
        </r>
      </text>
    </comment>
    <comment ref="H30" authorId="0">
      <text>
        <r>
          <rPr>
            <b/>
            <sz val="8"/>
            <color indexed="81"/>
            <rFont val="Tahoma"/>
            <family val="2"/>
            <charset val="186"/>
          </rPr>
          <t>Uuskalda, Kärbla küla, Lääne-Nigula vald, Läänemaa</t>
        </r>
      </text>
    </comment>
    <comment ref="H31" authorId="0">
      <text>
        <r>
          <rPr>
            <b/>
            <sz val="8"/>
            <color indexed="81"/>
            <rFont val="Tahoma"/>
            <family val="2"/>
            <charset val="186"/>
          </rPr>
          <t>Kohtla-Järve, Järveküla tee 44
Spordihoone taga</t>
        </r>
      </text>
    </comment>
    <comment ref="J31" authorId="0">
      <text>
        <r>
          <rPr>
            <b/>
            <sz val="8"/>
            <color indexed="81"/>
            <rFont val="Tahoma"/>
            <family val="2"/>
            <charset val="186"/>
          </rPr>
          <t>Juunioridel 2 €
Eesti meistrivõistlustel osalemiseks peavad olema: 
 - petankeri litsents, 
 - võistluskuulid, 
 - meeskonnal ühtne võistlussärk.</t>
        </r>
      </text>
    </comment>
    <comment ref="H32" authorId="0">
      <text>
        <r>
          <rPr>
            <b/>
            <sz val="8"/>
            <color indexed="81"/>
            <rFont val="Tahoma"/>
            <family val="2"/>
            <charset val="186"/>
          </rPr>
          <t>Kohtla-Järve, Järveküla tee 44
Spordihoone taga</t>
        </r>
      </text>
    </comment>
    <comment ref="H33" authorId="0">
      <text>
        <r>
          <rPr>
            <b/>
            <sz val="8"/>
            <color indexed="81"/>
            <rFont val="Tahoma"/>
            <family val="2"/>
            <charset val="186"/>
          </rPr>
          <t>Kohtla-Järve, Järveküla tee 44
Spordihoone taga</t>
        </r>
      </text>
    </comment>
    <comment ref="H34" authorId="0">
      <text>
        <r>
          <rPr>
            <b/>
            <sz val="8"/>
            <color indexed="81"/>
            <rFont val="Tahoma"/>
            <family val="2"/>
            <charset val="186"/>
          </rPr>
          <t>Saku, Teaduse 2
Teaduse 2 maja taga asuv hokiväljak, kruusakate
12 väljakut</t>
        </r>
      </text>
    </comment>
    <comment ref="H35" authorId="0">
      <text>
        <r>
          <rPr>
            <b/>
            <sz val="8"/>
            <color indexed="81"/>
            <rFont val="Tahoma"/>
            <family val="2"/>
            <charset val="186"/>
          </rPr>
          <t>Saku, Teaduse 2
Teaduse 2 maja taga asuv hokiväljak, kruusakate
12 väljakut</t>
        </r>
      </text>
    </comment>
    <comment ref="H36" authorId="0">
      <text>
        <r>
          <rPr>
            <b/>
            <sz val="8"/>
            <color indexed="81"/>
            <rFont val="Tahoma"/>
            <family val="2"/>
            <charset val="186"/>
          </rPr>
          <t>Helsingi, Pasila petangihall</t>
        </r>
      </text>
    </comment>
  </commentList>
</comments>
</file>

<file path=xl/comments2.xml><?xml version="1.0" encoding="utf-8"?>
<comments xmlns="http://schemas.openxmlformats.org/spreadsheetml/2006/main">
  <authors>
    <author>Author</author>
  </authors>
  <commentList>
    <comment ref="P1" authorId="0">
      <text>
        <r>
          <rPr>
            <b/>
            <sz val="8"/>
            <color indexed="81"/>
            <rFont val="Tahoma"/>
            <family val="2"/>
            <charset val="186"/>
          </rPr>
          <t>Koht - Punkte
  1. - 173 p
  2. - 158 p
  3. - 146 p
  4. - 135 p
  5. -  126 p
  6. -  119 p
  7. -  111 p
  8. -  104 p
  9. -   96 p
10. -   90 p
11. -   84 p
12. -   78 p
13. -   74 p
14. -   69 p
15. -   65 p
16. -   60 p
17. -   56 p
18. -   51 p
19. -   47 p
20. -   42 p
21. -   38 p
22. -   33 p
23. -   29 p
24. -   24 p
25. -   21 p
26. -   18 p
27. -   16 p
28. -   14 p
29. -   12 p
30. -   10 p
31. -     8 p
32. -     6 p
33... -   3 p
DSQ -   0 p</t>
        </r>
      </text>
    </comment>
    <comment ref="R1" authorId="0">
      <text>
        <r>
          <rPr>
            <b/>
            <sz val="8"/>
            <color indexed="81"/>
            <rFont val="Tahoma"/>
            <family val="2"/>
            <charset val="186"/>
          </rPr>
          <t>Koht - Punkte
  1. - 115 p
  2. - 105 p
  3. -   97 p
  4. -   90 p
  5. -   84 p
  6. -   79 p
  7. -   74 p
  8. -   69 p
  9. -   64 p
10. -   60 p
11. -   56 p
12. -   52 p
13. -   49 p
14. -   46 p
15. -   43 p
16. -   40 p
17. -   37 p
18. -   34 p
19. -   31 p
20. -   28 p
21. -   25 p
22. -   22 p
23. -   19 p
24. -   16 p
25. -   14 p
26. -   12 p
27. -   10 p
28. -     8 p
29. -     6 p
30. -     5 p
31. -     4 p
32. -     3 p
33... -   1 p
DSQ -   0 p</t>
        </r>
      </text>
    </comment>
    <comment ref="T1" authorId="0">
      <text>
        <r>
          <rPr>
            <b/>
            <sz val="8"/>
            <color indexed="81"/>
            <rFont val="Tahoma"/>
            <family val="2"/>
            <charset val="186"/>
          </rPr>
          <t xml:space="preserve">Koht - Punkte
  1. - 105 p
  2. -   93 p
  3. -   83 p
  4. -   74 p
  5. -   65 p
  6. -   57 p
  7. -   50 p
  8. -   42 p
  9. -   35 p
10. -   29 p
11. -   23 p
12. -   17 p
13. -   12 p
14. -     8 p
15. -     5 p
16. -     3 p
17... -   1 p
DSQ -   0 p
</t>
        </r>
      </text>
    </comment>
    <comment ref="V1" authorId="0">
      <text>
        <r>
          <rPr>
            <b/>
            <sz val="8"/>
            <color indexed="81"/>
            <rFont val="Tahoma"/>
            <family val="2"/>
            <charset val="186"/>
          </rPr>
          <t>Koht - Punkte
  1. - 53 p
  2. - 42 p
  3. - 33 p
  4. - 27 p
  5. - 23 p
  6. - 18 p
  7. -  14 p
  8. -   9 p
  9. -   5 p
10... - 2 p
DSQ - 0 p</t>
        </r>
      </text>
    </comment>
    <comment ref="I7" authorId="0">
      <text>
        <r>
          <rPr>
            <b/>
            <sz val="8"/>
            <color indexed="81"/>
            <rFont val="Tahoma"/>
            <family val="2"/>
            <charset val="186"/>
          </rPr>
          <t>Mehed, naised ja juuniorid võistlesid seekord eraldi</t>
        </r>
      </text>
    </comment>
    <comment ref="S7" authorId="0">
      <text>
        <r>
          <rPr>
            <b/>
            <sz val="8"/>
            <color indexed="81"/>
            <rFont val="Tahoma"/>
            <family val="2"/>
            <charset val="186"/>
          </rPr>
          <t xml:space="preserve">Mehed ja naised võistlesid seekord eraldi. 
Meesjuuniorid võistlesid koos meestega.
</t>
        </r>
      </text>
    </comment>
    <comment ref="A177" authorId="0">
      <text>
        <r>
          <rPr>
            <b/>
            <sz val="8"/>
            <color indexed="81"/>
            <rFont val="Tahoma"/>
            <family val="2"/>
            <charset val="186"/>
          </rPr>
          <t>Osalejate arv koos sisehooajaga. 
Ainult väljas käis mängimas 145 petankerit.</t>
        </r>
      </text>
    </comment>
    <comment ref="I177" authorId="0">
      <text>
        <r>
          <rPr>
            <b/>
            <sz val="8"/>
            <color indexed="81"/>
            <rFont val="Tahoma"/>
            <family val="2"/>
            <charset val="186"/>
          </rPr>
          <t>Mehed, naised ja juuniorid võistlesid eraldi: 
25 meest, 
  8 naist, 
  8 juuniori</t>
        </r>
      </text>
    </comment>
    <comment ref="S177" authorId="0">
      <text>
        <r>
          <rPr>
            <b/>
            <sz val="8"/>
            <color indexed="81"/>
            <rFont val="Tahoma"/>
            <family val="2"/>
            <charset val="186"/>
          </rPr>
          <t>Mehed ja naised võistlesid eraldi: 
18 meest, 
  7 naist</t>
        </r>
      </text>
    </comment>
  </commentList>
</comments>
</file>

<file path=xl/comments3.xml><?xml version="1.0" encoding="utf-8"?>
<comments xmlns="http://schemas.openxmlformats.org/spreadsheetml/2006/main">
  <authors>
    <author>Author</author>
  </authors>
  <commentList>
    <comment ref="O1" authorId="0">
      <text>
        <r>
          <rPr>
            <b/>
            <sz val="8"/>
            <color indexed="81"/>
            <rFont val="Tahoma"/>
            <family val="2"/>
            <charset val="186"/>
          </rPr>
          <t>Koht - Punkte
  1. - 173 p
  2. - 158 p
  3. - 146 p
  4. - 135 p
  5. -  126 p
  6. -  119 p
  7. -  111 p
  8. -  104 p
  9. -   96 p
10. -   90 p
11. -   84 p
12. -   78 p
13. -   74 p
14. -   69 p
15. -   65 p
16. -   60 p
17. -   56 p
18. -   51 p
19. -   47 p
20. -   42 p
21. -   38 p
22. -   33 p
23. -   29 p
24. -   24 p
25. -   21 p
26. -   18 p
27. -   16 p
28. -   14 p
29. -   12 p
30. -   10 p
31. -     8 p
32. -     6 p
33... -   3 p
DSQ -   0 p</t>
        </r>
      </text>
    </comment>
    <comment ref="Q1" authorId="0">
      <text>
        <r>
          <rPr>
            <b/>
            <sz val="8"/>
            <color indexed="81"/>
            <rFont val="Tahoma"/>
            <family val="2"/>
            <charset val="186"/>
          </rPr>
          <t>Koht - Punkte
  1. - 115 p
  2. - 105 p
  3. -   97 p
  4. -   90 p
  5. -   84 p
  6. -   79 p
  7. -   74 p
  8. -   69 p
  9. -   64 p
10. -   60 p
11. -   56 p
12. -   52 p
13. -   49 p
14. -   46 p
15. -   43 p
16. -   40 p
17. -   37 p
18. -   34 p
19. -   31 p
20. -   28 p
21. -   25 p
22. -   22 p
23. -   19 p
24. -   16 p
25. -   14 p
26. -   12 p
27. -   10 p
28. -     8 p
29. -     6 p
30. -     5 p
31. -     4 p
32. -     3 p
33... -   1 p
DSQ -   0 p</t>
        </r>
      </text>
    </comment>
    <comment ref="S1" authorId="0">
      <text>
        <r>
          <rPr>
            <b/>
            <sz val="8"/>
            <color indexed="81"/>
            <rFont val="Tahoma"/>
            <family val="2"/>
            <charset val="186"/>
          </rPr>
          <t xml:space="preserve">Koht - Punkte
  1. - 105 p
  2. -   93 p
  3. -   83 p
  4. -   74 p
  5. -   65 p
  6. -   57 p
  7. -   50 p
  8. -   42 p
  9. -   35 p
10. -   29 p
11. -   23 p
12. -   17 p
13. -   12 p
14. -     8 p
15. -     5 p
16. -     3 p
17... -   1 p
DSQ -   0 p
</t>
        </r>
      </text>
    </comment>
    <comment ref="V1" authorId="0">
      <text>
        <r>
          <rPr>
            <b/>
            <sz val="8"/>
            <color indexed="81"/>
            <rFont val="Tahoma"/>
            <family val="2"/>
            <charset val="186"/>
          </rPr>
          <t>Koht - Punkte
  1. - 53 p
  2. - 42 p
  3. - 33 p
  4. - 27 p
  5. - 23 p
  6. - 18 p
  7. -  14 p
  8. -   9 p
  9. -   5 p
10... - 2 p
DSQ - 0 p</t>
        </r>
      </text>
    </comment>
    <comment ref="W4" authorId="0">
      <text>
        <r>
          <rPr>
            <b/>
            <sz val="8"/>
            <color indexed="81"/>
            <rFont val="Tahoma"/>
            <family val="2"/>
            <charset val="186"/>
          </rPr>
          <t>Auhinnad antakse välja tingimusel, et on osaletud vähemalt 9 võistlusel.</t>
        </r>
      </text>
    </comment>
    <comment ref="I7" authorId="0">
      <text>
        <r>
          <rPr>
            <b/>
            <sz val="8"/>
            <color indexed="81"/>
            <rFont val="Tahoma"/>
            <family val="2"/>
            <charset val="186"/>
          </rPr>
          <t>Mehed, naised ja juuniorid võistlesid seekord eraldi</t>
        </r>
      </text>
    </comment>
    <comment ref="S7" authorId="0">
      <text>
        <r>
          <rPr>
            <b/>
            <sz val="8"/>
            <color indexed="81"/>
            <rFont val="Tahoma"/>
            <family val="2"/>
            <charset val="186"/>
          </rPr>
          <t xml:space="preserve">Mehed ja naised võistlesid seekord eraldi. 
Meesjuuniorid võistlesid koos meestega.
</t>
        </r>
      </text>
    </comment>
    <comment ref="A128" authorId="0">
      <text>
        <r>
          <rPr>
            <b/>
            <sz val="8"/>
            <color indexed="81"/>
            <rFont val="Tahoma"/>
            <family val="2"/>
            <charset val="186"/>
          </rPr>
          <t>Osalejate arv koos sisehooajaga. 
Ainult väljas käis mängimas 101 meest.</t>
        </r>
      </text>
    </comment>
    <comment ref="I128" authorId="0">
      <text>
        <r>
          <rPr>
            <b/>
            <sz val="8"/>
            <color indexed="81"/>
            <rFont val="Tahoma"/>
            <family val="2"/>
            <charset val="186"/>
          </rPr>
          <t>Mehed, naised ja juuniorid võistlesid eraldi: 
25 meest, 
  8 naist, 
  8 juuniori</t>
        </r>
      </text>
    </comment>
  </commentList>
</comments>
</file>

<file path=xl/comments4.xml><?xml version="1.0" encoding="utf-8"?>
<comments xmlns="http://schemas.openxmlformats.org/spreadsheetml/2006/main">
  <authors>
    <author>Author</author>
  </authors>
  <commentList>
    <comment ref="O1" authorId="0">
      <text>
        <r>
          <rPr>
            <b/>
            <sz val="8"/>
            <color indexed="81"/>
            <rFont val="Tahoma"/>
            <family val="2"/>
            <charset val="186"/>
          </rPr>
          <t>Koht - Punkte
  1. - 173 p
  2. - 158 p
  3. - 146 p
  4. - 135 p
  5. -  126 p
  6. -  119 p
  7. -  111 p
  8. -  104 p
  9. -   96 p
10. -   90 p
11. -   84 p
12. -   78 p
13. -   74 p
14. -   69 p
15. -   65 p
16. -   60 p
17. -   56 p
18. -   51 p
19. -   47 p
20. -   42 p
21. -   38 p
22. -   33 p
23. -   29 p
24. -   24 p
25. -   21 p
26. -   18 p
27. -   16 p
28. -   14 p
29. -   12 p
30. -   10 p
31. -     8 p
32. -     6 p
33... -   3 p
DSQ -   0 p</t>
        </r>
      </text>
    </comment>
    <comment ref="Q1" authorId="0">
      <text>
        <r>
          <rPr>
            <b/>
            <sz val="8"/>
            <color indexed="81"/>
            <rFont val="Tahoma"/>
            <family val="2"/>
            <charset val="186"/>
          </rPr>
          <t>Koht - Punkte
  1. - 115 p
  2. - 105 p
  3. -   97 p
  4. -   90 p
  5. -   84 p
  6. -   79 p
  7. -   74 p
  8. -   69 p
  9. -   64 p
10. -   60 p
11. -   56 p
12. -   52 p
13. -   49 p
14. -   46 p
15. -   43 p
16. -   40 p
17. -   37 p
18. -   34 p
19. -   31 p
20. -   28 p
21. -   25 p
22. -   22 p
23. -   19 p
24. -   16 p
25. -   14 p
26. -   12 p
27. -   10 p
28. -     8 p
29. -     6 p
30. -     5 p
31. -     4 p
32. -     3 p
33... -   1 p
DSQ -   0 p</t>
        </r>
      </text>
    </comment>
    <comment ref="S1" authorId="0">
      <text>
        <r>
          <rPr>
            <b/>
            <sz val="8"/>
            <color indexed="81"/>
            <rFont val="Tahoma"/>
            <family val="2"/>
            <charset val="186"/>
          </rPr>
          <t xml:space="preserve">Koht - Punkte
  1. - 105 p
  2. -   93 p
  3. -   83 p
  4. -   74 p
  5. -   65 p
  6. -   57 p
  7. -   50 p
  8. -   42 p
  9. -   35 p
10. -   29 p
11. -   23 p
12. -   17 p
13. -   12 p
14. -     8 p
15. -     5 p
16. -     3 p
17... -   1 p
DSQ -   0 p
</t>
        </r>
      </text>
    </comment>
    <comment ref="V1" authorId="0">
      <text>
        <r>
          <rPr>
            <b/>
            <sz val="8"/>
            <color indexed="81"/>
            <rFont val="Tahoma"/>
            <family val="2"/>
            <charset val="186"/>
          </rPr>
          <t>Koht - Punkte
  1. - 53 p
  2. - 42 p
  3. - 33 p
  4. - 27 p
  5. - 23 p
  6. - 18 p
  7. -  14 p
  8. -   9 p
  9. -   5 p
10... - 2 p
DSQ - 0 p</t>
        </r>
      </text>
    </comment>
    <comment ref="W4" authorId="0">
      <text>
        <r>
          <rPr>
            <b/>
            <sz val="8"/>
            <color indexed="81"/>
            <rFont val="Tahoma"/>
            <family val="2"/>
            <charset val="186"/>
          </rPr>
          <t>Auhinnad antakse välja tingimusel, et on osaletud vähemalt 9 võistlusel.</t>
        </r>
      </text>
    </comment>
    <comment ref="I7" authorId="0">
      <text>
        <r>
          <rPr>
            <b/>
            <sz val="8"/>
            <color indexed="81"/>
            <rFont val="Tahoma"/>
            <family val="2"/>
            <charset val="186"/>
          </rPr>
          <t>Mehed, naised ja juuniorid võistlesid seekord eraldi</t>
        </r>
      </text>
    </comment>
    <comment ref="S7" authorId="0">
      <text>
        <r>
          <rPr>
            <b/>
            <sz val="8"/>
            <color indexed="81"/>
            <rFont val="Tahoma"/>
            <family val="2"/>
            <charset val="186"/>
          </rPr>
          <t xml:space="preserve">Mehed ja naised võistlesid seekord eraldi. 
Meesjuuniorid võistlesid koos meestega.
</t>
        </r>
      </text>
    </comment>
    <comment ref="W12" authorId="0">
      <text>
        <r>
          <rPr>
            <b/>
            <sz val="8"/>
            <color indexed="81"/>
            <rFont val="Tahoma"/>
            <family val="2"/>
            <charset val="186"/>
          </rPr>
          <t>Auhinnad antakse välja tingimusel, et on osaletud vähemalt 9 võistlusel.</t>
        </r>
      </text>
    </comment>
    <comment ref="A58" authorId="0">
      <text>
        <r>
          <rPr>
            <b/>
            <sz val="8"/>
            <color indexed="81"/>
            <rFont val="Tahoma"/>
            <family val="2"/>
            <charset val="186"/>
          </rPr>
          <t>Osalejate arv koos sisehooajaga. 
Ainult väljas käis mängimas 44 naist.</t>
        </r>
      </text>
    </comment>
    <comment ref="I58" authorId="0">
      <text>
        <r>
          <rPr>
            <b/>
            <sz val="8"/>
            <color indexed="81"/>
            <rFont val="Tahoma"/>
            <family val="2"/>
            <charset val="186"/>
          </rPr>
          <t>Mehed, naised ja juuniorid võistlesid eraldi: 
25 meest, 
  8 naist, 
  8 juuniori</t>
        </r>
      </text>
    </comment>
  </commentList>
</comments>
</file>

<file path=xl/comments5.xml><?xml version="1.0" encoding="utf-8"?>
<comments xmlns="http://schemas.openxmlformats.org/spreadsheetml/2006/main">
  <authors>
    <author>Author</author>
  </authors>
  <commentList>
    <comment ref="O1" authorId="0">
      <text>
        <r>
          <rPr>
            <b/>
            <sz val="8"/>
            <color indexed="81"/>
            <rFont val="Tahoma"/>
            <family val="2"/>
            <charset val="186"/>
          </rPr>
          <t>Koht - Punkte
  1. - 173 p
  2. - 158 p
  3. - 146 p
  4. - 135 p
  5. -  126 p
  6. -  119 p
  7. -  111 p
  8. -  104 p
  9. -   96 p
10. -   90 p
11. -   84 p
12. -   78 p
13. -   74 p
14. -   69 p
15. -   65 p
16. -   60 p
17. -   56 p
18. -   51 p
19. -   47 p
20. -   42 p
21. -   38 p
22. -   33 p
23. -   29 p
24. -   24 p
25. -   21 p
26. -   18 p
27. -   16 p
28. -   14 p
29. -   12 p
30. -   10 p
31. -     8 p
32. -     6 p
33... -   3 p
DSQ -   0 p</t>
        </r>
      </text>
    </comment>
    <comment ref="Q1" authorId="0">
      <text>
        <r>
          <rPr>
            <b/>
            <sz val="8"/>
            <color indexed="81"/>
            <rFont val="Tahoma"/>
            <family val="2"/>
            <charset val="186"/>
          </rPr>
          <t>Koht - Punkte
  1. - 115 p
  2. - 105 p
  3. -   97 p
  4. -   90 p
  5. -   84 p
  6. -   79 p
  7. -   74 p
  8. -   69 p
  9. -   64 p
10. -   60 p
11. -   56 p
12. -   52 p
13. -   49 p
14. -   46 p
15. -   43 p
16. -   40 p
17. -   37 p
18. -   34 p
19. -   31 p
20. -   28 p
21. -   25 p
22. -   22 p
23. -   19 p
24. -   16 p
25. -   14 p
26. -   12 p
27. -   10 p
28. -     8 p
29. -     6 p
30. -     5 p
31. -     4 p
32. -     3 p
33... -   1 p
DSQ -   0 p</t>
        </r>
      </text>
    </comment>
    <comment ref="S1" authorId="0">
      <text>
        <r>
          <rPr>
            <b/>
            <sz val="8"/>
            <color indexed="81"/>
            <rFont val="Tahoma"/>
            <family val="2"/>
            <charset val="186"/>
          </rPr>
          <t xml:space="preserve">Koht - Punkte
  1. - 105 p
  2. -   93 p
  3. -   83 p
  4. -   74 p
  5. -   65 p
  6. -   57 p
  7. -   50 p
  8. -   42 p
  9. -   35 p
10. -   29 p
11. -   23 p
12. -   17 p
13. -   12 p
14. -     8 p
15. -     5 p
16. -     3 p
17... -   1 p
DSQ -   0 p
</t>
        </r>
      </text>
    </comment>
    <comment ref="V1" authorId="0">
      <text>
        <r>
          <rPr>
            <b/>
            <sz val="8"/>
            <color indexed="81"/>
            <rFont val="Tahoma"/>
            <family val="2"/>
            <charset val="186"/>
          </rPr>
          <t>Koht - Punkte
  1. - 53 p
  2. - 42 p
  3. - 33 p
  4. - 27 p
  5. - 23 p
  6. - 18 p
  7. -  14 p
  8. -   9 p
  9. -   5 p
10... - 2 p
DSQ - 0 p</t>
        </r>
      </text>
    </comment>
    <comment ref="W4" authorId="0">
      <text>
        <r>
          <rPr>
            <b/>
            <sz val="8"/>
            <color indexed="81"/>
            <rFont val="Tahoma"/>
            <family val="2"/>
            <charset val="186"/>
          </rPr>
          <t>Auhinnad antakse välja tingimusel, et on osaletud vähemalt 9 võistlusel.</t>
        </r>
      </text>
    </comment>
    <comment ref="I7" authorId="0">
      <text>
        <r>
          <rPr>
            <b/>
            <sz val="8"/>
            <color indexed="81"/>
            <rFont val="Tahoma"/>
            <family val="2"/>
            <charset val="186"/>
          </rPr>
          <t>Mehed, naised ja juuniorid võistlesid seekord eraldi</t>
        </r>
      </text>
    </comment>
    <comment ref="S7" authorId="0">
      <text>
        <r>
          <rPr>
            <b/>
            <sz val="8"/>
            <color indexed="81"/>
            <rFont val="Tahoma"/>
            <family val="2"/>
            <charset val="186"/>
          </rPr>
          <t xml:space="preserve">Mehed ja naised võistlesid seekord eraldi. 
Meesjuuniorid võistlesid koos meestega.
</t>
        </r>
      </text>
    </comment>
    <comment ref="W11" authorId="0">
      <text>
        <r>
          <rPr>
            <b/>
            <sz val="8"/>
            <color indexed="81"/>
            <rFont val="Tahoma"/>
            <family val="2"/>
            <charset val="186"/>
          </rPr>
          <t>Auhinnad antakse välja tingimusel, et on osaletud vähemalt 9 võistlusel.</t>
        </r>
      </text>
    </comment>
    <comment ref="S21" authorId="0">
      <text>
        <r>
          <rPr>
            <b/>
            <sz val="8"/>
            <color indexed="81"/>
            <rFont val="Tahoma"/>
            <family val="2"/>
            <charset val="186"/>
          </rPr>
          <t xml:space="preserve">Mehed ja naised võistlesid seekord eraldi. Meesjuuniorid võistlesid koos meestega.
</t>
        </r>
      </text>
    </comment>
  </commentList>
</comments>
</file>

<file path=xl/comments6.xml><?xml version="1.0" encoding="utf-8"?>
<comments xmlns="http://schemas.openxmlformats.org/spreadsheetml/2006/main">
  <authors>
    <author>Author</author>
  </authors>
  <commentList>
    <comment ref="F129" authorId="0">
      <text>
        <r>
          <rPr>
            <b/>
            <sz val="8"/>
            <color indexed="81"/>
            <rFont val="Tahoma"/>
            <family val="2"/>
            <charset val="186"/>
          </rPr>
          <t>EPKL lehel on 4 punkti. 
Käekirja järgi ei saa aru, kumb number on õige.</t>
        </r>
      </text>
    </comment>
  </commentList>
</comments>
</file>

<file path=xl/comments7.xml><?xml version="1.0" encoding="utf-8"?>
<comments xmlns="http://schemas.openxmlformats.org/spreadsheetml/2006/main">
  <authors>
    <author>Author</author>
  </authors>
  <commentList>
    <comment ref="F12" authorId="0">
      <text>
        <r>
          <rPr>
            <b/>
            <sz val="8"/>
            <color indexed="81"/>
            <rFont val="Tahoma"/>
            <family val="2"/>
            <charset val="186"/>
          </rPr>
          <t>Registreeritud oli Kert Kangur, kuid mängis Siiri Baranova</t>
        </r>
      </text>
    </comment>
  </commentList>
</comments>
</file>

<file path=xl/comments8.xml><?xml version="1.0" encoding="utf-8"?>
<comments xmlns="http://schemas.openxmlformats.org/spreadsheetml/2006/main">
  <authors>
    <author>Author</author>
  </authors>
  <commentList>
    <comment ref="Y28"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9.xml><?xml version="1.0" encoding="utf-8"?>
<comments xmlns="http://schemas.openxmlformats.org/spreadsheetml/2006/main">
  <authors>
    <author>Author</author>
  </authors>
  <commentList>
    <comment ref="B22" authorId="0">
      <text>
        <r>
          <rPr>
            <b/>
            <sz val="8"/>
            <color indexed="81"/>
            <rFont val="Tahoma"/>
            <family val="2"/>
            <charset val="186"/>
          </rPr>
          <t>Seisuga 23.07.2016 oli kirjas ühekordne litsents, augusti algul enam mitte</t>
        </r>
      </text>
    </comment>
    <comment ref="B45" authorId="0">
      <text>
        <r>
          <rPr>
            <b/>
            <sz val="8"/>
            <color indexed="81"/>
            <rFont val="Tahoma"/>
            <family val="2"/>
            <charset val="186"/>
          </rPr>
          <t>Seisuga 23.07.2016 oli veel kirjas Kalev PK</t>
        </r>
      </text>
    </comment>
  </commentList>
</comments>
</file>

<file path=xl/comments10.xml><?xml version="1.0" encoding="utf-8"?>
<comments xmlns="http://schemas.openxmlformats.org/spreadsheetml/2006/main">
  <authors>
    <author>Author</author>
  </authors>
  <commentList>
    <comment ref="AF1" authorId="0">
      <text>
        <r>
          <rPr>
            <b/>
            <sz val="8"/>
            <color indexed="81"/>
            <rFont val="Tahoma"/>
            <family val="2"/>
            <charset val="186"/>
          </rPr>
          <t>Koht - Punkte
  1. - 173 p
  2. - 158 p
  3. - 146 p
  4. - 135 p
  5. -  126 p
  6. -  119 p
  7. -  111 p
  8. -  104 p
  9. -   96 p
10. -   90 p
11. -   84 p
12. -   78 p
13. -   74 p
14. -   69 p
15. -   65 p
16. -   60 p
17. -   56 p
18. -   51 p
19. -   47 p
20. -   42 p
21. -   38 p
22. -   33 p
23. -   29 p
24. -   24 p
25. -   21 p
26. -   18 p
27. -   16 p
28. -   14 p
29. -   12 p
30. -   10 p
31. -     8 p
32. -     6 p
33... -   3 p
DSQ -   0 p</t>
        </r>
      </text>
    </comment>
    <comment ref="AH1" authorId="0">
      <text>
        <r>
          <rPr>
            <b/>
            <sz val="8"/>
            <color indexed="81"/>
            <rFont val="Tahoma"/>
            <family val="2"/>
            <charset val="186"/>
          </rPr>
          <t>Koht - Punkte
  1. - 115 p
  2. - 105 p
  3. -   97 p
  4. -   90 p
  5. -   84 p
  6. -   79 p
  7. -   74 p
  8. -   69 p
  9. -   64 p
10. -   60 p
11. -   56 p
12. -   52 p
13. -   49 p
14. -   46 p
15. -   43 p
16. -   40 p
17. -   37 p
18. -   34 p
19. -   31 p
20. -   28 p
21. -   25 p
22. -   22 p
23. -   19 p
24. -   16 p
25. -   14 p
26. -   12 p
27. -   10 p
28. -     8 p
29. -     6 p
30. -     5 p
31. -     4 p
32. -     3 p
33... -   1 p
DSQ -   0 p</t>
        </r>
      </text>
    </comment>
    <comment ref="AJ1" authorId="0">
      <text>
        <r>
          <rPr>
            <b/>
            <sz val="8"/>
            <color indexed="81"/>
            <rFont val="Tahoma"/>
            <family val="2"/>
            <charset val="186"/>
          </rPr>
          <t xml:space="preserve">Koht - Punkte
  1. - 105 p
  2. -   93 p
  3. -   83 p
  4. -   74 p
  5. -   65 p
  6. -   57 p
  7. -   50 p
  8. -   42 p
  9. -   35 p
10. -   29 p
11. -   23 p
12. -   17 p
13. -   12 p
14. -     8 p
15. -     5 p
16. -     3 p
17... -   1 p
DSQ -   0 p
</t>
        </r>
      </text>
    </comment>
    <comment ref="AM1" authorId="0">
      <text>
        <r>
          <rPr>
            <b/>
            <sz val="8"/>
            <color indexed="81"/>
            <rFont val="Tahoma"/>
            <family val="2"/>
            <charset val="186"/>
          </rPr>
          <t>Koht - Punkte
  1. - 53 p
  2. - 42 p
  3. - 33 p
  4. - 27 p
  5. - 23 p
  6. - 18 p
  7. -  14 p
  8. -   9 p
  9. -   5 p
10... - 2 p
DSQ - 0 p</t>
        </r>
      </text>
    </comment>
    <comment ref="J6" authorId="0">
      <text>
        <r>
          <rPr>
            <b/>
            <sz val="8"/>
            <color indexed="81"/>
            <rFont val="Tahoma"/>
            <family val="2"/>
            <charset val="186"/>
          </rPr>
          <t>Valem arvutab punktisumma järgi võistleja koha.  
Võrdse punktisumma korral paneb ühesuguse koha. 
Valem töötab Microsoft ja WPS Office-ga. 
Vahel ei tööta Libre ja Open Office-ga.</t>
        </r>
      </text>
    </comment>
    <comment ref="N7" authorId="0">
      <text>
        <r>
          <rPr>
            <b/>
            <sz val="8"/>
            <color indexed="81"/>
            <rFont val="Tahoma"/>
            <family val="2"/>
            <charset val="186"/>
          </rPr>
          <t>Valem arvutab punktisumma ja võtab kehvemad tulemused maha.
Valem töötab Microsoft ja WPS Office-iga. 
Alati ei tööta Libre ja Open Office-iga.</t>
        </r>
      </text>
    </comment>
    <comment ref="X7" authorId="0">
      <text>
        <r>
          <rPr>
            <b/>
            <sz val="8"/>
            <color indexed="81"/>
            <rFont val="Tahoma"/>
            <family val="2"/>
            <charset val="186"/>
          </rPr>
          <t>Mehed, naised ja juuniorid võistlesid seekord eraldi</t>
        </r>
      </text>
    </comment>
    <comment ref="Z7" authorId="0">
      <text>
        <r>
          <rPr>
            <b/>
            <sz val="8"/>
            <color indexed="81"/>
            <rFont val="Tahoma"/>
            <family val="2"/>
            <charset val="186"/>
          </rPr>
          <t>Siia veergu kirjuta punktid vaid siis kui juuniore on &gt;=6 ja nad võistlesid eraldi</t>
        </r>
      </text>
    </comment>
    <comment ref="AJ7" authorId="0">
      <text>
        <r>
          <rPr>
            <b/>
            <sz val="8"/>
            <color indexed="81"/>
            <rFont val="Tahoma"/>
            <family val="2"/>
            <charset val="186"/>
          </rPr>
          <t>Mehed ja naised võistlesid seekord eraldi. Meesjuuniorid võistlesid koos meestega.</t>
        </r>
      </text>
    </comment>
    <comment ref="AL7" authorId="0">
      <text>
        <r>
          <rPr>
            <b/>
            <sz val="8"/>
            <color indexed="81"/>
            <rFont val="Tahoma"/>
            <family val="2"/>
            <charset val="186"/>
          </rPr>
          <t>Siia veergu kirjuta punktid vaid siis kui juuniore &gt;=6 ja nad võistlesid eraldi</t>
        </r>
      </text>
    </comment>
    <comment ref="X177" authorId="0">
      <text>
        <r>
          <rPr>
            <b/>
            <sz val="8"/>
            <color indexed="81"/>
            <rFont val="Tahoma"/>
            <family val="2"/>
            <charset val="186"/>
          </rPr>
          <t>Mehed, naised ja juuniorid võistlesid eraldi: 
25 meest, 
  8 naist, 
  8 juuniori</t>
        </r>
      </text>
    </comment>
    <comment ref="AJ177" authorId="0">
      <text>
        <r>
          <rPr>
            <b/>
            <sz val="8"/>
            <color indexed="81"/>
            <rFont val="Tahoma"/>
            <family val="2"/>
            <charset val="186"/>
          </rPr>
          <t>Mehed, naised võistlesid eraldi: 
18 meest, 
  7 naist</t>
        </r>
      </text>
    </comment>
  </commentList>
</comments>
</file>

<file path=xl/sharedStrings.xml><?xml version="1.0" encoding="utf-8"?>
<sst xmlns="http://schemas.openxmlformats.org/spreadsheetml/2006/main" count="8326" uniqueCount="1217">
  <si>
    <t>EESTI PETANGI VÄLISHOOAJA REITING 2016</t>
  </si>
  <si>
    <t>Punktid:</t>
  </si>
  <si>
    <t>EMV</t>
  </si>
  <si>
    <t>Reiting</t>
  </si>
  <si>
    <t>Kuld</t>
  </si>
  <si>
    <t>Arvesse läheb 16st võistlusest 12 (10st reitinguvõistlusest 7 paremat + 6st Eesti MV-st 5 paremat) + sisereiting</t>
  </si>
  <si>
    <t>Hõbe</t>
  </si>
  <si>
    <t>Pronks</t>
  </si>
  <si>
    <t xml:space="preserve"> </t>
  </si>
  <si>
    <t>Tallinn</t>
  </si>
  <si>
    <t>Osalusi</t>
  </si>
  <si>
    <t>Sise</t>
  </si>
  <si>
    <t>Meda</t>
  </si>
  <si>
    <t>Eesti</t>
  </si>
  <si>
    <t>rei</t>
  </si>
  <si>
    <t>leid</t>
  </si>
  <si>
    <t>Või</t>
  </si>
  <si>
    <t>meis</t>
  </si>
  <si>
    <t>ting</t>
  </si>
  <si>
    <t>***</t>
  </si>
  <si>
    <t>**</t>
  </si>
  <si>
    <t>*</t>
  </si>
  <si>
    <t>S***</t>
  </si>
  <si>
    <t>S**</t>
  </si>
  <si>
    <t>TUL</t>
  </si>
  <si>
    <t>te</t>
  </si>
  <si>
    <t>ter</t>
  </si>
  <si>
    <t>val</t>
  </si>
  <si>
    <t>Koht</t>
  </si>
  <si>
    <t>Võistleja nimi</t>
  </si>
  <si>
    <t>Kokku</t>
  </si>
  <si>
    <t>N</t>
  </si>
  <si>
    <t>J</t>
  </si>
  <si>
    <t>Silver Kingissepp</t>
  </si>
  <si>
    <t>Merike Aava</t>
  </si>
  <si>
    <t>n</t>
  </si>
  <si>
    <t>Marek Kolk</t>
  </si>
  <si>
    <t>Katri Aavekukk</t>
  </si>
  <si>
    <t>Kalju Olmre</t>
  </si>
  <si>
    <t>Mare Kingissepp</t>
  </si>
  <si>
    <t>Margus Limberg</t>
  </si>
  <si>
    <t>Ivar Viljaste</t>
  </si>
  <si>
    <t>Kaarel Mikk</t>
  </si>
  <si>
    <t>Külli Kariste</t>
  </si>
  <si>
    <t>Aimar Poom</t>
  </si>
  <si>
    <t>Kadri Arunurm</t>
  </si>
  <si>
    <t>Jaanus Kasper</t>
  </si>
  <si>
    <t>Egert Kingissepp</t>
  </si>
  <si>
    <t>Marju Velga</t>
  </si>
  <si>
    <t>Oskar Sepp</t>
  </si>
  <si>
    <t>j</t>
  </si>
  <si>
    <t>Jaan Sepp</t>
  </si>
  <si>
    <t>Sirje Viljaste</t>
  </si>
  <si>
    <t>Mihkel Filipenko</t>
  </si>
  <si>
    <t>Merike Lusbo</t>
  </si>
  <si>
    <t>Marko Ode</t>
  </si>
  <si>
    <t>Marge Mägi</t>
  </si>
  <si>
    <t>Margus Strööm</t>
  </si>
  <si>
    <t>Arvi Palla</t>
  </si>
  <si>
    <t>Varje Reede</t>
  </si>
  <si>
    <t>Matti Vinni</t>
  </si>
  <si>
    <t>Aigar Lusbo</t>
  </si>
  <si>
    <t>Margo Peebo</t>
  </si>
  <si>
    <t>Kadri Veljend</t>
  </si>
  <si>
    <t>Aarne Välja</t>
  </si>
  <si>
    <t>Eve Oidsalu</t>
  </si>
  <si>
    <t>Mait Metsla</t>
  </si>
  <si>
    <t>Maive Sein</t>
  </si>
  <si>
    <t>Ülo Piik</t>
  </si>
  <si>
    <t>Janek Kiisk</t>
  </si>
  <si>
    <t>Marina Vallik</t>
  </si>
  <si>
    <t>Kaido Kopel</t>
  </si>
  <si>
    <t>Toomas Reede</t>
  </si>
  <si>
    <t>Peep Puiestik</t>
  </si>
  <si>
    <t>Maret Arike</t>
  </si>
  <si>
    <t>Irene Võrklaev</t>
  </si>
  <si>
    <t>Alari Keedus</t>
  </si>
  <si>
    <t>Aivar Sein</t>
  </si>
  <si>
    <t>Priit Koppel</t>
  </si>
  <si>
    <t>Vello Sillasoo</t>
  </si>
  <si>
    <t>Hardo Sokk</t>
  </si>
  <si>
    <t>Anne Sillamaa</t>
  </si>
  <si>
    <t>Elmo Lageda</t>
  </si>
  <si>
    <t>Tõnu Kapper</t>
  </si>
  <si>
    <t>Tiit Palk</t>
  </si>
  <si>
    <t>Mati Tapo</t>
  </si>
  <si>
    <t>Endla Antsve</t>
  </si>
  <si>
    <t>Kaido Antsve</t>
  </si>
  <si>
    <t>Janek Tarto</t>
  </si>
  <si>
    <t>Helle Siidla</t>
  </si>
  <si>
    <t>Mihkel Palk</t>
  </si>
  <si>
    <t>Tõnu Piik</t>
  </si>
  <si>
    <t>Kalju Kallasmaa</t>
  </si>
  <si>
    <t>Arti Lindvest</t>
  </si>
  <si>
    <t>Jaanus Otsman</t>
  </si>
  <si>
    <t>Raul Mõtus</t>
  </si>
  <si>
    <t>Vello Vasser</t>
  </si>
  <si>
    <t>Aigi Orro</t>
  </si>
  <si>
    <t>Alar Sinimäe</t>
  </si>
  <si>
    <t>Rutt Voldek</t>
  </si>
  <si>
    <t>Vallo Sillamaa</t>
  </si>
  <si>
    <t>Osalejaid</t>
  </si>
  <si>
    <t>Võistkondi</t>
  </si>
  <si>
    <t>EPKL VÄLISHOOAJA VÕISTLUSTE REITNGU JUHEND 01.mai – 30.oktoober 2016.a.</t>
  </si>
  <si>
    <t>2016 a. suvereitingus on 16 võistlust:</t>
  </si>
  <si>
    <t>kuus Eesti Meistrivõistlust (EMV), millest läheb arvesse 5 paremat ja 10 ( 5 triot ja 5 paarismängu) reitinguvõistlust, millest läheb arvesse 7 paremat võistlust.</t>
  </si>
  <si>
    <t>Reitingupunkte arvestatakse ainult siis, kui võistlustel osaleb vähemalt 6 (kuus) võistlejat/võistkonda.</t>
  </si>
  <si>
    <t>Trios 4 ja duppelis 3 registreeritud võistlejale arvestatakse reitingupunkte ainult sel juhul, kui ta on osalenud vähemalt ühes mängus.</t>
  </si>
  <si>
    <t>Reitinguarvestust peetakse 4-s kategoorias:</t>
  </si>
  <si>
    <t>• üldreiting ( puulidesse asetus käib selle tabeli alusel) </t>
  </si>
  <si>
    <t>• üldreitingu parim naine (eraldi tabel paremaks jälgimiseks) </t>
  </si>
  <si>
    <t>• üldreitingu parim juunior (eraldi tabel paremaks jälgimiseks) </t>
  </si>
  <si>
    <t>• üldreitingu parim mees (eraldi tabel paremaks jälgimiseks) </t>
  </si>
  <si>
    <t>Üldreiting:</t>
  </si>
  <si>
    <t>Üldreitingusse lähevad nii meeste, naiste kui ka juunioride tulemused. Arvestus toimub vastavalt üldreitingu tabelile. </t>
  </si>
  <si>
    <t>Võrdsed punktid:</t>
  </si>
  <si>
    <t>Võrdsete punktide korral saab kõrgema koha võistleja, kellel on rohkem kõrgemaid punkte.</t>
  </si>
  <si>
    <t>Auhinnad:</t>
  </si>
  <si>
    <t>Auhinnad antakse reitingu kuuele paremale naiste ja meeste arvestuses:</t>
  </si>
  <si>
    <t>I koht – rahaline auhind (25% EPKL-ile laekunud Eesti meistrivõistluste osalustasudest) + meene (nii naiste kui meeste arvestuses) + 2017.a.litsents.</t>
  </si>
  <si>
    <t>II koht – rahaline auhind (15% EPKL-ile laekunud Eesti meistrivõistluste osalustasudest) + meene (nii naiste kui meeste arvestuses) + 2017.a.litsents.</t>
  </si>
  <si>
    <t>III koht – rahaline auhind (10% EPKL-ile laekunud Eesti meistrivõistluste osalustasudest) + meene (nii naiste kui meeste arvestuses) + 2017.a.litsents.</t>
  </si>
  <si>
    <t>IV koht – litsents 2017.a</t>
  </si>
  <si>
    <t>V koht – litsents 2017.a</t>
  </si>
  <si>
    <t>VI koht – litsents 2017.a</t>
  </si>
  <si>
    <t>Kolmele parimale juuniorile antakse meened. </t>
  </si>
  <si>
    <t>Auhinnad antakse välja tingimusel, et on osaletud vähemalt 9 võistlusel.</t>
  </si>
  <si>
    <t>Üldreitingu punktiarvestus</t>
  </si>
  <si>
    <t>|</t>
  </si>
  <si>
    <t>||</t>
  </si>
  <si>
    <t>|||</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</si>
  <si>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</si>
  <si>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</si>
  <si>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</si>
  <si>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</si>
  <si>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</si>
  <si>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</si>
  <si>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</si>
  <si>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</si>
  <si>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</si>
  <si>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</si>
  <si>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</si>
  <si>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</si>
  <si>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</si>
  <si>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</si>
  <si>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</si>
  <si>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</si>
  <si>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</si>
  <si>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</si>
  <si>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</si>
  <si>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</si>
  <si>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</si>
  <si>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</si>
  <si>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</si>
  <si>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</si>
  <si>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</si>
  <si>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</si>
  <si>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</si>
  <si>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</si>
  <si>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</si>
  <si>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</si>
  <si>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EPKL VÄLISHOOAJA VÕISTLUSTE LÄBIVIIMISE JUHEND 01.mai – 30.oktoober 2016.a.</t>
  </si>
  <si>
    <t>1. ÜLDSÄTTED</t>
  </si>
  <si>
    <t>1.1. Antud võistluste läbiviimise juhend laieneb kõigile EPKL-i klubidele ja EPKL-i egiidi all võistluskalendris olevatele võistlustele.</t>
  </si>
  <si>
    <t>1.2. Käesoleva juhendi järgi võistluste läbiviijaks on EPKL, mõni EPKL-i klubi või mitu klubi koos.</t>
  </si>
  <si>
    <t>1.3. Võistlused toimuvad rahvusvaheliste reeglite järgi.</t>
  </si>
  <si>
    <t>2. VÕISTLUSTE KALENDER</t>
  </si>
  <si>
    <t>2.1. Võistluste kalendrisse kantakse tähtsamad rahvusvahelised võistlused ja klubide poolt taotletud kodumaised võistlused.</t>
  </si>
  <si>
    <t>2.2. Võistluste kalender koostatakse järgmiselt:</t>
  </si>
  <si>
    <t>2.2.1. 15. märtsiks kinnitab EPKL-i juhatus võistluste kalendri. </t>
  </si>
  <si>
    <t>2.2.2. Kinnitatud ja lõplik võistluste kalender saadetakse vahetult kõigile klubidele.</t>
  </si>
  <si>
    <t>2.3. Võistluste kalendri muudatustest peab korraldaja omal kulul teatama EPKL-le ja kõigile klubidele vähemalt üks kuu enne võistluste toimumise aega. Vastasel korral kaotab klubi õiguse võistluste korraldamiseks järgmisel aastal.</t>
  </si>
  <si>
    <t>3. VÕISTLUSTE FORMULEERINGUD</t>
  </si>
  <si>
    <t>3.1. Litsentsivõistlused - võistlused, kus peab olema kehtiv petankeri litsents ja mängitakse võistluskuulidega, sealhulgas:</t>
  </si>
  <si>
    <t>3.1.1. Tiitlivõistlused (Eesti meistrivõistlused üksikmängus, paarismängus, trios, segatrios, segapaarismängus, tulistamises, klubide karikas).</t>
  </si>
  <si>
    <t>3.1.2 MM ja EM katsevõistlused, ametlikud maavõistlused.</t>
  </si>
  <si>
    <t>3.2. Reitinguvõistlused - võistlused, kus antakse reitingupunkte ja mis on võistluste kalendrisse ära märgitud reitinguvõistlustena (ei pea omama litsentsi). Lubatud kasutada harjutuskuule.</t>
  </si>
  <si>
    <t>3.3. „Muud“ võistlused - võistlused, kus ei ole kohustuslik omada petankeri litsentsi. Lubatud kasutada harjutuskuule.</t>
  </si>
  <si>
    <t>3.4. Samal päeval tohib olla ainult üks litsentsivõistlus (kehtib Eestis korraldatavatele võistlustele). Tiitlivõistluste ja Euroopa klubide karikaga samal päeval ei tohi korraldada muid litsentsivõistlusi.</t>
  </si>
  <si>
    <t>4. LITSENTSIMÄÄRUSED</t>
  </si>
  <si>
    <t>4.2. Litsentsi olemasolu kontrollib võistluste kohtunik nimekirja alusel, mis on EPKLi poolt kinnitatud (koduleheküljel olemas). Nimekiri peab asuma ka võistluspaigal.</t>
  </si>
  <si>
    <t>4.3. 2016. aasta EPKL-i petankeri litsentsimaks on 25 EUR (18. a. ja vanemad), 5 EUR (sündinud 1999 ja nooremad) ja 15 EUR (ühekordne litsents). Ühekordne litsents kehtib ühel võistlusel osalemiseks.</t>
  </si>
  <si>
    <t>4.4. Litsentsi omav mängija tohib jooksval hooajal esindada ainult ühte klubi ja klubi vahetamisel peab olema eelmise klubi luba. </t>
  </si>
  <si>
    <t>4.5. Litsentsiga mängijana kinnitan, et: </t>
  </si>
  <si>
    <t>4.6. EPKL petankeri litsents kehtib 01.mai 2016 - 30.aprill 2017, v.a. ühekordne litsents, mis kehtib vaid ühel litsentsivõistlusel osalemiseks.</t>
  </si>
  <si>
    <t>5. KEELATUD AINED</t>
  </si>
  <si>
    <t>5.1. Võistlejatel on keelatud kõigi spordis lubamatute ainete kasutamine (nimekiri EOK</t>
  </si>
  <si>
    <t>koduleheküljel alajaotuses spordimeditsiin ja antidoping) Võistluspaigas on keelatud viibimine ilmses joobeseisundis, suitsetamine mängu ajal. </t>
  </si>
  <si>
    <t>5.2. Võistluste peakohtunik kõrvaldab võistluste žürii otsusel võistlustelt võistleja, kes on alkoholijoobes või tarvitab muid spordis keelatud aineid. Karistused on toodud punktis 9.</t>
  </si>
  <si>
    <t>6. VÕISTLUSTE KORRALDAMINE</t>
  </si>
  <si>
    <t>6.1. ÜLDINE</t>
  </si>
  <si>
    <t>6.1.1. Võistluspaigas peab olema sekretariaadi töökoht, kust võib saada teavet ja ka esmaabi (näiteks vähemalt autoapteek). Soovitav on ka riiete vahetamise ja pesemise koht võistluspaiga läheduses.</t>
  </si>
  <si>
    <t>6.1.2. Korraldajatel tuleb informeerida WC asukohast.</t>
  </si>
  <si>
    <t>6.1.3 Tiitlivõistlustel peab võistluspaigas olema Eesti Vabariigi lipp ja soovitavalt mängitakse avamisel ka Eesti Vabariigi hümni.</t>
  </si>
  <si>
    <t>6.2. ÜLESANDMINE</t>
  </si>
  <si>
    <t>6.2.1. Ülesandmine toimub vastavalt võistluskutses märgitule. Reitinguvõistlustele registreerimine lõpeb võistlusnädala neljapäeval kell 21.00. Registreerimine toimub aadressile juhatus@petanque.ee. Vähese osavõtjate arvu puhul antakse võistluse ärajäämisest internetiaadressil www.petanque.ee infot hiljemalt võistlusnädala reedel kell 12. Loosi tulemused pannakse kodulehele üles hiljemalt võstlusnädala reedel kell 14.00.</t>
  </si>
  <si>
    <t>6.2.2 Trios võib registreerida 4 mängijat ja paarismängus 3 mängijat.</t>
  </si>
  <si>
    <t>6.3. OSAVÕTUMAKSUD</t>
  </si>
  <si>
    <t>6.3.1. Eesti meistrivõistluste osavõtumaks on mitte rohkem kui 10 eurot ja reitinguvõistluste osavõtumaks mitte rohkem kui 8 eurot petankeri kohta, juunioridel 2 eurot. Teistel võistlustel piirangut pole.</t>
  </si>
  <si>
    <t>Trios ja paarismängus ülesantud 4.-s ja 3.-s mängija peab samuti tasuma osavõtumaksu.</t>
  </si>
  <si>
    <t>6.3.2. Eesti meistrivõistlustel ei nõuta osavõtumaksu eelmise aasta võitjatelt. </t>
  </si>
  <si>
    <t>6.3.3. Eesti meistrivõistluste osavõtutasudest läheb 50% EPKL-ile ja 50% korraldaja klubile. Muude reitinguvõistluste osavõtutasudest läheb 70% auhinna fondi ja 30% korraldaja klubile.</t>
  </si>
  <si>
    <t>6.4. TEATAMINE</t>
  </si>
  <si>
    <t>6.4.1. Võistluste korraldajad peavad esitama võistluskutse EPKLile vähemalt 10 kalendripäeva enne võistluste algust aadressile juhatus@petanque.ee</t>
  </si>
  <si>
    <t>Võistluskutse sisaldab:</t>
  </si>
  <si>
    <t>• võistluste nimi</t>
  </si>
  <si>
    <t>• korraldaja</t>
  </si>
  <si>
    <t>• kuupäev</t>
  </si>
  <si>
    <t>• toimumise koht</t>
  </si>
  <si>
    <t>• peakohtuniku nimi</t>
  </si>
  <si>
    <t>• auhinnad</t>
  </si>
  <si>
    <t>Korraldaja klubi peab 48 tunni jooksul pärast võistluste lõppu saatma EPKL´ile võistluste protokolli, Lisa 1 (kodulehelt) e-mailile: juhatus@petanque.ee</t>
  </si>
  <si>
    <t>Võistluste protokoll sisaldab:</t>
  </si>
  <si>
    <t>• võistluste nimi, korraldaja, kuupäev, toimumise koht</t>
  </si>
  <si>
    <t>• võistluste peakohtuniku nimi</t>
  </si>
  <si>
    <t>• žürii liikmete nimed</t>
  </si>
  <si>
    <t>• määratud karistused</t>
  </si>
  <si>
    <t>• esitatud protestid</t>
  </si>
  <si>
    <t>• lõplik paremusjärjestus</t>
  </si>
  <si>
    <t>• võistluste tulemused, lisaks soovituslikult fotod esikolmikust.</t>
  </si>
  <si>
    <t>6.5. ŽÜRII</t>
  </si>
  <si>
    <t>6.5.1. Žürii on 3-5 liikmeline ja moodustab võistluste korraldaja. Sinna kuuluvad peakohtunik, mängijate esindaja ja võistluste korraldajate esindaja. Kui kohtunik on korraldajate klubist, siis on ta ka automaatselt korraldajate esindaja ning sellisel juhul peab olema žüriis 2 mängijate esindajat. Tuleb jälgida, et korraldaja klubi esindatus oleks vähemuses. Žürii otsused on lõplikud. Häälte võrdsuse korral otsustab esimehe hääl. Litsentsivõistluste peakohtunik peab olema eelnevalt läbinud reeglite tutvustus-koolituse (kehtib ainult Eestis). Nimekiri kodulehel.</t>
  </si>
  <si>
    <t>6.6. VÄLJAKUD</t>
  </si>
  <si>
    <t>6.6.1. Väljakud peavad olema võimalikult ühesugused kõigile võistlejatele.</t>
  </si>
  <si>
    <t>6.6.2. Kui väljakud on maha märgitud (korraldaja märgib), siis peavad nende mõõtmed olema tiitlivõistluste, katsevõistluste ja maavõistluste korraldamisel 4 x 15 m ja teistel võistlustel soovituslikult 4 x 15 m (miinimum 3 x 12 m, va. sisehallides). Väljakute piirideks on soovitatav kasutada nööri. Pimedal ajal peab väljakutel olema küllaldane valgustus.</t>
  </si>
  <si>
    <t>6.7 EPKL´i SPONSORITE REKLAAMID</t>
  </si>
  <si>
    <t>6.7.1 Kõikidel EPKL´i kalendris olevatel Eestis toimuvatel reitingu – ja litsentsivõistlustel peab mänguväljaku juures olema paigaldatud EPKL sponsorite logod. Logode eest vastutab EPKLi juhatus. </t>
  </si>
  <si>
    <t>6.8 VÄLISMAISED PETANKERID</t>
  </si>
  <si>
    <t>6.8.1. „Muudel“ võistlustel ei ole piiranguid.</t>
  </si>
  <si>
    <t>6.8.2. Rahvusvahelistel tiitlivõistlustel ja Eesti esindusvõistkondades tohivad osaleda ainult Eesti kodakondsust omavad petankerid. </t>
  </si>
  <si>
    <t>6.8.3. Eesti meistrivõistlustel ja klubide karikal peab olema kehtiv EPKL-i litsents.</t>
  </si>
  <si>
    <t>6.9. VÕISTLEJATE RIIETUS</t>
  </si>
  <si>
    <t>6.9.1. Riietus peab vastama rahvusvaheliste võistlusmääruste nõuetele.</t>
  </si>
  <si>
    <t>6.9.2. Mängijad peavad olema kultuurselt riietatud.</t>
  </si>
  <si>
    <t>6.9.3. Paljajalu või rannajalatsites võistlemine (plätud) on keelatud. (NB! võib mängida lahtistes sandaalides, kuid sokid jalas.)</t>
  </si>
  <si>
    <t>6.9.4. Tiitlivõistlustel, katsevõistlustel ja maavõistlustel peab mängijatel olema ühtne võistlussärk. </t>
  </si>
  <si>
    <t>6.9.5 Mängijad, kes ei järgi määruse punkte 6.9.1. kuni 6.9.4. eemaldatakse pärast kohtuniku poolt tehtud hoiatust võistlustelt. Karistused on toodud punktis 9. </t>
  </si>
  <si>
    <t>6.9.6 Eestit tiitlivõistlustel esindavale võistkonnale antakse EPKL´i poolt võistlusvorm (särk).</t>
  </si>
  <si>
    <t>6.10. MÄNGIJATE/VÕISTKONDADE ASETUSED JA VÕISTLUSTE LÄBIVIIMISE SÜSTEEMID</t>
  </si>
  <si>
    <t>6.10.1. Tabelisse asetamisel arvestatakse jooksva aasta reitingupunkte. </t>
  </si>
  <si>
    <t>Reitingupunktide arvestus (summeerimine) loosimiseks puulidesse toimub alljärgnevalt: </t>
  </si>
  <si>
    <t>a) trio 3 liikmeline – liidetakse mängijate punktid,</t>
  </si>
  <si>
    <t>b) trio 4 liikmeline – liidetakse 4 mängijate punktid, jagatakse 4-ga ja korrutatakse 3-ga,</t>
  </si>
  <si>
    <t>c) duppel 2 liikmeline – liidetakse mängijate punktid,</t>
  </si>
  <si>
    <t>d) duppel 3 liikmeline – mängijate punktid liidetakse, jagatakse 3-ga ja korrutatakse 2-ga,</t>
  </si>
  <si>
    <t>e) singel – mängija punktid.</t>
  </si>
  <si>
    <t>6.10.1.1. Puulidesse loositakse tugevusgruppide alusel vastavalt puulide arvule. Karikasüsteemi loositakse peale puulide lõppu koha peal. Loosimise teostab võistluste žürii. Kehtib võistlustele eelneva kolmapäeva seisuga reitingutabel. Välishooaja esimesel võistlusel arvestatakse 2015/2016 aasta sisehooaja reitingutabelit.</t>
  </si>
  <si>
    <t>Šveitsi süsteemi puhul asetatakse esimeses voorus pooled kõrgemate reitingupunktidega võistkonnad ja vastased loositakse. (Nt 16 võistkonda, siis reitingu 1-8 kohad asetatakse ja neile loositakse vastasteks reitingu 9-16 kohad)Paaritu arvu tiimide puhul jääb esimeses voorus vabaks üks loosiga määratavatest tiimidest.</t>
  </si>
  <si>
    <t>6.10.2. Petanque on võistlus kahe võistkonna/mängija vahelisest paremusest.</t>
  </si>
  <si>
    <t>6.10.3.Võistluste läbiviimise süsteemid peavad tagama võitjate võimalikult õiglasema väljaselgitamise.</t>
  </si>
  <si>
    <t>6.10.4. Mängupäevale ei ole soovitatav planeerida voore rohkem kui kaheksa (8) trios ja üheksa (9) paaris- ja üksikmängus. Suurema hulga mängude puhul soovitatakse puule alustada seisult 2:2 või jagada võistlused mitmele päevale. Erandkorras võib mängule või voorule kehtestada lõppemise aja. Selle otsustab enne võistluste algust võistluste žürii.</t>
  </si>
  <si>
    <t>6.10.5. Võistlused võib läbi viia mängudega puuli-süsteemis, karikasüsteemis või nende ühendusena segasüsteemis. Reitinguvõistlusel võib klubi soovi korral kasutada ka Šveitsi süsteemi. Šveitsi süsteemi mängides võib võistluse kohtunik olla kirjas varumängijana ja osaleda mängudes alates karikasüsteemist. </t>
  </si>
  <si>
    <t>6.10.6. Mängudega puulides üritatakse need moodustada nii, et edasi pääseks otse karikasüsteemi võistkondade arvuga 4-8-16-32 jne.. Tähtis on, et igast puulist pääseks edasi sama arv võistkondi või mängijaid.</t>
  </si>
  <si>
    <t>6.10.7. Võistluste jätkamisel puuli-süsteemis loositakse esimesed võistkonnad eri puulidesse, siis teised jne. Jätkates karikasüsteemis võib puulide võitjad ja teised kohad loosida kohe segamini, kuid siiski nii, et sama puuli esimesed ja teised ei satuks esimeses ringis vastamisi. Kui võistlustel on 4 või 8 puuli, siis karikasüsteemi paigutamisel ei tohi sama puuli võistkonnad omavahel kohtuda enne finaali.</t>
  </si>
  <si>
    <t>6.10.8. Võistlustel, kus osaleb vähemalt 33 või rohkem võistkonda jätkatakse 1/16</t>
  </si>
  <si>
    <t>karikafinaalidega.</t>
  </si>
  <si>
    <t>6.10.9. Karikasüsteemis võib paarid loosida iga ringi järel või ühekordselt ja edasised karikaringid toimuvad tabeli järgi. Korraldajad peavad teatama enne võistluste algust, kuidas toimub loosimine võistluste käigus.</t>
  </si>
  <si>
    <t>6.10.10. Kui mängitakse üks puuli ring, siis on võistlussüsteem alljärgnev:</t>
  </si>
  <si>
    <t>Võistkondade arv 6-8: 2 puuli, poolfinaal, finaal.</t>
  </si>
  <si>
    <t>Võistkondade arv 9-11: 3 puuli, veerandfinaal (kus kahel võistkonnal vastane puudub), poolfinaal, finaal.</t>
  </si>
  <si>
    <t>Võistkondade arv 12-16: 4 puuli, veerandfinaal, poolfinaal, finaal.</t>
  </si>
  <si>
    <t>Võistkondade arv 17: 5 puuli, veerandfinaal (kus kuuel võistkonnal vastane puudub), poolfinaal, finaal.</t>
  </si>
  <si>
    <t>Võistkondade arv 18-20: 6 puuli, 1/8 finaal (kus neljal võistkonnal vastane puudub), veerandfinaal, poolfinaal, finaal.</t>
  </si>
  <si>
    <t>Võistkondade arv 21-23: 7 puuli, 1/8 finaal (kus kahel võistkonnal vastane puudub), veerandfinaal, poolfinaal, finaal.</t>
  </si>
  <si>
    <t>Võistkondade arv 24-32: 8 puuli, 1/8 finaal, veerandfinaal, poolfinaal, finaal.</t>
  </si>
  <si>
    <t>Võistkondade arv 33-36: 9 puuli, 1/16 finaal (kus 14 võistkonnal vastane puudub), 1/8 finaal, veerandfinaal, poolfinaal, finaal.</t>
  </si>
  <si>
    <t>Võistkondade arv 37-40: 10 puuli, 1/16 finaal (kus 12 võistkonnal vastane puudub), 1/8 finaal, veerandfinaal, poolfinaal, finaal.</t>
  </si>
  <si>
    <t>Võistkondade arv 41-44: 11 puuli, 1/16 finaal (kus 10 võistkonnal vastane puudub), 1/8 finaal, veerandfinaal, poolfinaal, finaal.</t>
  </si>
  <si>
    <t>6.10.11. Šveitsi süsteemis mängitakse neli vooru kui võistkondi on paarisarv, paaritu arvu võistkondade puhul kohtuvad viiendas voorus seni vabad olnud võistkonnad ja ülejäänud võistkonnad on vabad. Vaba voor on paremusjärjestuse keskel asuval võistkonnal. NB! Üks võistkond ei saa vabas voorus olla kaks korda.</t>
  </si>
  <si>
    <t>Šveitsi süsteemi mängud toimuvad ajalimiidiga, individuaal 40 minutit + 1 snadi, duppel ja trio 60 minutit + 1 snadi. Viigilise seisu korral mängitakse lisaks veel üks snadivoor. Kohtunik peab 10 minutit enne mänguaja lõppu andma märku. Soovituslikult võiks sekretariaadis olla ka kõigile nähtav kell. Ajamängudes kõrvalväljak on nn „surnud tsoon“</t>
  </si>
  <si>
    <t>Peale Šveitsi süsteemi jätkub võistlus karikasüsteemis, kus paremusjärjestuse kohad 1-8 jätkavad mänge esikohale, kohad 9-16 jätkavad mänge üheksandale kohale, kohad 17-24 jätkavad mänge seitsmeteistkümnendale kohale jne.</t>
  </si>
  <si>
    <t>6.10.12. Tulistamises viiakse võistlus läbi vastavalt tulistamisvõistluse reeglitele.</t>
  </si>
  <si>
    <t>7. AUHINNAD</t>
  </si>
  <si>
    <t>7.1. Eesti meistrivõistlustel saavad esikolmikusse tulnud mängijad medali.</t>
  </si>
  <si>
    <t>7.2. Reitinguvõistlustel peab korraldaja võistluskutses välja tooma auhinnad ja nende väärtuse, kusjuures esikolmikule peab olema tagatud auhinnafond 70% ulatuses osavõtumaksudest.</t>
  </si>
  <si>
    <t>7.3. Eesti meistrivõistluste osalustasudest läheb 50% korraldajale ja 50% hooaja reitingu kokkuvõtte auhinnafondi (meeste, naiste ja juunioride reiting).</t>
  </si>
  <si>
    <t>8. LOOBUMISKAOTUS JA PROTESTIDE ESITAMISE KORD</t>
  </si>
  <si>
    <t>8.1. Loobumiskaotuse andnud võistkond/võistleja (tulemus 0:13) kõrvaldatakse võistlustelt. Loobumisel jääb võistkond/võistleja ilma oma kohast ja teised võistkonnad/võistlejad liiguvad koha võrra edasi. Võistlustest loobumise korral tuleb teavitada võistluste peakohtunikku. Kui võistkond/ või võistleja lahkub võistlustelt (ka teavitamise korral), rakendatakse loobunud võistkonna/ võistleja suhtes alljärgnevaid trahve: </t>
  </si>
  <si>
    <t>üksikmängus 13.- EUR</t>
  </si>
  <si>
    <t>paarismängus 26.- EUR</t>
  </si>
  <si>
    <t>trios 39.- EUR</t>
  </si>
  <si>
    <t>Trahve ei rakendata vaid Eesti saarte praamile minejatele. Järgmisel võistlusel ei saa enne osaleda kui trahv pole makstud (vastutab järgmiste võistluste korraldaja)Erandkorras ja mõjuval põhjusel on võimalik võistluste žürii teadmisel ja otsusel loobuda viimasest mängust ilma trahvi saamata. (Näit. juhul kui kohamängu peab väga pikalt ootama ja ees on pikk teekond).  </t>
  </si>
  <si>
    <t>Trahvisumma läheb pooleks EPKLi ja korraldaja vahel. </t>
  </si>
  <si>
    <t>8.2. Kui üks võistkond või petanker leiab, et tema huvid on kohtunike otsuste või mängu keskel, mis tahes olukorra tõttu tõsiselt kahjustatud, peab see võistkond esitama protesti.</t>
  </si>
  <si>
    <t>Võistkonna esindaja poolt allkirjastatud protest tuleb esitada võistluste peakohtunikule või korraldajale kohe pärast mängu (15 minuti jooksul,kui tegemist on konkreetse mänguga) või peale võistluste lõppu (15 minuti jooksul, kui tegemist on mängupäevaga). </t>
  </si>
  <si>
    <t>Protest (Lisa 2) esitatakse koos tagatismaksuga 30.- (kolmkümmend euri). </t>
  </si>
  <si>
    <t>Protestil peab olema kirjas: </t>
  </si>
  <si>
    <t>• võistlustenimi</t>
  </si>
  <si>
    <t>• kuupäev </t>
  </si>
  <si>
    <t>• kellaaeg</t>
  </si>
  <si>
    <t>• protesti sisu</t>
  </si>
  <si>
    <t>• esitaja nimi ja allkiri</t>
  </si>
  <si>
    <t>• vastuvõtja allkiri</t>
  </si>
  <si>
    <t>Protesti lahendab võistluste žürii mõistliku aja jooksul, aga mitte hiljem kui kolme päeva jooksul ning teatab otsusest kirjalikult protesti esitajale. </t>
  </si>
  <si>
    <t>Kui protest saab positiivse lahenduse esitaja jaoks, siis tagatismaks tagastatakse.</t>
  </si>
  <si>
    <t>9. KARISTUSED EBAKORREKTSE KÄITUMISE KORRAL </t>
  </si>
  <si>
    <t>Mängija, kes eksib sportliku käitumise reeglite vastu, või veelgi hullem, näidates üles mitteaustust (nt. alkoholijoobes olek, jne) või vägivaldsust korraldajate, kohtunike, teiste mängijate või pealtvaatajate suhtes, saab karistatud sõltuvalt vea suurusest ühe või mitme karistusega, mis on toodud alljärgnevalt:</t>
  </si>
  <si>
    <t>1. Võistlustelt eemaldamine – määrab võistluste žürii, kelle otsus on lõplik.</t>
  </si>
  <si>
    <t>2. Litsentsi tühistamine – teeb ettepaneku võistluste žürii, otsustab EPKL-i juhatus.</t>
  </si>
  <si>
    <t>3. Auhindade mitte välja andmine – määrab võistluste žürii, teatades sellest 48 tunni jooksul kirjalikult EPKL-i juhatusele (võistluste protokollis), millised auhinnad kuuluvad korralduskomiteele tagastamiseks. </t>
  </si>
  <si>
    <t>Karistus, mis on rakendatud ühe mängija suhtes võib laieneda ka tema võistkonna liikmetele. </t>
  </si>
  <si>
    <t>Kõik määratud karistused tuleb peakohtuniku poolt fikseerida võistluste protokollis ja protokoll edastada EPKL-i juhatusele vastavalt punktile 6.4.1.</t>
  </si>
  <si>
    <t>Kõrvaldatud mängija jääb ilma reitingupunktidest ja klubil, kelle liige mängija on, tuleb maksta trahvi 13.- euri mängijalt. Karistatud mängija ei saa ennem osaleda järgmisel võistlusel kui on tasutud trahv.</t>
  </si>
  <si>
    <t>Trahvisumma läheb pooleks EPKLi ja korraldaja vahel.</t>
  </si>
  <si>
    <t>Thibaut Sergeï Mathon</t>
  </si>
  <si>
    <t>Vladimir Ogneštšikov</t>
  </si>
  <si>
    <t>Ivo Veimen</t>
  </si>
  <si>
    <t>Marko Neemelaik</t>
  </si>
  <si>
    <t>Ljudmila Varendi</t>
  </si>
  <si>
    <t>Viktor Švarõgin</t>
  </si>
  <si>
    <t>Marta Bernat</t>
  </si>
  <si>
    <t>Indrek Vallik</t>
  </si>
  <si>
    <t>Mihkel Vallik</t>
  </si>
  <si>
    <t>Boriss Klubov</t>
  </si>
  <si>
    <t>Kalle Orro</t>
  </si>
  <si>
    <t>Andres Viisitam</t>
  </si>
  <si>
    <t>Polina Merkulova</t>
  </si>
  <si>
    <t>Märt Lindsalu</t>
  </si>
  <si>
    <t>Heili Vasser</t>
  </si>
  <si>
    <t>Nikolai Palkin</t>
  </si>
  <si>
    <t>Martha Aavisto</t>
  </si>
  <si>
    <t>Aleksandr Tipakov</t>
  </si>
  <si>
    <t>Aleksandra Merkulova</t>
  </si>
  <si>
    <t>Ilmar Vainsalu</t>
  </si>
  <si>
    <t>Uku Kollom</t>
  </si>
  <si>
    <t>Veiko Aasa</t>
  </si>
  <si>
    <t>M</t>
  </si>
  <si>
    <t/>
  </si>
  <si>
    <t>Joonas Tohert</t>
  </si>
  <si>
    <t>Ott Karl Kopel</t>
  </si>
  <si>
    <t>Sille-Liisi Eving</t>
  </si>
  <si>
    <t>A-puul</t>
  </si>
  <si>
    <t>1-4, 2-3</t>
  </si>
  <si>
    <t>Võitjad</t>
  </si>
  <si>
    <t>Kaotajad</t>
  </si>
  <si>
    <t>VK-KV</t>
  </si>
  <si>
    <t>II</t>
  </si>
  <si>
    <t>I</t>
  </si>
  <si>
    <t>III</t>
  </si>
  <si>
    <t>B-puul</t>
  </si>
  <si>
    <t>Aivar Sein, Maive Sein, Varje Reede</t>
  </si>
  <si>
    <t>C-puul</t>
  </si>
  <si>
    <t>Ivar Viljaste, Kalju Olmre, Matti Vinni</t>
  </si>
  <si>
    <t>Kadri Arunurm, Kadri Veljend, Marge Mägi, Sirje Viljaste</t>
  </si>
  <si>
    <t>Joonas Tohert, Kevin Sten Liik, Ott Karl Kopel</t>
  </si>
  <si>
    <t>Kevin Sten Liik</t>
  </si>
  <si>
    <t>Janek Kiisk, Kaido Kopel, Mihkel Filipenko</t>
  </si>
  <si>
    <t>Katri Aavekukk, Külli Kariste, Marju Velga</t>
  </si>
  <si>
    <t>Aarne Välja, Jaan Sepp, Oskar Sepp</t>
  </si>
  <si>
    <t>Egert Kingissepp, Margus Limberg, Silver Kingissepp</t>
  </si>
  <si>
    <t>Ilmar Vainsalu, Mati Tapo, Vello Silasoo</t>
  </si>
  <si>
    <t>1 - 6 koht</t>
  </si>
  <si>
    <t>-</t>
  </si>
  <si>
    <t>C1</t>
  </si>
  <si>
    <t>C2</t>
  </si>
  <si>
    <t>B2</t>
  </si>
  <si>
    <t>B1</t>
  </si>
  <si>
    <t>I koht</t>
  </si>
  <si>
    <t>A2</t>
  </si>
  <si>
    <t>II koht</t>
  </si>
  <si>
    <t>A1</t>
  </si>
  <si>
    <t>III koht</t>
  </si>
  <si>
    <t>4. koht</t>
  </si>
  <si>
    <t>5. koht</t>
  </si>
  <si>
    <t>6. koht</t>
  </si>
  <si>
    <t>7 - 9 koht</t>
  </si>
  <si>
    <t>V-K</t>
  </si>
  <si>
    <t>K</t>
  </si>
  <si>
    <t>1-1</t>
  </si>
  <si>
    <t>7. koht</t>
  </si>
  <si>
    <t>8. koht</t>
  </si>
  <si>
    <t>+4</t>
  </si>
  <si>
    <t>-3</t>
  </si>
  <si>
    <t>-1</t>
  </si>
  <si>
    <t>9. koht</t>
  </si>
  <si>
    <t>D-puul</t>
  </si>
  <si>
    <t>1 - 8 koht</t>
  </si>
  <si>
    <t>Aivar Sein, Egert Kingissepp</t>
  </si>
  <si>
    <t>Marge Mägi, Sirje Viljaste</t>
  </si>
  <si>
    <t>Jaan Sepp, Oskar Sepp</t>
  </si>
  <si>
    <t>Margus Limberg, Silver Kingissepp</t>
  </si>
  <si>
    <t>Maive Sein, Varje Reede</t>
  </si>
  <si>
    <t>Aimar Poom, Peep Puiestik</t>
  </si>
  <si>
    <t>Jaanus Kasper, Sille-Liisi Eving</t>
  </si>
  <si>
    <t>Külli Kariste, Marju Velga</t>
  </si>
  <si>
    <t>Mihkel Palk, Tiit Palk</t>
  </si>
  <si>
    <t>Kadri Arunurm, Mait Metsla</t>
  </si>
  <si>
    <t>Mati Tapo, Vello Sillasoo</t>
  </si>
  <si>
    <t>Kadri Veljend, Thibaut Sergeï Mathon</t>
  </si>
  <si>
    <t>9 - 13 koht</t>
  </si>
  <si>
    <t>10. koht</t>
  </si>
  <si>
    <t>11. koht</t>
  </si>
  <si>
    <t>12. koht</t>
  </si>
  <si>
    <t>13. koht</t>
  </si>
  <si>
    <t>14. koht</t>
  </si>
  <si>
    <t>15. koht</t>
  </si>
  <si>
    <t>16. koht</t>
  </si>
  <si>
    <t xml:space="preserve">  </t>
  </si>
  <si>
    <t>IV</t>
  </si>
  <si>
    <t>D1</t>
  </si>
  <si>
    <t>Ivar Viljaste, Kalju Olmre</t>
  </si>
  <si>
    <t>D2</t>
  </si>
  <si>
    <t>C3</t>
  </si>
  <si>
    <t>B4</t>
  </si>
  <si>
    <t>D3</t>
  </si>
  <si>
    <t>A3</t>
  </si>
  <si>
    <t>B3</t>
  </si>
  <si>
    <t>A4</t>
  </si>
  <si>
    <t>D4</t>
  </si>
  <si>
    <t>C4</t>
  </si>
  <si>
    <t xml:space="preserve">Kui naisi tuleb vähem kui 6, siis võistlevad nad koos meestega ja reitingupunkte saavad vastavalt EMV punktitabelile. </t>
  </si>
  <si>
    <t xml:space="preserve">Kui juunioreid tuleb vähem kui 6, siis võistlevad naisjuuniorid koos naistega ja meesjuuniorid koos meestega. </t>
  </si>
  <si>
    <t>Kui naisi ja juunioreid mõlemaid tuleb vähem kui 6, siis võistlevad nad koos meestega ja reitingupunkte saavad vastavalt EMV punktitabelile.</t>
  </si>
  <si>
    <t>Reitingu-võistlus</t>
  </si>
  <si>
    <t>Naised
S ja TUL</t>
  </si>
  <si>
    <t>Juuniorid
S ja TUL</t>
  </si>
  <si>
    <t>1.</t>
  </si>
  <si>
    <t>2.</t>
  </si>
  <si>
    <t>3.</t>
  </si>
  <si>
    <t>VÄLISHOOAJA ÜLDJUHEND 2016</t>
  </si>
  <si>
    <t>VÄLISHOOAJA REITINGU ARVESTUS 2016</t>
  </si>
  <si>
    <t>Jean-Michel Enard</t>
  </si>
  <si>
    <t>Tiit Kattai</t>
  </si>
  <si>
    <t>Kevin Kangur</t>
  </si>
  <si>
    <t>Viljar Kerb</t>
  </si>
  <si>
    <t>Anna Liisa Kattai</t>
  </si>
  <si>
    <t>Birika Kerb</t>
  </si>
  <si>
    <t>Harry Lusbo</t>
  </si>
  <si>
    <t>Reelika Anton</t>
  </si>
  <si>
    <t>Ahti Anton</t>
  </si>
  <si>
    <t>Kristjan Raudsepp</t>
  </si>
  <si>
    <t>LITSENTSIGA MÄNGIJAD 2016</t>
  </si>
  <si>
    <t>MEHED</t>
  </si>
  <si>
    <t>NAISED</t>
  </si>
  <si>
    <t>JUUNIORID</t>
  </si>
  <si>
    <t>Svetlana Veski</t>
  </si>
  <si>
    <t>Andres Veski</t>
  </si>
  <si>
    <t>Indrek Vaho</t>
  </si>
  <si>
    <t>Sille Kraft</t>
  </si>
  <si>
    <t>Toomas Tauk</t>
  </si>
  <si>
    <t>Angelika Tauk</t>
  </si>
  <si>
    <t>Anny Lusbo</t>
  </si>
  <si>
    <t>7 - 11 koht</t>
  </si>
  <si>
    <t>E-puul</t>
  </si>
  <si>
    <t>F-puul</t>
  </si>
  <si>
    <t>G-puul</t>
  </si>
  <si>
    <t>H-puul</t>
  </si>
  <si>
    <t>1 - 4 koht</t>
  </si>
  <si>
    <t>5 - 8 koht</t>
  </si>
  <si>
    <t>9 - 16 koht</t>
  </si>
  <si>
    <t>17. koht</t>
  </si>
  <si>
    <t>18. koht</t>
  </si>
  <si>
    <t>19. koht</t>
  </si>
  <si>
    <t>20. koht</t>
  </si>
  <si>
    <t>21. koht</t>
  </si>
  <si>
    <t>22. koht</t>
  </si>
  <si>
    <t>23. koht</t>
  </si>
  <si>
    <t>24. koht</t>
  </si>
  <si>
    <t>25. koht</t>
  </si>
  <si>
    <t>Kadri Arunurm, Kadri Veljend, Marge Mägi</t>
  </si>
  <si>
    <t>Aigar Lusbo, Harry Lusbo, Ülo Piik</t>
  </si>
  <si>
    <t>Angelika Tauk, Sille Kraft, Toomas Tauk</t>
  </si>
  <si>
    <t>Ahti Anton, Kristjan Raudsepp, Reelika Anton</t>
  </si>
  <si>
    <t>Maive Sein, Marina Vallik, Merike Lusbo</t>
  </si>
  <si>
    <t>Hardo Sokk, Jean-Michel Enard, Kaido Kopel</t>
  </si>
  <si>
    <t>Andres Veski, Indrek Vaho, Mait Metsla, Svetlana Veski</t>
  </si>
  <si>
    <t>F1</t>
  </si>
  <si>
    <t>H1</t>
  </si>
  <si>
    <t>E2</t>
  </si>
  <si>
    <t>G2</t>
  </si>
  <si>
    <t>H2</t>
  </si>
  <si>
    <t>F2</t>
  </si>
  <si>
    <t>E1</t>
  </si>
  <si>
    <t>G1</t>
  </si>
  <si>
    <t>F3</t>
  </si>
  <si>
    <t>E3</t>
  </si>
  <si>
    <t>G3</t>
  </si>
  <si>
    <t>H3</t>
  </si>
  <si>
    <t>25 koht</t>
  </si>
  <si>
    <t>17 - 24 koht</t>
  </si>
  <si>
    <t>Katri Aavekukk, Merike Aava</t>
  </si>
  <si>
    <t>Jaan Lüitsepp, Ljudmilla Lüitsepp</t>
  </si>
  <si>
    <t>Aivar Sein, Mauno Mill</t>
  </si>
  <si>
    <t>Aigi Orro, Kalle Orro</t>
  </si>
  <si>
    <t>Egert Kingissepp, Silver Kingissepp</t>
  </si>
  <si>
    <t>Andres Veski, Svetlana Veski</t>
  </si>
  <si>
    <t>Jaan Joonas, Toomas Hoole</t>
  </si>
  <si>
    <t>Kadri Veljend, Margo Peebo</t>
  </si>
  <si>
    <t>Irene Võrklaev, Maret Arike</t>
  </si>
  <si>
    <t>Heili Vasser, Vello Vasser</t>
  </si>
  <si>
    <t>Erki Nurm, Tarvet Päkk</t>
  </si>
  <si>
    <t>Aarne Välja, Margus Limberg</t>
  </si>
  <si>
    <t>Elvi Mauer, Kevin Sten Liik</t>
  </si>
  <si>
    <t>Birika Kerb, Viljar Kerb</t>
  </si>
  <si>
    <t>Ruti Loid, Toivo Ilves</t>
  </si>
  <si>
    <t>Alar Sinimäe, Marge Mägi</t>
  </si>
  <si>
    <t>Kristjan Raudsepp, Piret Kopel</t>
  </si>
  <si>
    <t>Kadri Arunurm, Kalju Olmre</t>
  </si>
  <si>
    <t>Indrek Vaho, Janek Kiisk</t>
  </si>
  <si>
    <t>Danel Pilv, Illart Majas</t>
  </si>
  <si>
    <t>Kaido Kopel, Thibaut Sergeï Mathon</t>
  </si>
  <si>
    <t>Marek Kolk, Ülo Piik</t>
  </si>
  <si>
    <t>Elmo Lageda, Tõnu Piik</t>
  </si>
  <si>
    <t>Harry Kanistik, Martin Mänd</t>
  </si>
  <si>
    <t>17 - 20 koht</t>
  </si>
  <si>
    <t>21 - 24 koht</t>
  </si>
  <si>
    <t>26. koht</t>
  </si>
  <si>
    <t>27. koht</t>
  </si>
  <si>
    <t>28. koht</t>
  </si>
  <si>
    <t>25 - 28 koht</t>
  </si>
  <si>
    <t>E4</t>
  </si>
  <si>
    <t>H4</t>
  </si>
  <si>
    <t>Marek Lehis, Margus Strööm</t>
  </si>
  <si>
    <t>Mauno Mill</t>
  </si>
  <si>
    <t>Erki Nurm</t>
  </si>
  <si>
    <t>Tarvet Päkk</t>
  </si>
  <si>
    <t>Ruti Loid</t>
  </si>
  <si>
    <t>Toivo Ilves</t>
  </si>
  <si>
    <t>Harry Kanistik</t>
  </si>
  <si>
    <t>Martin Mänd</t>
  </si>
  <si>
    <t>Jaan Lüitsepp</t>
  </si>
  <si>
    <t>Ljudmilla Lüitsepp</t>
  </si>
  <si>
    <t>Danel Pilv</t>
  </si>
  <si>
    <t>Illart Majas</t>
  </si>
  <si>
    <t>Elvi Mauer</t>
  </si>
  <si>
    <t>Marek Lehis</t>
  </si>
  <si>
    <t>Jaan Joonas</t>
  </si>
  <si>
    <t>Toomas Hoole</t>
  </si>
  <si>
    <t>Piret Kopel</t>
  </si>
  <si>
    <t>PUNKTIARVESTUS 2016</t>
  </si>
  <si>
    <t>Kert Kangur</t>
  </si>
  <si>
    <t>Martti Männiste</t>
  </si>
  <si>
    <t>Kaur Kangur</t>
  </si>
  <si>
    <t>Maris Rõõm</t>
  </si>
  <si>
    <t>Janek Kangur</t>
  </si>
  <si>
    <t>Mati Rõõm</t>
  </si>
  <si>
    <t>Egert Kingissepp, Margo Peebo, Silver Kingissepp</t>
  </si>
  <si>
    <t>11 - 17 koht</t>
  </si>
  <si>
    <t>Hardo Sokk, Kaido Kopel, Thibaut Sergeï Mathon</t>
  </si>
  <si>
    <t>Alar Sinimäe, Kristjan Raudsepp, Piret Kopel</t>
  </si>
  <si>
    <t>Elvi Mauer, Kevin Sten Liik, Toivo Ilves</t>
  </si>
  <si>
    <t>Janek Kangur, Kaur Kangur, Maris Rõõm, Mati Rõõm</t>
  </si>
  <si>
    <t>Indrek Vaho, Janek Kiisk, Margus Limberg</t>
  </si>
  <si>
    <t>Mauno Mill, Merike Aava, Varje Reede</t>
  </si>
  <si>
    <t>Illart Majas, Jaan Joonas, Toomas Hoole</t>
  </si>
  <si>
    <t>Jaan Sepp, Mait Metsla, Oskar Sepp</t>
  </si>
  <si>
    <t>Ilmar Vainsalu, Mati Tapo, Vello Sillasoo</t>
  </si>
  <si>
    <t>Kert Kangur, Kevin Kangur, Martti Männiste</t>
  </si>
  <si>
    <t>Danel Pilv, Jaan Lüitsepp, Ljudmilla Lüitsepp</t>
  </si>
  <si>
    <t>Andres Veski, Svetlana Veski, Ülo Piik</t>
  </si>
  <si>
    <t>Aimar Poom, Alari Keedus, Marek Kolk, Peep Puiestik</t>
  </si>
  <si>
    <t>X</t>
  </si>
  <si>
    <t>Y</t>
  </si>
  <si>
    <t>Urmo Auväärt</t>
  </si>
  <si>
    <t>Kaspar Sein</t>
  </si>
  <si>
    <t>Kadri Arunurm, Mait Metsla, Matti Vinni</t>
  </si>
  <si>
    <t>Maret Arike, Mihkel Palk, Tiit Palk</t>
  </si>
  <si>
    <t>Egert Kingissepp, Mare Kingissepp, Silver Kingissepp</t>
  </si>
  <si>
    <t>Angelika Tauk, Kaido Kopel, Toomas Tauk</t>
  </si>
  <si>
    <t>Ivar Viljaste, Kalju Olmre, Sirje Viljaste</t>
  </si>
  <si>
    <t>Helle Siidla, Jaan Sepp, Oskar Sepp</t>
  </si>
  <si>
    <t>Kadri Veljend, Marek Kolk, Urmo Auväärt</t>
  </si>
  <si>
    <t>Kevin Sten Liik, Martha Aavisto, Irene Võrklaev</t>
  </si>
  <si>
    <t>Irene Võrklaev, Kadri Veljend</t>
  </si>
  <si>
    <t>Egert, Mare, Silver Kingissepp</t>
  </si>
  <si>
    <t>Marek Kolk, Urmo Auväärt</t>
  </si>
  <si>
    <t>Aivar Sein, Kaspar Sein</t>
  </si>
  <si>
    <t>Hardo Sokk, Thibaut Sergeï Mathon</t>
  </si>
  <si>
    <t>Mait Metsla, Matti Vinni</t>
  </si>
  <si>
    <t>Anne Sillamaa, Vello Sillasoo</t>
  </si>
  <si>
    <t>Janek Kiisk, Margo Peebo</t>
  </si>
  <si>
    <t>Kadri Arunurm, Sirje Viljaste</t>
  </si>
  <si>
    <t>Kalju Kallasmaa, Maret Arike</t>
  </si>
  <si>
    <t>Kevin Sten Liik, Martha Aavisto</t>
  </si>
  <si>
    <t>Kuupäev</t>
  </si>
  <si>
    <t>Aeg</t>
  </si>
  <si>
    <t>Võistlus</t>
  </si>
  <si>
    <t>Mänguviis</t>
  </si>
  <si>
    <t>R</t>
  </si>
  <si>
    <t>Toimumiskoht</t>
  </si>
  <si>
    <t>Korraldaja</t>
  </si>
  <si>
    <t>T</t>
  </si>
  <si>
    <t>Osal</t>
  </si>
  <si>
    <t>Mai 2016</t>
  </si>
  <si>
    <t>11:00</t>
  </si>
  <si>
    <t>Üksik</t>
  </si>
  <si>
    <t>Duo</t>
  </si>
  <si>
    <t>Trio</t>
  </si>
  <si>
    <t>EPKL</t>
  </si>
  <si>
    <t>Juuni 2016</t>
  </si>
  <si>
    <t>10:00</t>
  </si>
  <si>
    <t>Juuli 2016</t>
  </si>
  <si>
    <t>August 2016</t>
  </si>
  <si>
    <t>L, 13.08.2016</t>
  </si>
  <si>
    <t>P, 14.08.2016</t>
  </si>
  <si>
    <t>Viimased muudatused on punasega</t>
  </si>
  <si>
    <t>EESTI PETANGIKALENDER 2016</t>
  </si>
  <si>
    <t>L, 07.05.2016</t>
  </si>
  <si>
    <t>P, 08.05.2016</t>
  </si>
  <si>
    <t>L, 21.05.2016</t>
  </si>
  <si>
    <t>P, 22.05.2016</t>
  </si>
  <si>
    <t>L, 04.06.2016</t>
  </si>
  <si>
    <t>P, 05.06.2016</t>
  </si>
  <si>
    <t>L, 18.06.2016</t>
  </si>
  <si>
    <t>P, 19.06.2016</t>
  </si>
  <si>
    <t>L, 28.05.2016</t>
  </si>
  <si>
    <t>L, 09.07.2016</t>
  </si>
  <si>
    <t>P, 10.07.2016</t>
  </si>
  <si>
    <t>L, 16.07.2016</t>
  </si>
  <si>
    <t>P, 17.07.2016</t>
  </si>
  <si>
    <t>Tulistamine</t>
  </si>
  <si>
    <t>P, 24.07.2016</t>
  </si>
  <si>
    <t>P, 07.08.2016</t>
  </si>
  <si>
    <t>SK Maestro Petanque</t>
  </si>
  <si>
    <t>PK Reede</t>
  </si>
  <si>
    <t>PK Wicia</t>
  </si>
  <si>
    <t>PK Valga</t>
  </si>
  <si>
    <t>PK Kärdla Petanque</t>
  </si>
  <si>
    <t>A</t>
  </si>
  <si>
    <t>L</t>
  </si>
  <si>
    <t>F</t>
  </si>
  <si>
    <t>E</t>
  </si>
  <si>
    <t>12:13</t>
  </si>
  <si>
    <t>13:10</t>
  </si>
  <si>
    <t>13:11</t>
  </si>
  <si>
    <t>13:2</t>
  </si>
  <si>
    <t>B</t>
  </si>
  <si>
    <t>C</t>
  </si>
  <si>
    <t>D</t>
  </si>
  <si>
    <t>G</t>
  </si>
  <si>
    <t>H</t>
  </si>
  <si>
    <t>O</t>
  </si>
  <si>
    <t>P</t>
  </si>
  <si>
    <t>13:0</t>
  </si>
  <si>
    <t>7:13</t>
  </si>
  <si>
    <t>13:12</t>
  </si>
  <si>
    <t>9:10</t>
  </si>
  <si>
    <t>8:13</t>
  </si>
  <si>
    <t>3:13</t>
  </si>
  <si>
    <t>4:13</t>
  </si>
  <si>
    <t>2:13</t>
  </si>
  <si>
    <t>1. voor</t>
  </si>
  <si>
    <t>2. voor</t>
  </si>
  <si>
    <t>3. voor</t>
  </si>
  <si>
    <t>4. voor</t>
  </si>
  <si>
    <t>0:13</t>
  </si>
  <si>
    <t>9:13</t>
  </si>
  <si>
    <t>13:9</t>
  </si>
  <si>
    <t>13:1</t>
  </si>
  <si>
    <t>12:9</t>
  </si>
  <si>
    <t>11:13</t>
  </si>
  <si>
    <t>8:7</t>
  </si>
  <si>
    <t>13:7</t>
  </si>
  <si>
    <t>5:13</t>
  </si>
  <si>
    <t>13:5</t>
  </si>
  <si>
    <t>8:9</t>
  </si>
  <si>
    <t>1:13</t>
  </si>
  <si>
    <t>13:3</t>
  </si>
  <si>
    <t>Segatrio</t>
  </si>
  <si>
    <t>Segaduo</t>
  </si>
  <si>
    <r>
      <t>Egert, Mare</t>
    </r>
    <r>
      <rPr>
        <sz val="10"/>
        <color indexed="55"/>
        <rFont val="Arial"/>
        <family val="2"/>
        <charset val="186"/>
      </rPr>
      <t>, Silver</t>
    </r>
    <r>
      <rPr>
        <sz val="10"/>
        <rFont val="Arial"/>
        <family val="2"/>
        <charset val="186"/>
      </rPr>
      <t xml:space="preserve"> Kingissepp</t>
    </r>
  </si>
  <si>
    <r>
      <rPr>
        <sz val="10"/>
        <color theme="1"/>
        <rFont val="Arial"/>
        <family val="2"/>
        <charset val="186"/>
      </rPr>
      <t>Egert, Mare</t>
    </r>
    <r>
      <rPr>
        <sz val="10"/>
        <color indexed="55"/>
        <rFont val="Arial"/>
        <family val="2"/>
        <charset val="186"/>
      </rPr>
      <t>, Silver</t>
    </r>
    <r>
      <rPr>
        <sz val="10"/>
        <color theme="1"/>
        <rFont val="Arial"/>
        <family val="2"/>
        <charset val="186"/>
      </rPr>
      <t xml:space="preserve"> Kingissepp</t>
    </r>
  </si>
  <si>
    <r>
      <rPr>
        <sz val="10"/>
        <color theme="1"/>
        <rFont val="Arial"/>
        <family val="2"/>
        <charset val="186"/>
      </rPr>
      <t>Andres Veski, Svetlana Veski</t>
    </r>
    <r>
      <rPr>
        <sz val="10"/>
        <color indexed="55"/>
        <rFont val="Arial"/>
        <family val="2"/>
        <charset val="186"/>
      </rPr>
      <t>, Ülo Piik</t>
    </r>
  </si>
  <si>
    <r>
      <rPr>
        <sz val="10"/>
        <color indexed="55"/>
        <rFont val="Arial"/>
        <family val="2"/>
        <charset val="186"/>
      </rPr>
      <t xml:space="preserve">Andres Veski, </t>
    </r>
    <r>
      <rPr>
        <sz val="10"/>
        <color indexed="8"/>
        <rFont val="Arial"/>
        <family val="2"/>
        <charset val="186"/>
      </rPr>
      <t>Svetlana Veski, Ülo Piik</t>
    </r>
  </si>
  <si>
    <r>
      <t>Egert, Mare</t>
    </r>
    <r>
      <rPr>
        <sz val="10"/>
        <color indexed="55"/>
        <rFont val="Arial"/>
        <family val="2"/>
        <charset val="186"/>
      </rPr>
      <t>, Silver</t>
    </r>
    <r>
      <rPr>
        <sz val="10"/>
        <color indexed="8"/>
        <rFont val="Arial"/>
        <family val="2"/>
        <charset val="186"/>
      </rPr>
      <t xml:space="preserve"> Kingissepp</t>
    </r>
  </si>
  <si>
    <r>
      <t>Andres Veski</t>
    </r>
    <r>
      <rPr>
        <sz val="10"/>
        <color indexed="55"/>
        <rFont val="Arial"/>
        <family val="2"/>
        <charset val="186"/>
      </rPr>
      <t>, Svetlana Veski</t>
    </r>
    <r>
      <rPr>
        <sz val="10"/>
        <color indexed="8"/>
        <rFont val="Arial"/>
        <family val="2"/>
        <charset val="186"/>
      </rPr>
      <t>, Ülo Piik</t>
    </r>
  </si>
  <si>
    <r>
      <t>Andres Veski, Svetlana Veski</t>
    </r>
    <r>
      <rPr>
        <sz val="10"/>
        <color indexed="55"/>
        <rFont val="Arial"/>
        <family val="2"/>
        <charset val="186"/>
      </rPr>
      <t>, Ülo Piik</t>
    </r>
  </si>
  <si>
    <t>WICIA</t>
  </si>
  <si>
    <t>aasta</t>
  </si>
  <si>
    <t>Kärdla</t>
  </si>
  <si>
    <t>Karl Räis</t>
  </si>
  <si>
    <t>SHK</t>
  </si>
  <si>
    <t>Oskar Sepp (jun.)</t>
  </si>
  <si>
    <t>1x</t>
  </si>
  <si>
    <t>Valga PK</t>
  </si>
  <si>
    <t>Birika Kerb (jun.)</t>
  </si>
  <si>
    <t>Kaur Kangur (jun.)</t>
  </si>
  <si>
    <t>Anna Liisa Kattai (jun.)</t>
  </si>
  <si>
    <t>Ille Sõrmus</t>
  </si>
  <si>
    <t>Anneli Kattai</t>
  </si>
  <si>
    <t>Maestro</t>
  </si>
  <si>
    <t>Tõnu Sõrmus</t>
  </si>
  <si>
    <t>Kevin Kangur </t>
  </si>
  <si>
    <t>Kalev PK</t>
  </si>
  <si>
    <t>Võru Küti PK</t>
  </si>
  <si>
    <t>Harry Lusbo (jun.)</t>
  </si>
  <si>
    <t>Saku PK</t>
  </si>
  <si>
    <t>Ott Karl Kopel (jun.)</t>
  </si>
  <si>
    <t>Martha Aavisto (jun.)</t>
  </si>
  <si>
    <t>Mihkel Palk (jun.)</t>
  </si>
  <si>
    <t>Kevin Sten Liik (jun.)</t>
  </si>
  <si>
    <t>Kertu Palm</t>
  </si>
  <si>
    <t>Marta Ruus</t>
  </si>
  <si>
    <t>Marge Tamm</t>
  </si>
  <si>
    <t>Tiiu Haga</t>
  </si>
  <si>
    <t>Tõnu Haga</t>
  </si>
  <si>
    <t>Ivar Viljaste, Sirje Viljaste</t>
  </si>
  <si>
    <t>Kevin Sten Liik, Marge Tamm</t>
  </si>
  <si>
    <t>Anna Liisa Kattai, Harry Lusbo</t>
  </si>
  <si>
    <t>Ille Sõrmus, Tõnu Sõrmus</t>
  </si>
  <si>
    <t>Angelika Tauk, Toomas Tauk</t>
  </si>
  <si>
    <t>Anneli Kattai, Tiit Kattai</t>
  </si>
  <si>
    <t>Tiiu Haga, Tõnu Haga</t>
  </si>
  <si>
    <t>Egert Kingissepp, Marge Mägi, Silver Kingissepp</t>
  </si>
  <si>
    <t>Marek Kolk, Marta Ruus</t>
  </si>
  <si>
    <t>Maris Rõõm, Toomas Reede</t>
  </si>
  <si>
    <t>Urmo Auväärt, Varje Reede</t>
  </si>
  <si>
    <t>Aigar Lusbo, Merike Lusbo</t>
  </si>
  <si>
    <t>Aimar Poom, Kertu Palm</t>
  </si>
  <si>
    <t>9 - 15 koht</t>
  </si>
  <si>
    <t>Argo Sepp</t>
  </si>
  <si>
    <t>Gunnar Usin</t>
  </si>
  <si>
    <t>Mihkel Lillemets</t>
  </si>
  <si>
    <t>Robert Schmidt</t>
  </si>
  <si>
    <t>Uudo Blaasen</t>
  </si>
  <si>
    <t>Rasmus Hütt</t>
  </si>
  <si>
    <t>Valmar Pantšenko</t>
  </si>
  <si>
    <t>Egert Kingissepp, Ivar Viljaste, Silver Kingissepp</t>
  </si>
  <si>
    <t>Anne Sillamaa, Vallo Sillamaa, Vello Sillasoo</t>
  </si>
  <si>
    <t>Aigar Lusbo, Merike Lusbo, Ülo Piik</t>
  </si>
  <si>
    <t>Kaur Kangur, Maris Rõõm, Mati Rõõm</t>
  </si>
  <si>
    <t>Kevin Sten Liik, Marge Mägi, Sirje Viljaste</t>
  </si>
  <si>
    <t>11:12</t>
  </si>
  <si>
    <t>Mihkel Lillemets, Robert Schmidt, Uudo Blaasen</t>
  </si>
  <si>
    <t>Argo Sepp, Jaan Sepp, Mait Metsla</t>
  </si>
  <si>
    <t>Anna Liisa Kattai, Anneli Kattai, Janek Kangur, Tiit Kattai</t>
  </si>
  <si>
    <t>Gunnar Usin, Marek Kolk, Urmo Auväärt</t>
  </si>
  <si>
    <t>Birika Kerb, Harry Lusbo, Oskar Sepp</t>
  </si>
  <si>
    <t>Ille Sõrmus, Tõnu Sõrmus, Viljar Kerb</t>
  </si>
  <si>
    <t>Mauno Mill, Toomas Reede, Varje Reede</t>
  </si>
  <si>
    <t>Rasmus Hütt, Tiiu Haga, Tõnu Haga</t>
  </si>
  <si>
    <t>Danel Pilv, Illart Majas, Jaan Lüitsepp</t>
  </si>
  <si>
    <t>7:9</t>
  </si>
  <si>
    <t>Aimar Poom, Kertu Palm, Marta Ruus, Valmar Pantšenko</t>
  </si>
  <si>
    <t>13:8</t>
  </si>
  <si>
    <t>13:4</t>
  </si>
  <si>
    <t>9:7</t>
  </si>
  <si>
    <t>* N</t>
  </si>
  <si>
    <t>TUL N</t>
  </si>
  <si>
    <t>TUL J</t>
  </si>
  <si>
    <t>* J</t>
  </si>
  <si>
    <t>Üld</t>
  </si>
  <si>
    <t>Siiri Baranova</t>
  </si>
  <si>
    <t>Peeter Lüll</t>
  </si>
  <si>
    <t>Valeri Filipenko</t>
  </si>
  <si>
    <t>Ruudi Väärtnõu</t>
  </si>
  <si>
    <t>Urmas Berkmann</t>
  </si>
  <si>
    <t>Ülo Mikk</t>
  </si>
  <si>
    <t>Peeter Romanov</t>
  </si>
  <si>
    <t>Urmas Virroja</t>
  </si>
  <si>
    <t>Urmas Mikk</t>
  </si>
  <si>
    <t>10:30</t>
  </si>
  <si>
    <t>09:00</t>
  </si>
  <si>
    <t>Martha Aavisto, Kevin Sten Liik</t>
  </si>
  <si>
    <t>Kadri Arunurm, Kalju Olmre, Silver Kingissepp</t>
  </si>
  <si>
    <t>Katri Aavekukk, Thibaut Sergeï Mathon</t>
  </si>
  <si>
    <t>Margus Berkmann, Martin Mänd</t>
  </si>
  <si>
    <t>Hardo Sokk, Kaido Kopel</t>
  </si>
  <si>
    <t>Anny Lusbo, Harry Lusbo</t>
  </si>
  <si>
    <t>Kaarel Mikk, Karl Räis</t>
  </si>
  <si>
    <t>Ruudi Väärtnõu, Urmas Berkmann</t>
  </si>
  <si>
    <t>Marge Mägi, Marina Vallik</t>
  </si>
  <si>
    <t>Peeter Lüll, Valeri Filipenko</t>
  </si>
  <si>
    <t xml:space="preserve">IV </t>
  </si>
  <si>
    <t>9 - 10 koht</t>
  </si>
  <si>
    <t>9 - 12 koht</t>
  </si>
  <si>
    <t>Urmas Mikk, Valeri Filipenko, Ülo Mikk</t>
  </si>
  <si>
    <t>Ivar Viljaste, Matti, Vinni, Sirje Viljaste</t>
  </si>
  <si>
    <t>Aigar Lusbo, Anny Lusbo, Harry Lusbo</t>
  </si>
  <si>
    <t>Marge Mägi, Peeter Romanov, Urmas Virroja</t>
  </si>
  <si>
    <t>Marek Kolk, Merike Lusbo, Urmo Auväärt</t>
  </si>
  <si>
    <t>Andres Veski, Svetlana Veski, Urmas Berkmann</t>
  </si>
  <si>
    <t>Kaarel Mikk, Margus Berkmann, Martin Mänd</t>
  </si>
  <si>
    <t>Karl Räis, Peeter Lüll, Ruudi Väärtnõu</t>
  </si>
  <si>
    <t>Kadri Arunurm, Kalju Olmre, Kevin Sten Liik, Silver Kingissepp</t>
  </si>
  <si>
    <t>rank jaoks</t>
  </si>
  <si>
    <t>VEERANDFINAALID</t>
  </si>
  <si>
    <t>min</t>
  </si>
  <si>
    <t>max</t>
  </si>
  <si>
    <t>POOLFINAALID</t>
  </si>
  <si>
    <t>PRONKSIMÄNG</t>
  </si>
  <si>
    <t>FINAAL</t>
  </si>
  <si>
    <t>VAHEVOOR</t>
  </si>
  <si>
    <t>EELVOOR</t>
  </si>
  <si>
    <r>
      <t>Koht</t>
    </r>
    <r>
      <rPr>
        <sz val="10"/>
        <color theme="1"/>
        <rFont val="Arial"/>
        <family val="2"/>
        <charset val="186"/>
      </rPr>
      <t>/edasi</t>
    </r>
  </si>
  <si>
    <t>Haapsalu (Uuskalda)</t>
  </si>
  <si>
    <t>Avo Tagen</t>
  </si>
  <si>
    <t>Enno Kermik</t>
  </si>
  <si>
    <t>Gabriel Alesmaa</t>
  </si>
  <si>
    <t>Genadi Andrejev</t>
  </si>
  <si>
    <t>Ulvi Hallik</t>
  </si>
  <si>
    <t>Anastasia Merkulova</t>
  </si>
  <si>
    <t>Q</t>
  </si>
  <si>
    <t>S</t>
  </si>
  <si>
    <t>U</t>
  </si>
  <si>
    <t>V</t>
  </si>
  <si>
    <t>Õ</t>
  </si>
  <si>
    <t>Ä</t>
  </si>
  <si>
    <t>Marta Ruus, Valmar Pantšenko</t>
  </si>
  <si>
    <t>Ivar Viljaste, Urmo Auväärt</t>
  </si>
  <si>
    <t>Heili Vasser, Tiiu Haga</t>
  </si>
  <si>
    <t>Enno Kermik, Gabriel Alesmaa</t>
  </si>
  <si>
    <t>Mait Metsla, Ülo Piik</t>
  </si>
  <si>
    <t>Marina Vallik, Uku Kollom</t>
  </si>
  <si>
    <t>Aimar Poom, Marek Kolk</t>
  </si>
  <si>
    <t>Oskar Sepp, Sirje Viljaste</t>
  </si>
  <si>
    <t>Genadi Andrejev, Ulvi Hallik</t>
  </si>
  <si>
    <t>Janek Kiisk, Thibaut Sergeï Mathon</t>
  </si>
  <si>
    <t>Vallo Sillamaa, Vello Sillasoo</t>
  </si>
  <si>
    <t>Anastasia Merkulova, Polina Merkulova</t>
  </si>
  <si>
    <t>Varje Reede, Toomas Reede</t>
  </si>
  <si>
    <t>12:4</t>
  </si>
  <si>
    <t>Elmo Lageda, Jaan Sepp</t>
  </si>
  <si>
    <t>Mihkel Lillemets, Uudo Blaasen</t>
  </si>
  <si>
    <t>9:8</t>
  </si>
  <si>
    <t>Matti Vinni, Vello Vasser</t>
  </si>
  <si>
    <t>Marge Mägi, Mauno Mill</t>
  </si>
  <si>
    <t>8:10</t>
  </si>
  <si>
    <t>Aivar Sein, Maive Sein, Mihkel Palk</t>
  </si>
  <si>
    <t>Avo Tagen, Tõnu Haga</t>
  </si>
  <si>
    <t>10:9</t>
  </si>
  <si>
    <t>10:7</t>
  </si>
  <si>
    <t>12:11</t>
  </si>
  <si>
    <t>11:4</t>
  </si>
  <si>
    <t>6:13</t>
  </si>
  <si>
    <t>7:6</t>
  </si>
  <si>
    <t>2:11</t>
  </si>
  <si>
    <t>10:13</t>
  </si>
  <si>
    <t>13:6</t>
  </si>
  <si>
    <t>12:7</t>
  </si>
  <si>
    <t>Ljudmila Varendi, Viktor Švarõgin</t>
  </si>
  <si>
    <t>Kevin Kangur, Martti Männiste, Siiri Baranova</t>
  </si>
  <si>
    <r>
      <rPr>
        <sz val="10"/>
        <color theme="1"/>
        <rFont val="Arial"/>
        <family val="2"/>
        <charset val="186"/>
      </rPr>
      <t xml:space="preserve">Kevin Kangur, Martti Männiste, </t>
    </r>
    <r>
      <rPr>
        <sz val="10"/>
        <color indexed="10"/>
        <rFont val="Arial"/>
        <family val="2"/>
        <charset val="186"/>
      </rPr>
      <t>Siiri Baranova</t>
    </r>
  </si>
  <si>
    <r>
      <rPr>
        <sz val="10"/>
        <color indexed="11"/>
        <rFont val="Arial"/>
        <family val="2"/>
        <charset val="186"/>
      </rPr>
      <t>Kevin Sten Liik</t>
    </r>
    <r>
      <rPr>
        <sz val="10"/>
        <rFont val="Arial"/>
        <family val="2"/>
        <charset val="186"/>
      </rPr>
      <t>, Mare Kingissepp</t>
    </r>
  </si>
  <si>
    <t>Punkte</t>
  </si>
  <si>
    <t>Skoor</t>
  </si>
  <si>
    <r>
      <rPr>
        <sz val="10"/>
        <color indexed="55"/>
        <rFont val="Arial"/>
        <family val="2"/>
        <charset val="186"/>
      </rPr>
      <t>Aivar Sein</t>
    </r>
    <r>
      <rPr>
        <sz val="10"/>
        <color indexed="8"/>
        <rFont val="Arial"/>
        <family val="2"/>
        <charset val="186"/>
      </rPr>
      <t>, Maive Sein, Mihkel Palk</t>
    </r>
  </si>
  <si>
    <t>Paremusjärjestus pärast nelja eelvooru</t>
  </si>
  <si>
    <t>Võit - 2 punkti</t>
  </si>
  <si>
    <t>Viik - 1 punkt</t>
  </si>
  <si>
    <t>Kaotus - 0 punkti</t>
  </si>
  <si>
    <t>Buchholz</t>
  </si>
  <si>
    <t>Buch</t>
  </si>
  <si>
    <t>48:28</t>
  </si>
  <si>
    <t>48:20</t>
  </si>
  <si>
    <t>47:33</t>
  </si>
  <si>
    <t>43:43</t>
  </si>
  <si>
    <t>37:42</t>
  </si>
  <si>
    <t>37:40</t>
  </si>
  <si>
    <t>34:25</t>
  </si>
  <si>
    <t>31:28</t>
  </si>
  <si>
    <t>34:32</t>
  </si>
  <si>
    <t>29:45</t>
  </si>
  <si>
    <t>48:36</t>
  </si>
  <si>
    <t>39:43</t>
  </si>
  <si>
    <t>35:38</t>
  </si>
  <si>
    <t>34:50</t>
  </si>
  <si>
    <t>39:50</t>
  </si>
  <si>
    <t>30:50</t>
  </si>
  <si>
    <t>Võit - 1 punkt</t>
  </si>
  <si>
    <t>47:26</t>
  </si>
  <si>
    <t>44:26</t>
  </si>
  <si>
    <t>41:45</t>
  </si>
  <si>
    <t>43:36</t>
  </si>
  <si>
    <t>51:36</t>
  </si>
  <si>
    <t>42:35</t>
  </si>
  <si>
    <t>17:52</t>
  </si>
  <si>
    <t>46:41</t>
  </si>
  <si>
    <t>38:38</t>
  </si>
  <si>
    <t>43:35</t>
  </si>
  <si>
    <t>42:50</t>
  </si>
  <si>
    <t>32:42</t>
  </si>
  <si>
    <t>19:41</t>
  </si>
  <si>
    <t>24:37</t>
  </si>
  <si>
    <t>Kevin Sten Liik, Mare Kingissepp</t>
  </si>
  <si>
    <r>
      <rPr>
        <sz val="10"/>
        <color indexed="8"/>
        <rFont val="Arial"/>
        <family val="2"/>
        <charset val="186"/>
      </rPr>
      <t>Kevin Sten Liik, Mare Kingissepp</t>
    </r>
  </si>
  <si>
    <t xml:space="preserve">  Rasvases trükis on Ida-Virumaa petankerid</t>
  </si>
  <si>
    <t>Sten Olmre</t>
  </si>
  <si>
    <t>Karla Purgats</t>
  </si>
  <si>
    <t>Kristo Viljaste</t>
  </si>
  <si>
    <t>Marge Tamm (jun.)</t>
  </si>
  <si>
    <t>Margus Berkmann</t>
  </si>
  <si>
    <t>7 - 10 koht</t>
  </si>
  <si>
    <t>Aimar Poom, Marek Kolk, Urmo Auväärt</t>
  </si>
  <si>
    <t>Argo Sepp, Janek Tarto, Karla Purgats</t>
  </si>
  <si>
    <t>Kevin Sten Liik, Mait Metsla, Marge Mägi</t>
  </si>
  <si>
    <t>Ivar Viljaste, Matti Vinni, Sirje Viljaste</t>
  </si>
  <si>
    <t>Kadri Arunurm, Kalju Olmre, Sten Olmre</t>
  </si>
  <si>
    <t>Egert Kingissepp, Margus Limberg</t>
  </si>
  <si>
    <t>Argo Sepp, Jaan Sepp</t>
  </si>
  <si>
    <t>Aarne Välja, Janek Tarto</t>
  </si>
  <si>
    <t>Katri Aavekukk, Silver Kingissepp</t>
  </si>
  <si>
    <t>Kalle Orro, Tõnu Piik</t>
  </si>
  <si>
    <t>Ivar Viljaste, Kristo Viljaste</t>
  </si>
  <si>
    <t>Urmo Auväärt, Ülo Piik</t>
  </si>
  <si>
    <t>Kevin Sten Liik, Oskar Sepp</t>
  </si>
  <si>
    <t>Seisuga 12.08.2016</t>
  </si>
  <si>
    <t>Lisaks arvestatakse suvereitingus talvereitingut ühe reitinguvõistlusena, mis läheb igal juhul suvereitingu arvestusse 13. tulemuseks.</t>
  </si>
  <si>
    <t xml:space="preserve">Naiste ja juunioride puhul toimub eraldi punktiarvestus singlis ja tulistamises (vt punktitabel). </t>
  </si>
  <si>
    <t xml:space="preserve">Naisjuuniorid saavad sel juhul reitingupunkte vastavalt naiste (S ja TUL) punktitabeli lahtrile ja meesjuuniorid saavad reitingupunkte vastavalt EMV punktitabelile. </t>
  </si>
  <si>
    <t xml:space="preserve">     Rasvases trükis on Ida-Virumaa petankerid</t>
  </si>
  <si>
    <t>?</t>
  </si>
  <si>
    <t>L, 27.08.2016</t>
  </si>
  <si>
    <t>P, 28.08.2016</t>
  </si>
  <si>
    <t>TRIO</t>
  </si>
  <si>
    <t>SEGATRIO</t>
  </si>
  <si>
    <t>SEGADUO</t>
  </si>
  <si>
    <t>DUO</t>
  </si>
  <si>
    <t>Tulemus</t>
  </si>
  <si>
    <t>Kohtumine</t>
  </si>
  <si>
    <t>Mängud</t>
  </si>
  <si>
    <t>Punktid kokku</t>
  </si>
  <si>
    <t>3:2</t>
  </si>
  <si>
    <r>
      <t>5:</t>
    </r>
    <r>
      <rPr>
        <b/>
        <sz val="10"/>
        <color indexed="8"/>
        <rFont val="Arial"/>
        <family val="2"/>
        <charset val="186"/>
      </rPr>
      <t>13</t>
    </r>
  </si>
  <si>
    <t>:</t>
  </si>
  <si>
    <r>
      <t>11:</t>
    </r>
    <r>
      <rPr>
        <b/>
        <sz val="10"/>
        <color indexed="8"/>
        <rFont val="Arial"/>
        <family val="2"/>
        <charset val="186"/>
      </rPr>
      <t>13</t>
    </r>
  </si>
  <si>
    <r>
      <rPr>
        <b/>
        <sz val="10"/>
        <color indexed="8"/>
        <rFont val="Arial"/>
        <family val="2"/>
        <charset val="186"/>
      </rPr>
      <t>13</t>
    </r>
    <r>
      <rPr>
        <sz val="10"/>
        <color theme="1"/>
        <rFont val="Arial"/>
        <family val="2"/>
        <charset val="186"/>
      </rPr>
      <t>:9</t>
    </r>
  </si>
  <si>
    <r>
      <rPr>
        <b/>
        <sz val="10"/>
        <color indexed="8"/>
        <rFont val="Arial"/>
        <family val="2"/>
        <charset val="186"/>
      </rPr>
      <t>13</t>
    </r>
    <r>
      <rPr>
        <sz val="10"/>
        <color theme="1"/>
        <rFont val="Arial"/>
        <family val="2"/>
        <charset val="186"/>
      </rPr>
      <t>:10</t>
    </r>
  </si>
  <si>
    <r>
      <rPr>
        <b/>
        <sz val="10"/>
        <color indexed="8"/>
        <rFont val="Arial"/>
        <family val="2"/>
        <charset val="186"/>
      </rPr>
      <t>13</t>
    </r>
    <r>
      <rPr>
        <sz val="10"/>
        <color theme="1"/>
        <rFont val="Arial"/>
        <family val="2"/>
        <charset val="186"/>
      </rPr>
      <t>:3</t>
    </r>
  </si>
  <si>
    <t>3-0</t>
  </si>
  <si>
    <t>2-1</t>
  </si>
  <si>
    <t>1-3</t>
  </si>
  <si>
    <t>0-3</t>
  </si>
  <si>
    <t>Aarne Välja, Janek Tarto, Ülo Piik</t>
  </si>
  <si>
    <t>Andrus Tommula, Hardo Sokk, Thibaut Sergeï Mathon</t>
  </si>
  <si>
    <t>Thibaut Sergeï Mathon, Toomas Tauk</t>
  </si>
  <si>
    <t>Hardo Sokk, Heigo Kullang</t>
  </si>
  <si>
    <t>Kevin Kangur, Tiit Kattai, Tõnu Sõrmus</t>
  </si>
  <si>
    <t>Janek Kangur, Tõnu Sõrmus</t>
  </si>
  <si>
    <t>Kevin Kangur, Tiit Kattai</t>
  </si>
  <si>
    <r>
      <rPr>
        <b/>
        <sz val="10"/>
        <color indexed="8"/>
        <rFont val="Arial"/>
        <family val="2"/>
        <charset val="186"/>
      </rPr>
      <t>13</t>
    </r>
    <r>
      <rPr>
        <sz val="10"/>
        <color theme="1"/>
        <rFont val="Arial"/>
        <family val="2"/>
        <charset val="186"/>
      </rPr>
      <t>:8</t>
    </r>
  </si>
  <si>
    <r>
      <t>8:</t>
    </r>
    <r>
      <rPr>
        <b/>
        <sz val="10"/>
        <color indexed="8"/>
        <rFont val="Arial"/>
        <family val="2"/>
        <charset val="186"/>
      </rPr>
      <t>13</t>
    </r>
  </si>
  <si>
    <t>44:56</t>
  </si>
  <si>
    <t>2:3</t>
  </si>
  <si>
    <t>Valga</t>
  </si>
  <si>
    <t>Saku</t>
  </si>
  <si>
    <t>1-4</t>
  </si>
  <si>
    <t>2-3</t>
  </si>
  <si>
    <t>2-4</t>
  </si>
  <si>
    <t>1-2</t>
  </si>
  <si>
    <t>3-4</t>
  </si>
  <si>
    <t>Margo Peebo, Margus Limberg, Silver Kingissepp</t>
  </si>
  <si>
    <t>Margo Peebo, Silver Kingissepp</t>
  </si>
  <si>
    <t>Andrus Tommula, Hardo Sokk, Toomas Tauk</t>
  </si>
  <si>
    <t>Andrus Tommula, Hardo Sokk</t>
  </si>
  <si>
    <t>3 või 4</t>
  </si>
  <si>
    <t>2 või 1</t>
  </si>
  <si>
    <t>Margus Limberg, Alar Sinimäe</t>
  </si>
  <si>
    <t>Egert Kingissepp, Margus Limberg, Urmo Auväärt</t>
  </si>
  <si>
    <t>65:27</t>
  </si>
  <si>
    <t>5:0</t>
  </si>
  <si>
    <t>Janek Kangur, Kevin Kangur, Tiit Kattai</t>
  </si>
  <si>
    <t>Janek Kangur, Tiit Kattai</t>
  </si>
  <si>
    <t>Kevin Kangur, Tõnu Sõrmus</t>
  </si>
  <si>
    <t>46:57</t>
  </si>
  <si>
    <r>
      <t>12:</t>
    </r>
    <r>
      <rPr>
        <b/>
        <sz val="10"/>
        <color indexed="8"/>
        <rFont val="Arial"/>
        <family val="2"/>
        <charset val="186"/>
      </rPr>
      <t>13</t>
    </r>
  </si>
  <si>
    <r>
      <t>9:</t>
    </r>
    <r>
      <rPr>
        <b/>
        <sz val="10"/>
        <color indexed="8"/>
        <rFont val="Arial"/>
        <family val="2"/>
        <charset val="186"/>
      </rPr>
      <t>13</t>
    </r>
  </si>
  <si>
    <r>
      <rPr>
        <b/>
        <sz val="10"/>
        <color indexed="8"/>
        <rFont val="Arial"/>
        <family val="2"/>
        <charset val="186"/>
      </rPr>
      <t>13</t>
    </r>
    <r>
      <rPr>
        <sz val="10"/>
        <color theme="1"/>
        <rFont val="Arial"/>
        <family val="2"/>
        <charset val="186"/>
      </rPr>
      <t>:5</t>
    </r>
  </si>
  <si>
    <r>
      <t>0:</t>
    </r>
    <r>
      <rPr>
        <b/>
        <sz val="10"/>
        <color indexed="8"/>
        <rFont val="Arial"/>
        <family val="2"/>
        <charset val="186"/>
      </rPr>
      <t>13</t>
    </r>
  </si>
  <si>
    <t>1:4</t>
  </si>
  <si>
    <r>
      <rPr>
        <b/>
        <sz val="10"/>
        <color indexed="8"/>
        <rFont val="Arial"/>
        <family val="2"/>
        <charset val="186"/>
      </rPr>
      <t>13</t>
    </r>
    <r>
      <rPr>
        <sz val="10"/>
        <color theme="1"/>
        <rFont val="Arial"/>
        <family val="2"/>
        <charset val="186"/>
      </rPr>
      <t>:4</t>
    </r>
  </si>
  <si>
    <r>
      <rPr>
        <b/>
        <sz val="10"/>
        <color indexed="8"/>
        <rFont val="Arial"/>
        <family val="2"/>
        <charset val="186"/>
      </rPr>
      <t>13</t>
    </r>
    <r>
      <rPr>
        <sz val="10"/>
        <color theme="1"/>
        <rFont val="Arial"/>
        <family val="2"/>
        <charset val="186"/>
      </rPr>
      <t>:7</t>
    </r>
  </si>
  <si>
    <r>
      <rPr>
        <b/>
        <sz val="10"/>
        <color indexed="8"/>
        <rFont val="Arial"/>
        <family val="2"/>
        <charset val="186"/>
      </rPr>
      <t>13</t>
    </r>
    <r>
      <rPr>
        <sz val="10"/>
        <color theme="1"/>
        <rFont val="Arial"/>
        <family val="2"/>
        <charset val="186"/>
      </rPr>
      <t>:6</t>
    </r>
  </si>
  <si>
    <t>Janek Kangur, Tiit Kattai, Tõnu Sõrmus</t>
  </si>
  <si>
    <t>Kevin Kangur, Toomas Reede</t>
  </si>
  <si>
    <t>55:36</t>
  </si>
  <si>
    <r>
      <t>3:</t>
    </r>
    <r>
      <rPr>
        <b/>
        <sz val="10"/>
        <color indexed="8"/>
        <rFont val="Arial"/>
        <family val="2"/>
        <charset val="186"/>
      </rPr>
      <t>13</t>
    </r>
  </si>
  <si>
    <t>4:1</t>
  </si>
  <si>
    <r>
      <rPr>
        <b/>
        <sz val="10"/>
        <color indexed="8"/>
        <rFont val="Arial"/>
        <family val="2"/>
        <charset val="186"/>
      </rPr>
      <t>55</t>
    </r>
    <r>
      <rPr>
        <sz val="10"/>
        <color theme="1"/>
        <rFont val="Arial"/>
        <family val="2"/>
        <charset val="186"/>
      </rPr>
      <t>:48</t>
    </r>
  </si>
  <si>
    <r>
      <t>1:</t>
    </r>
    <r>
      <rPr>
        <b/>
        <sz val="10"/>
        <color indexed="8"/>
        <rFont val="Arial"/>
        <family val="2"/>
        <charset val="186"/>
      </rPr>
      <t>13</t>
    </r>
  </si>
  <si>
    <r>
      <t>7:</t>
    </r>
    <r>
      <rPr>
        <b/>
        <sz val="10"/>
        <color indexed="8"/>
        <rFont val="Arial"/>
        <family val="2"/>
        <charset val="186"/>
      </rPr>
      <t>13</t>
    </r>
  </si>
  <si>
    <r>
      <t>0:</t>
    </r>
    <r>
      <rPr>
        <b/>
        <sz val="10"/>
        <color indexed="8"/>
        <rFont val="Arial"/>
        <family val="2"/>
        <charset val="186"/>
      </rPr>
      <t>1</t>
    </r>
  </si>
  <si>
    <r>
      <rPr>
        <b/>
        <sz val="10"/>
        <color indexed="8"/>
        <rFont val="Arial"/>
        <family val="2"/>
        <charset val="186"/>
      </rPr>
      <t>1</t>
    </r>
    <r>
      <rPr>
        <sz val="10"/>
        <color theme="1"/>
        <rFont val="Arial"/>
        <family val="2"/>
        <charset val="186"/>
      </rPr>
      <t>:0</t>
    </r>
  </si>
  <si>
    <t>-4</t>
  </si>
  <si>
    <t>Jaan Joonas, Marek Kolk, Toomas Hoole</t>
  </si>
  <si>
    <t>Aigar Lusbo, Peep Puiestik</t>
  </si>
  <si>
    <t>Harry Lusbo, Marek Kolk</t>
  </si>
  <si>
    <r>
      <rPr>
        <b/>
        <sz val="10"/>
        <color indexed="8"/>
        <rFont val="Arial"/>
        <family val="2"/>
        <charset val="186"/>
      </rPr>
      <t>13</t>
    </r>
    <r>
      <rPr>
        <sz val="10"/>
        <color theme="1"/>
        <rFont val="Arial"/>
        <family val="2"/>
        <charset val="186"/>
      </rPr>
      <t>:2</t>
    </r>
  </si>
  <si>
    <t>49:47</t>
  </si>
  <si>
    <t>Janek Kiisk, Kaarel Mikk, Meelis Münt</t>
  </si>
  <si>
    <t>Kaarel Mikk, Martin Mänd</t>
  </si>
  <si>
    <t>Janek Kiisk, Meelis Münt</t>
  </si>
  <si>
    <r>
      <rPr>
        <b/>
        <sz val="10"/>
        <color indexed="8"/>
        <rFont val="Arial"/>
        <family val="2"/>
        <charset val="186"/>
      </rPr>
      <t>13</t>
    </r>
    <r>
      <rPr>
        <sz val="10"/>
        <color theme="1"/>
        <rFont val="Arial"/>
        <family val="2"/>
        <charset val="186"/>
      </rPr>
      <t>:12</t>
    </r>
  </si>
  <si>
    <r>
      <rPr>
        <b/>
        <sz val="10"/>
        <color indexed="8"/>
        <rFont val="Arial"/>
        <family val="2"/>
        <charset val="186"/>
      </rPr>
      <t>13</t>
    </r>
    <r>
      <rPr>
        <sz val="10"/>
        <color theme="1"/>
        <rFont val="Arial"/>
        <family val="2"/>
        <charset val="186"/>
      </rPr>
      <t>:1</t>
    </r>
  </si>
  <si>
    <t>65:39</t>
  </si>
  <si>
    <t>Janek Kiisk, Marju Velga</t>
  </si>
  <si>
    <t>Aigar Lusbo, Harry Lusbo, Toomas Hoole</t>
  </si>
  <si>
    <t>Aigar Lusbo, Marek Kolk</t>
  </si>
  <si>
    <t>57:52</t>
  </si>
  <si>
    <t>5-7</t>
  </si>
  <si>
    <t>A-alagrupp</t>
  </si>
  <si>
    <t>B-alagrupp</t>
  </si>
  <si>
    <t>Harry Lusbo, Jaan Joonas, Toomas Hoole</t>
  </si>
  <si>
    <t>Aigar Lusbo, Harry Lusbo</t>
  </si>
  <si>
    <t>3:1</t>
  </si>
  <si>
    <t>B1-A2</t>
  </si>
  <si>
    <t>A1-B2</t>
  </si>
  <si>
    <t>Janek Kiisk, Martin Mänd, Meelis Münt</t>
  </si>
  <si>
    <t>3. koht</t>
  </si>
  <si>
    <t>Finaal</t>
  </si>
  <si>
    <t>61:34</t>
  </si>
  <si>
    <t>Heigo Kullang, Kaido Kopel</t>
  </si>
  <si>
    <t>Ivar Viljaste, Kristo Viljaste, Ülo Piik</t>
  </si>
  <si>
    <t>63:</t>
  </si>
  <si>
    <t>Trio, duo, segatrio, segaduo</t>
  </si>
  <si>
    <t>Kohtla-Järve SHK 2</t>
  </si>
  <si>
    <t>Kohtla-Järve SHK 1</t>
  </si>
  <si>
    <t>Haapsalu PK Wicia</t>
  </si>
  <si>
    <t>Võru SK Küti</t>
  </si>
  <si>
    <r>
      <rPr>
        <b/>
        <sz val="10"/>
        <color indexed="8"/>
        <rFont val="Arial"/>
        <family val="2"/>
        <charset val="186"/>
      </rPr>
      <t>1</t>
    </r>
    <r>
      <rPr>
        <sz val="10"/>
        <color indexed="8"/>
        <rFont val="Arial"/>
        <family val="2"/>
        <charset val="186"/>
      </rPr>
      <t>:0</t>
    </r>
  </si>
  <si>
    <t>51:43</t>
  </si>
  <si>
    <r>
      <t xml:space="preserve">Aigar Lusbo, </t>
    </r>
    <r>
      <rPr>
        <sz val="10"/>
        <color indexed="10"/>
        <rFont val="Arial"/>
        <family val="2"/>
        <charset val="186"/>
      </rPr>
      <t>Anny Lusbo</t>
    </r>
    <r>
      <rPr>
        <sz val="10"/>
        <color indexed="8"/>
        <rFont val="Arial"/>
        <family val="2"/>
        <charset val="186"/>
      </rPr>
      <t>, Peep Puiestik</t>
    </r>
  </si>
  <si>
    <r>
      <t xml:space="preserve">Andres Veski, Matti Vinni, </t>
    </r>
    <r>
      <rPr>
        <sz val="10"/>
        <color indexed="10"/>
        <rFont val="Arial"/>
        <family val="2"/>
        <charset val="186"/>
      </rPr>
      <t>Svetlana Veski</t>
    </r>
  </si>
  <si>
    <r>
      <rPr>
        <sz val="10"/>
        <color indexed="10"/>
        <rFont val="Arial"/>
        <family val="2"/>
        <charset val="186"/>
      </rPr>
      <t>Anny Lusbo</t>
    </r>
    <r>
      <rPr>
        <sz val="10"/>
        <color indexed="8"/>
        <rFont val="Arial"/>
        <family val="2"/>
        <charset val="186"/>
      </rPr>
      <t>, Toomas Hoole</t>
    </r>
  </si>
  <si>
    <r>
      <t xml:space="preserve">Andres Veski, </t>
    </r>
    <r>
      <rPr>
        <sz val="10"/>
        <color indexed="10"/>
        <rFont val="Arial"/>
        <family val="2"/>
        <charset val="186"/>
      </rPr>
      <t>Svetlana Veski</t>
    </r>
  </si>
  <si>
    <r>
      <rPr>
        <sz val="10"/>
        <color indexed="10"/>
        <rFont val="Arial"/>
        <family val="2"/>
        <charset val="186"/>
      </rPr>
      <t>Katri Aavekukk</t>
    </r>
    <r>
      <rPr>
        <sz val="10"/>
        <color indexed="8"/>
        <rFont val="Arial"/>
        <family val="2"/>
        <charset val="186"/>
      </rPr>
      <t>, Margus Berkmann, Martin Mänd</t>
    </r>
  </si>
  <si>
    <r>
      <rPr>
        <sz val="10"/>
        <color indexed="10"/>
        <rFont val="Arial"/>
        <family val="2"/>
        <charset val="186"/>
      </rPr>
      <t>Katri Aavekukk</t>
    </r>
    <r>
      <rPr>
        <sz val="10"/>
        <color indexed="8"/>
        <rFont val="Arial"/>
        <family val="2"/>
        <charset val="186"/>
      </rPr>
      <t>, Margus Berkmann</t>
    </r>
  </si>
  <si>
    <r>
      <rPr>
        <sz val="10"/>
        <color indexed="10"/>
        <rFont val="Arial"/>
        <family val="2"/>
        <charset val="186"/>
      </rPr>
      <t>Marju Velga</t>
    </r>
    <r>
      <rPr>
        <sz val="10"/>
        <color indexed="8"/>
        <rFont val="Arial"/>
        <family val="2"/>
        <charset val="186"/>
      </rPr>
      <t>, Margus Berkmann, Martin Mänd</t>
    </r>
  </si>
  <si>
    <r>
      <rPr>
        <sz val="10"/>
        <color indexed="10"/>
        <rFont val="Arial"/>
        <family val="2"/>
        <charset val="186"/>
      </rPr>
      <t>Anny Lusbo</t>
    </r>
    <r>
      <rPr>
        <sz val="10"/>
        <color indexed="8"/>
        <rFont val="Arial"/>
        <family val="2"/>
        <charset val="186"/>
      </rPr>
      <t>, Marek Kolk,  Peep Puiestik</t>
    </r>
  </si>
  <si>
    <r>
      <rPr>
        <sz val="10"/>
        <color indexed="10"/>
        <rFont val="Arial"/>
        <family val="2"/>
        <charset val="186"/>
      </rPr>
      <t>Anny Lusbo</t>
    </r>
    <r>
      <rPr>
        <sz val="10"/>
        <color indexed="8"/>
        <rFont val="Arial"/>
        <family val="2"/>
        <charset val="186"/>
      </rPr>
      <t>, Harry Lusbo</t>
    </r>
  </si>
  <si>
    <r>
      <rPr>
        <sz val="10"/>
        <color indexed="10"/>
        <rFont val="Arial"/>
        <family val="2"/>
        <charset val="186"/>
      </rPr>
      <t>Angelika Tauk</t>
    </r>
    <r>
      <rPr>
        <sz val="10"/>
        <color indexed="8"/>
        <rFont val="Arial"/>
        <family val="2"/>
        <charset val="186"/>
      </rPr>
      <t>, Kaido Kopel, Toomas Tauk</t>
    </r>
  </si>
  <si>
    <r>
      <t xml:space="preserve">Ivar Viljaste, Kristo Viljaste, </t>
    </r>
    <r>
      <rPr>
        <sz val="10"/>
        <color indexed="10"/>
        <rFont val="Arial"/>
        <family val="2"/>
        <charset val="186"/>
      </rPr>
      <t>Sirje Viljaste</t>
    </r>
  </si>
  <si>
    <r>
      <rPr>
        <sz val="10"/>
        <color indexed="10"/>
        <rFont val="Arial"/>
        <family val="2"/>
        <charset val="186"/>
      </rPr>
      <t>Sirje Viljaste</t>
    </r>
    <r>
      <rPr>
        <sz val="10"/>
        <color indexed="8"/>
        <rFont val="Arial"/>
        <family val="2"/>
        <charset val="186"/>
      </rPr>
      <t>, Ülo Piik</t>
    </r>
  </si>
  <si>
    <r>
      <rPr>
        <sz val="10"/>
        <color indexed="10"/>
        <rFont val="Arial"/>
        <family val="2"/>
        <charset val="186"/>
      </rPr>
      <t>Angelika Tauk</t>
    </r>
    <r>
      <rPr>
        <sz val="10"/>
        <color indexed="8"/>
        <rFont val="Arial"/>
        <family val="2"/>
        <charset val="186"/>
      </rPr>
      <t>, Kaido Kopel</t>
    </r>
  </si>
  <si>
    <r>
      <t xml:space="preserve">Janek Kangur, Toomas Reede, </t>
    </r>
    <r>
      <rPr>
        <sz val="10"/>
        <color indexed="10"/>
        <rFont val="Arial"/>
        <family val="2"/>
        <charset val="186"/>
      </rPr>
      <t>Varje Reede</t>
    </r>
  </si>
  <si>
    <r>
      <t xml:space="preserve">Alar Sinimäe, </t>
    </r>
    <r>
      <rPr>
        <sz val="10"/>
        <color indexed="10"/>
        <rFont val="Arial"/>
        <family val="2"/>
        <charset val="186"/>
      </rPr>
      <t>Katrin Tiido</t>
    </r>
    <r>
      <rPr>
        <sz val="10"/>
        <color indexed="8"/>
        <rFont val="Arial"/>
        <family val="2"/>
        <charset val="186"/>
      </rPr>
      <t>, Margo Peebo</t>
    </r>
  </si>
  <si>
    <r>
      <t xml:space="preserve">Toomas Reede, </t>
    </r>
    <r>
      <rPr>
        <sz val="10"/>
        <color indexed="10"/>
        <rFont val="Arial"/>
        <family val="2"/>
        <charset val="186"/>
      </rPr>
      <t>Varje Reede</t>
    </r>
  </si>
  <si>
    <r>
      <rPr>
        <sz val="10"/>
        <color indexed="10"/>
        <rFont val="Arial"/>
        <family val="2"/>
        <charset val="186"/>
      </rPr>
      <t>Katrin Tiido</t>
    </r>
    <r>
      <rPr>
        <sz val="10"/>
        <color indexed="8"/>
        <rFont val="Arial"/>
        <family val="2"/>
        <charset val="186"/>
      </rPr>
      <t>, Margo Peebo</t>
    </r>
  </si>
  <si>
    <r>
      <rPr>
        <sz val="10"/>
        <color indexed="10"/>
        <rFont val="Arial"/>
        <family val="2"/>
        <charset val="186"/>
      </rPr>
      <t>Marina Vallik</t>
    </r>
    <r>
      <rPr>
        <sz val="10"/>
        <color indexed="8"/>
        <rFont val="Arial"/>
        <family val="2"/>
        <charset val="186"/>
      </rPr>
      <t>, Urmo Auväärt</t>
    </r>
  </si>
  <si>
    <r>
      <t xml:space="preserve">Toomas Reede, Tõnu Sõrmus, </t>
    </r>
    <r>
      <rPr>
        <sz val="10"/>
        <color indexed="10"/>
        <rFont val="Arial"/>
        <family val="2"/>
        <charset val="186"/>
      </rPr>
      <t>Varje Reede</t>
    </r>
  </si>
  <si>
    <r>
      <rPr>
        <sz val="10"/>
        <color indexed="10"/>
        <rFont val="Arial"/>
        <family val="2"/>
        <charset val="186"/>
      </rPr>
      <t>Angelika Tauk</t>
    </r>
    <r>
      <rPr>
        <sz val="10"/>
        <color indexed="8"/>
        <rFont val="Arial"/>
        <family val="2"/>
        <charset val="186"/>
      </rPr>
      <t>, Toomas Tauk</t>
    </r>
  </si>
  <si>
    <r>
      <t xml:space="preserve">Kevin Kangur, Toomas Reede, </t>
    </r>
    <r>
      <rPr>
        <sz val="10"/>
        <color indexed="10"/>
        <rFont val="Arial"/>
        <family val="2"/>
        <charset val="186"/>
      </rPr>
      <t>Varje Reede</t>
    </r>
  </si>
  <si>
    <r>
      <rPr>
        <sz val="10"/>
        <color indexed="10"/>
        <rFont val="Arial"/>
        <family val="2"/>
        <charset val="186"/>
      </rPr>
      <t>Varje Reede</t>
    </r>
    <r>
      <rPr>
        <sz val="10"/>
        <color indexed="8"/>
        <rFont val="Arial"/>
        <family val="2"/>
        <charset val="186"/>
      </rPr>
      <t>, Tiit Kattai</t>
    </r>
  </si>
  <si>
    <r>
      <rPr>
        <sz val="10"/>
        <color indexed="10"/>
        <rFont val="Arial"/>
        <family val="2"/>
        <charset val="186"/>
      </rPr>
      <t>Katrin Tiido, Marina Vallik</t>
    </r>
    <r>
      <rPr>
        <sz val="10"/>
        <color indexed="8"/>
        <rFont val="Arial"/>
        <family val="2"/>
        <charset val="186"/>
      </rPr>
      <t>, Urmo Auväärt</t>
    </r>
  </si>
  <si>
    <r>
      <rPr>
        <sz val="10"/>
        <color indexed="10"/>
        <rFont val="Arial"/>
        <family val="2"/>
        <charset val="186"/>
      </rPr>
      <t>Angelika Tauk</t>
    </r>
    <r>
      <rPr>
        <sz val="10"/>
        <color indexed="8"/>
        <rFont val="Arial"/>
        <family val="2"/>
        <charset val="186"/>
      </rPr>
      <t>, Kaido Kopel, Thibaut Sergeï Mathon</t>
    </r>
  </si>
  <si>
    <r>
      <t xml:space="preserve">Kaarel Mikk, </t>
    </r>
    <r>
      <rPr>
        <sz val="10"/>
        <color indexed="10"/>
        <rFont val="Arial"/>
        <family val="2"/>
        <charset val="186"/>
      </rPr>
      <t>Katri Aavekukk</t>
    </r>
    <r>
      <rPr>
        <sz val="10"/>
        <color indexed="8"/>
        <rFont val="Arial"/>
        <family val="2"/>
        <charset val="186"/>
      </rPr>
      <t>, Margus Berkmann</t>
    </r>
  </si>
  <si>
    <r>
      <rPr>
        <sz val="10"/>
        <color indexed="10"/>
        <rFont val="Arial"/>
        <family val="2"/>
        <charset val="186"/>
      </rPr>
      <t>Marju Velga</t>
    </r>
    <r>
      <rPr>
        <sz val="10"/>
        <color indexed="8"/>
        <rFont val="Arial"/>
        <family val="2"/>
        <charset val="186"/>
      </rPr>
      <t>, Meelis Münt</t>
    </r>
  </si>
  <si>
    <r>
      <t xml:space="preserve">Aigar Lusbo, </t>
    </r>
    <r>
      <rPr>
        <sz val="10"/>
        <color indexed="10"/>
        <rFont val="Arial"/>
        <family val="2"/>
        <charset val="186"/>
      </rPr>
      <t>Anny Lusbo</t>
    </r>
    <r>
      <rPr>
        <sz val="10"/>
        <color indexed="8"/>
        <rFont val="Arial"/>
        <family val="2"/>
        <charset val="186"/>
      </rPr>
      <t>, Marek Kolk</t>
    </r>
  </si>
  <si>
    <r>
      <rPr>
        <sz val="10"/>
        <color indexed="10"/>
        <rFont val="Arial"/>
        <family val="2"/>
        <charset val="186"/>
      </rPr>
      <t>Anny Lusbo</t>
    </r>
    <r>
      <rPr>
        <sz val="10"/>
        <color indexed="8"/>
        <rFont val="Arial"/>
        <family val="2"/>
        <charset val="186"/>
      </rPr>
      <t>, Marek Kolk</t>
    </r>
  </si>
  <si>
    <r>
      <t xml:space="preserve">Hardo Sokk, Heigo Kullang, </t>
    </r>
    <r>
      <rPr>
        <sz val="10"/>
        <color indexed="10"/>
        <rFont val="Arial"/>
        <family val="2"/>
        <charset val="186"/>
      </rPr>
      <t>Piret Kopel</t>
    </r>
  </si>
  <si>
    <r>
      <rPr>
        <sz val="10"/>
        <color indexed="10"/>
        <rFont val="Arial"/>
        <family val="2"/>
        <charset val="186"/>
      </rPr>
      <t>Angelika Tauk</t>
    </r>
    <r>
      <rPr>
        <sz val="10"/>
        <color indexed="8"/>
        <rFont val="Arial"/>
        <family val="2"/>
        <charset val="186"/>
      </rPr>
      <t>, Thibaut Sergeï Mathon</t>
    </r>
  </si>
  <si>
    <r>
      <t xml:space="preserve">Aarne Välja, Janek Tarto, </t>
    </r>
    <r>
      <rPr>
        <sz val="10"/>
        <color indexed="10"/>
        <rFont val="Arial"/>
        <family val="2"/>
        <charset val="186"/>
      </rPr>
      <t>Sirje Viljaste</t>
    </r>
  </si>
  <si>
    <r>
      <rPr>
        <b/>
        <sz val="10"/>
        <color indexed="8"/>
        <rFont val="Arial"/>
        <family val="2"/>
        <charset val="186"/>
      </rPr>
      <t>13</t>
    </r>
    <r>
      <rPr>
        <sz val="10"/>
        <color theme="1"/>
        <rFont val="Arial"/>
        <family val="2"/>
        <charset val="186"/>
      </rPr>
      <t>:?</t>
    </r>
  </si>
  <si>
    <t>L, 03.09.2016</t>
  </si>
  <si>
    <t>Soome petangiliit</t>
  </si>
  <si>
    <t>Hardo Sokk, Kaido Kopel, Mihkel Filipenko</t>
  </si>
  <si>
    <t>Aivar Sein, Priit Koppel, Silver Kingissepp, Ülo Piik</t>
  </si>
  <si>
    <t>Ivar Viljaste, Kalju Olmre, Matti Vinni, Sirje Viljaste</t>
  </si>
  <si>
    <t>Anna-Liisa Kattai, Birika Kerb, Harry Lusbo, Oskar Sepp</t>
  </si>
  <si>
    <t>Mikael Gripenberg, Mikko Kamppuri, Mika Metsä-Eerola</t>
  </si>
  <si>
    <t>Marko Aalto, Mikko Lehti, Petri Seppä</t>
  </si>
  <si>
    <t>Kati Nieminen, Merja Salonranta, Päivi Lehtonen-Palmqvist</t>
  </si>
  <si>
    <t>Elmo Ylivainio, Jimi Lohman, Niklas Palmqvist</t>
  </si>
  <si>
    <t>Ari-Pekka Mäkelä, Jarkko Pahkala, Jukka Holopainen</t>
  </si>
  <si>
    <t>Harry Uschanov, Kari Korkeamäki, Seija Uusitalo, Seppo Lindman</t>
  </si>
  <si>
    <t>1. mäng 10:40</t>
  </si>
  <si>
    <t>2. mäng 12:05</t>
  </si>
  <si>
    <t>6. mäng 17:25</t>
  </si>
  <si>
    <t>5. mäng 16:10</t>
  </si>
  <si>
    <t>4. mäng</t>
  </si>
  <si>
    <t>3. mäng 13:35</t>
  </si>
  <si>
    <t>Kõik mängud toimusid ajalimiidiga 50 minutit + 2 snadiviset</t>
  </si>
  <si>
    <r>
      <t xml:space="preserve">Aivar Sein, </t>
    </r>
    <r>
      <rPr>
        <sz val="10"/>
        <color indexed="55"/>
        <rFont val="Arial"/>
        <family val="2"/>
        <charset val="186"/>
      </rPr>
      <t>Priit Koppel</t>
    </r>
    <r>
      <rPr>
        <sz val="10"/>
        <color theme="1"/>
        <rFont val="Arial"/>
        <family val="2"/>
        <charset val="186"/>
      </rPr>
      <t>, Silver Kingissepp, Ülo Piik</t>
    </r>
  </si>
  <si>
    <r>
      <t xml:space="preserve">Aivar Sein, Priit Koppel, Silver Kingissepp, </t>
    </r>
    <r>
      <rPr>
        <sz val="10"/>
        <color indexed="55"/>
        <rFont val="Arial"/>
        <family val="2"/>
        <charset val="186"/>
      </rPr>
      <t>Ülo Piik</t>
    </r>
  </si>
  <si>
    <t>väljak</t>
  </si>
  <si>
    <t>Seisuga 04.09.2016</t>
  </si>
  <si>
    <t>Arvesse läheb 12 võistlust 16st  (7 reitinguvõistlust 10st + 5 Eesti MV-d 6st) + sisereiting</t>
  </si>
  <si>
    <t>Reiting, Maestro karikas 2016</t>
  </si>
  <si>
    <t>Reiting, Hansaturniir</t>
  </si>
  <si>
    <t>Reiting, Viru karikas</t>
  </si>
  <si>
    <t>Janek Kiisk, Margus Berkmann</t>
  </si>
  <si>
    <t>Ü L D R E I T I N G</t>
  </si>
  <si>
    <t>M E H E D</t>
  </si>
  <si>
    <t>N A I S E D</t>
  </si>
  <si>
    <t>J U U N I O R I D</t>
  </si>
  <si>
    <t xml:space="preserve">EMV </t>
  </si>
  <si>
    <t xml:space="preserve">Reiting </t>
  </si>
  <si>
    <t xml:space="preserve">Naised </t>
  </si>
  <si>
    <t xml:space="preserve">Juuniorid </t>
  </si>
  <si>
    <t>25 - 26 koht</t>
  </si>
  <si>
    <t>KOKKU</t>
  </si>
  <si>
    <t>• minu tervislik seisukord lubab mul osaleda petangivõistlustel;</t>
  </si>
  <si>
    <t>• olen nõus, et minu isikuandmeid töödeldakse seoses petangivõistluste korraldamisega;</t>
  </si>
  <si>
    <t>• annan EPKL-le õiguse tasuta mitteärilisel eesmärgil petangi arendamiseks ja EPKL poolt kindlaks määratud muudel mõistlikel eesmärkidel kasutada ja volitada kolmandaid isikuid kasutama minu fotosid ja minu kohta koostatud audiovisuaalseid ja visuaalseid materjale (kaasa arvatud minu nime, asjassepuutuv statistika, andmed ja kujutised) koos klubi nime, embleemi ja mängijasärgiga (sealhulgas särgisponsorite ja varustuse tootjate reklaamiga);</t>
  </si>
  <si>
    <t>• täidan F.I.P.J.P, CEP, EPKL ja klubi põhikirja, juhendeid, direktiive ning nende alusel ja nendega kooskõlas vastu võetud petangialaseid otsuseid;</t>
  </si>
  <si>
    <t>• olen tutvunud EPKL mängijate staatust ja üleminekuid reguleeriva korraga;</t>
  </si>
  <si>
    <t>• hoidun igasugusest käitumisest, mis kahjustab või võib kahjustada EPKL-i või EPKL-i klubide poolt organiseeritud või korraldatud võistluste aususe põhimõtet, ning kohustun tegema EPKL-ga täielikku koostööd võitlemaks selliste tegude vastu.</t>
  </si>
  <si>
    <t>Reitingu võistlus</t>
  </si>
  <si>
    <t>Naised S ja TUL</t>
  </si>
  <si>
    <t>Juuniorid S ja TUL</t>
  </si>
  <si>
    <t>4.1 Litsentsi saab taotleda EPKLi liikmeks olev klubi, kes on tasunud EPKLi aasta liikmemaksu 150€ (peab olema tasutud 1. maiks 2016 a.)  Hooaja jooksul saab petanker litsentsi vaid ühest klubist.</t>
  </si>
  <si>
    <t>EM ja MM KATSEVÕISTLUSTE JUHEND 2016</t>
  </si>
  <si>
    <t>EESMÄRK</t>
  </si>
  <si>
    <t>Selgitada välja võistkonnad, kes saavad õiguse esindada Eestit 2016. aastal meeste maailmameistrivõistlustel (MM-il), naiste Euroopa meistrivõistlustel (EM-il), juunioride Euroopa meistrivõistlustel (EM-il), naiste ja meeste üksikmängu Euroopa meistrivõistlustel (EM-il) ja veteranide 55+ Euroopa meistrivõistlustel (EM-il).</t>
  </si>
  <si>
    <t>NB! Meeste MM-il osalemise eelisõigus on võistkonnal koosseisus: Silver Kingissepp, Margus Limberg, Ivar Viljaste ja Priit Koppel, kellest võib välja vahetada kaks liiget. Kui nemad loobuvad soovist osaleda MM-il, siis toimuvad katsevõistlused meestele.   </t>
  </si>
  <si>
    <t>OSALEJAD</t>
  </si>
  <si>
    <t>Katsevõistlused on 3-4-liikmelistele võistkondadele, kusjuures mängija tohib katsevõistluste raames osaleda vaid ühe võistkonna eest. Üksikmängus naised ja mehed võistlevad eraldi arvestuses.</t>
  </si>
  <si>
    <t>EM-i katsevõistlustel tohivad osaleda ainult naised, juunioritel poisid-tüdrukud, veteranidel mehed-naised ja MM-i katsevõistlustel ainult mehed.</t>
  </si>
  <si>
    <t>Kui katsevõistlused võitnud võistkond on kolmeliikmeline, siis peavad sõitma tiitlivõistlusele kõik 3 osalenud mängijat ja hiljem võib lisada neljanda mängija. Kui võidab neljaliikmeline võistkond, siis võib tiitlivõistlusel osalevas võistkonnas ühe liikme välja vahetada.</t>
  </si>
  <si>
    <t>Katsevõistlustele registreerumisega annab mängija nõusoleku sõlmida EPKL-iga kokkulepe, mille kohaselt mängija kohustub hüvitama EPKL-ile kõik tema rahvusvahelisele tiitlivõistlusele lähetamiseks EPKL-i poolt tehtud kulutused ja muud juhtumiga seotult EPKL-i vastu esitatud nõuded, kui:</t>
  </si>
  <si>
    <t>- mängijale määratakse EPKL-i või rahvusvahelise alaliidu või tiitlivõistluse korraldaja poolt karistus alkoholi ja/või dopinguainete kasutamise eest;</t>
  </si>
  <si>
    <t>- mängija on Eesti esindusvõistkonna liikmena käitunud ebaväärikalt;</t>
  </si>
  <si>
    <t>- pärast esindusvõistkonna selgumist mängija mõjuva põhjuseta loobub esindusvõistkonnas osalemisest.</t>
  </si>
  <si>
    <t>REEGLID</t>
  </si>
  <si>
    <t>Võistlused viiakse läbi rahvusvaheliste petangireeglite ja kehtiva EPKL-i välishooaja 2016 üldjuhendi järgi.</t>
  </si>
  <si>
    <t>Katsevõistlustel tohivad osaleda ainult Eesti kodakondsust omavad petankerid ja neil peab olema kehtiv F.I.P.J.P liidu alla kuuluva riigi petanque liidu litsents.</t>
  </si>
  <si>
    <t>Võistkondadel peab olema ühtne võistlusvorm (särgid).</t>
  </si>
  <si>
    <t>Võistlustele määrab kohtuniku EPKL-i juhatus.</t>
  </si>
  <si>
    <t>VÕISTLUSTE AJAD</t>
  </si>
  <si>
    <t>Meeste MM toimumiskoha ja -aja kohta ootame kinnitatud infot FIPJP-lt</t>
  </si>
  <si>
    <t>EPKL-i katsevõistlused toimuvad:</t>
  </si>
  <si>
    <t>I ring - (I etapp) - 15.05.2016 veteranid 55+ </t>
  </si>
  <si>
    <t>Singel – 03.07.2016 </t>
  </si>
  <si>
    <t>NB! Veteranide II etappi aeg otsustatakse vajadusel võistlejate arvu selgumisel. Singli võistlussüsteem ja koht antakse teada 3 päeva jooksul pärast registreerinute selgumist.</t>
  </si>
  <si>
    <t>REGISTREERIMINE</t>
  </si>
  <si>
    <t>Katsevõistlustele saab registreerida e-posti aadressil juhatus@petanque.ee kuni 11. maini 2016 kell 21.00. Registreerimisel tuleb kirja panna osavõtjate nimed ja võistkonna esindaja kontaktandmed. Lisaregistreerimist ei saa hiljem teha.</t>
  </si>
  <si>
    <t>Oma osalemisest tiitlivõistlustel peab katsevõistlused võitnud võistkond andma EPKL-ile kinnituse 19.06.2016. Loobumise korral on teiseks tulnud võistkonnal kinnituse andmiseks aega 26.06.2016 ja selle loobumisel on kolmandaks tulnud võistkonnal aega kinnitus anda 03.07.2016. Kui kõik kolm esikolmikusse tulnud võistkonnad loobuvad, siis otsustab tiitlivõistlustel osalemise EPKL-i juhatus.</t>
  </si>
  <si>
    <t>OSAVÕTUTASU</t>
  </si>
  <si>
    <t>Katsevõistlustel osalemise tasu on 120 eurot võistkonna kohta. Lisaks tuleb tasuda tagatisraha 100 eurot võistkonna kohta, mille saab tagasi peale katsevõistluste lõppu kui on mängitud kõik mängud. Juhul kui võistkond loobub edasisest võistlemisest, annab kas või ühe loobumisvõidu, siis tagatisraha tagasi ei maksta. Singli osavõtutasu on 30€. Juunioride osavõtutasu on 5 eurot mängija kohta, mida ei tagastata.</t>
  </si>
  <si>
    <t>Osavõtutasu ja tagatisraha peab olema tasutud 14.05.2016 EPKL-i a/a EE05 2200 0011 2011 4684. </t>
  </si>
  <si>
    <t>VÕISTLUSTE LÄBIVIIMISE SÜSTEEM</t>
  </si>
  <si>
    <t>Katsevõistlused koosnevad 2 ringist:</t>
  </si>
  <si>
    <t>1. I ring – mängitakse 2 etappi (mängitakse kahel eraldi päeval) turniiri süsteemis (alagrupp). Kahe etapi tulemused liidetakse ja enim kahe etapiga võite saanud kaks võistkonda pääsevad II ringi ehk finaali.</t>
  </si>
  <si>
    <t>2. II ring – FINAAL. Finaali pääsevad I ringi kaks paremat võistkonda. Finaalis mängitakse 3 võiduni.</t>
  </si>
  <si>
    <t>3. Finaali ei toimu: </t>
  </si>
  <si>
    <t>a) juhul kui peale I ringi on esimese ja teise võistkonna vahe 4 (neli) võitu või rohkem,</t>
  </si>
  <si>
    <t>b) juhul kui esimese ja teise võistkonna vahe on 3 (kolm) võitu ning omavaheliste mängude seis esimese kasuks on 4-0 (kehtib 4 võistkonna puhul).</t>
  </si>
  <si>
    <t>4. Enim võite kahe etapiga kogunud võistkond või finaali võitja on katsevõistluste võitja.</t>
  </si>
  <si>
    <t>5. Võrdsete võitude arvu korral selgitatakse paremusjärjestus järgnevalt:</t>
  </si>
  <si>
    <t>a) omavahelistes mängudes saavutatud võidud,</t>
  </si>
  <si>
    <t>b) omavaheliste mängude punktide vahe,</t>
  </si>
  <si>
    <t>d) omavaheliste mängude punktide suhe,</t>
  </si>
  <si>
    <t>e) üldine punktide suhe.</t>
  </si>
  <si>
    <t>6. Mängude järjekord etappide järgi:</t>
  </si>
  <si>
    <t>b) II etapil asetatakse võistkonnad tabelisse nii, et I etapi järel liidriks olnud võistkond on tabelis kohal nr 1, teine kohal nr. 2 jne. Viimases voorus kohtuvad omavahel esimese ja teise asetuse saanud võistkonnad, kolmandana ja neljandana asetatud võistkonnad jne.</t>
  </si>
  <si>
    <t>7. Kui katsevõistlustele registreerub üks võistkond, siis on sellel võistkonnal automaatselt õigus esindada Eestit tiitlivõistlusel.</t>
  </si>
  <si>
    <t>8. Kui katsevõistlustele registreerub kaks võistkonda, siis jääb I ring ära ja mängitakse kohe II ring ehk finaal. Finaal mängitakse nelja võiduni.</t>
  </si>
  <si>
    <t>9. Kui katsevõistlustele registreerub kolm või neli võistkonda, siis mängitakse I ringis kaks etappi ja etappidel mängitakse kaks korda „kõik kõigiga“. Finaali saavad kaks paremat ja mängiatkse 3 võiduni (punktid 2 ja 3).</t>
  </si>
  <si>
    <t>10. Kui katsevõistlustele registreerub viis võistkonda, otsustatakse võistluste läbiviimise süsteem 2 päeva jooksul peale registreerimise lõppu. </t>
  </si>
  <si>
    <t>AUHINNAD</t>
  </si>
  <si>
    <t>Parim naiskond saab õiguse esindada Eestit 2016. aasta naiste Euroopa meistrivõistlustel. </t>
  </si>
  <si>
    <t>Parim juunioride võistkond saab õiguse esindada Eestit 2016. aasta juunioride Euroopa meistrivõistlustel (kui toimuvad katsevõistlused).</t>
  </si>
  <si>
    <t>Parim naine ja mees üksikmängus saavad õiguse esindada Eestit 2016. aasta Euroopa meistrivõistlustel üksikmängus.</t>
  </si>
  <si>
    <t>Parim veteranide võistkond saab õiguse esindada Eestit 2016. aasta veteranide Euroopa meistrivõistlustel.</t>
  </si>
  <si>
    <t>Osalemise ja võistkonna kinnitab EPKL või korraldatakse katsevõistlused.</t>
  </si>
  <si>
    <t>KATSEVÕISTLUSTE JUHEND 2016</t>
  </si>
  <si>
    <t>Katsevõistluste toimumisel saab parim meeskond õiguse esindada Eestit 2016. aasta Maailmameistrivõistlustel</t>
  </si>
  <si>
    <t>c) üldine punktide vahe,</t>
  </si>
  <si>
    <t>a) I etapil loositakse tabelisse,</t>
  </si>
  <si>
    <t>Naiste EM toimub 8.–11. septembrini 2016 Slovakkias Bratislavas</t>
  </si>
  <si>
    <t>Juunioride EM toimub 28.–30. oktoobrini Monacos.</t>
  </si>
  <si>
    <t>Veteranide EM toimub 18.–20. oktoobrini Monacos.</t>
  </si>
  <si>
    <t>Singli EM toimub 4.–6. novembrini Prantsusmaal Nimes.</t>
  </si>
  <si>
    <t>I ring – (I etapp) – 14.05.2016 Tallinnas N, J</t>
  </si>
  <si>
    <t>I ring – (II etapp) – 11.06.2016 Tallinnas </t>
  </si>
  <si>
    <t>II ring - finaal – 12.06.2016 Tallinnas</t>
  </si>
  <si>
    <t>Thibaut Sergeï Mathon (Prantsusmaa)</t>
  </si>
  <si>
    <t>Jean-Michel Enard (Prantsusmaa)</t>
  </si>
  <si>
    <t>Rahvusvahelised ja katsevõistlused on sinisega ja kaldkirjas</t>
  </si>
  <si>
    <t>M1</t>
  </si>
  <si>
    <t>M2</t>
  </si>
  <si>
    <t>M3</t>
  </si>
  <si>
    <t>EST</t>
  </si>
  <si>
    <t>FIN</t>
  </si>
  <si>
    <t>V 55+</t>
  </si>
  <si>
    <t>P, 29.05.2016</t>
  </si>
  <si>
    <t>PK Valga, EMSL Jõud</t>
  </si>
  <si>
    <t>Trio (põhikl, naised)</t>
  </si>
  <si>
    <t>L, 14.05.2016</t>
  </si>
  <si>
    <t>Tallinn, Linnu tee / petangihall</t>
  </si>
  <si>
    <t>L, 11.06.2016</t>
  </si>
  <si>
    <t>P, 12.06.2016</t>
  </si>
  <si>
    <t>2-2</t>
  </si>
  <si>
    <t>1 - 3</t>
  </si>
  <si>
    <t>2 - 3</t>
  </si>
  <si>
    <t>0-2</t>
  </si>
  <si>
    <t>2-0</t>
  </si>
  <si>
    <t>3-1</t>
  </si>
  <si>
    <t>1 - 2</t>
  </si>
  <si>
    <t>Jüri</t>
  </si>
  <si>
    <t>K-Järve SHK</t>
  </si>
  <si>
    <t>Maive Sein, Marina Vallik, Merike Lusbo, Varje Reede</t>
  </si>
  <si>
    <t>0-1</t>
  </si>
  <si>
    <t>1-0</t>
  </si>
  <si>
    <t>2. etapp</t>
  </si>
  <si>
    <t>1. etapp</t>
  </si>
  <si>
    <t>2-6</t>
  </si>
  <si>
    <t>4-3</t>
  </si>
  <si>
    <t>5-2</t>
  </si>
  <si>
    <t>Finaali</t>
  </si>
  <si>
    <t>Finaalis mängitakse 3 võiduni.</t>
  </si>
  <si>
    <t>VETERANID</t>
  </si>
  <si>
    <t>Aarne Välja, Andres Veski, Jaan Sepp, Mait Metsla</t>
  </si>
  <si>
    <t>Milleks neljas mäng?</t>
  </si>
  <si>
    <t>Anna Liisa Kattai, Birika Kerb, Harry Lusbo, Oskar Sepp</t>
  </si>
  <si>
    <t>5. voor</t>
  </si>
  <si>
    <t>1 - 6</t>
  </si>
  <si>
    <t>1 - 5</t>
  </si>
  <si>
    <t>1 - 4</t>
  </si>
  <si>
    <t>2 - 5</t>
  </si>
  <si>
    <t>3 - 4</t>
  </si>
  <si>
    <t>2 - 4</t>
  </si>
  <si>
    <t>3 - 6</t>
  </si>
  <si>
    <t>5 - 6</t>
  </si>
  <si>
    <t>2 - 6</t>
  </si>
  <si>
    <t>4 - 5</t>
  </si>
  <si>
    <t>3 - 5</t>
  </si>
  <si>
    <t>4 - 6</t>
  </si>
  <si>
    <t>3-2</t>
  </si>
  <si>
    <t>4-0</t>
  </si>
  <si>
    <t xml:space="preserve">6-ne alagrupp (kõik mängivad kõigiga läbi) + finaal 2 parima vahel. </t>
  </si>
  <si>
    <t xml:space="preserve">Alagrupi mängud on ajalimiidiga 50 minutit + 1 snadi, viigilist tulemust ei saa jääda. </t>
  </si>
  <si>
    <t xml:space="preserve">Finaal mängitakse 2 võiduni, finaalmängud on ajapiiranguta. </t>
  </si>
  <si>
    <t>EM-ile</t>
  </si>
  <si>
    <r>
      <rPr>
        <b/>
        <sz val="10"/>
        <rFont val="Calibri"/>
        <family val="2"/>
        <charset val="186"/>
        <scheme val="minor"/>
      </rPr>
      <t>***</t>
    </r>
    <r>
      <rPr>
        <sz val="10"/>
        <rFont val="Arial"/>
        <family val="2"/>
        <charset val="186"/>
      </rPr>
      <t xml:space="preserve"> - trio, </t>
    </r>
    <r>
      <rPr>
        <b/>
        <sz val="10"/>
        <rFont val="Calibri"/>
        <family val="2"/>
        <charset val="186"/>
        <scheme val="minor"/>
      </rPr>
      <t>S**</t>
    </r>
    <r>
      <rPr>
        <sz val="10"/>
        <rFont val="Arial"/>
        <family val="2"/>
        <charset val="186"/>
      </rPr>
      <t xml:space="preserve"> - segaduo, </t>
    </r>
    <r>
      <rPr>
        <b/>
        <sz val="10"/>
        <rFont val="Calibri"/>
        <family val="2"/>
        <charset val="186"/>
        <scheme val="minor"/>
      </rPr>
      <t>*</t>
    </r>
    <r>
      <rPr>
        <sz val="10"/>
        <rFont val="Arial"/>
        <family val="2"/>
        <charset val="186"/>
      </rPr>
      <t xml:space="preserve"> - üksik, </t>
    </r>
    <r>
      <rPr>
        <b/>
        <sz val="10"/>
        <rFont val="Calibri"/>
        <family val="2"/>
        <charset val="186"/>
        <scheme val="minor"/>
      </rPr>
      <t>TUL</t>
    </r>
    <r>
      <rPr>
        <sz val="10"/>
        <rFont val="Arial"/>
        <family val="2"/>
        <charset val="186"/>
      </rPr>
      <t xml:space="preserve"> - tulistamine</t>
    </r>
  </si>
  <si>
    <t>Trio (M,N,55+,J)</t>
  </si>
  <si>
    <t xml:space="preserve">Katri Aavekukk, Külli Kariste, Marju Velga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</si>
</sst>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_ ;\-0.0\ "/>
    <numFmt numFmtId="166" formatCode="#,##0\ [$€-1]"/>
    <numFmt numFmtId="167" formatCode="ddd&quot;, &quot;dd/mm"/>
  </numFmts>
  <fonts count="64" x14ac:knownFonts="1">
    <font>
      <sz val="10"/>
      <color theme="1"/>
      <name val="Arial"/>
      <family val="2"/>
      <charset val="186"/>
    </font>
    <font>
      <b/>
      <sz val="10"/>
      <name val="Arial"/>
      <family val="2"/>
      <charset val="186"/>
    </font>
    <font>
      <sz val="10"/>
      <name val="Arial"/>
      <family val="2"/>
      <charset val="186"/>
    </font>
    <font>
      <i/>
      <sz val="10"/>
      <name val="Arial"/>
      <family val="2"/>
      <charset val="186"/>
    </font>
    <font>
      <strike/>
      <sz val="10"/>
      <name val="Arial"/>
      <family val="2"/>
      <charset val="186"/>
    </font>
    <font>
      <b/>
      <sz val="8"/>
      <color indexed="81"/>
      <name val="Tahoma"/>
      <family val="2"/>
      <charset val="186"/>
    </font>
    <font>
      <sz val="10"/>
      <name val="Arial"/>
      <family val="2"/>
      <charset val="204"/>
    </font>
    <font>
      <b/>
      <sz val="9"/>
      <name val="Arial"/>
      <family val="2"/>
      <charset val="186"/>
    </font>
    <font>
      <sz val="11"/>
      <color indexed="8"/>
      <name val="Calibri"/>
      <family val="2"/>
      <charset val="186"/>
    </font>
    <font>
      <sz val="8"/>
      <color indexed="8"/>
      <name val="Arial Narrow"/>
      <family val="2"/>
    </font>
    <font>
      <sz val="10"/>
      <color indexed="55"/>
      <name val="Arial"/>
      <family val="2"/>
      <charset val="186"/>
    </font>
    <font>
      <sz val="10"/>
      <color indexed="8"/>
      <name val="Arial"/>
      <family val="2"/>
      <charset val="186"/>
    </font>
    <font>
      <sz val="10"/>
      <color indexed="8"/>
      <name val="Times New Roman"/>
      <family val="1"/>
      <charset val="186"/>
    </font>
    <font>
      <sz val="10"/>
      <color indexed="10"/>
      <name val="Arial"/>
      <family val="2"/>
      <charset val="186"/>
    </font>
    <font>
      <sz val="10"/>
      <color indexed="11"/>
      <name val="Arial"/>
      <family val="2"/>
      <charset val="186"/>
    </font>
    <font>
      <b/>
      <sz val="10"/>
      <color indexed="8"/>
      <name val="Arial"/>
      <family val="2"/>
      <charset val="186"/>
    </font>
    <font>
      <sz val="10"/>
      <color theme="1"/>
      <name val="Arial"/>
      <family val="2"/>
      <charset val="186"/>
    </font>
    <font>
      <u/>
      <sz val="10"/>
      <color theme="10"/>
      <name val="Arial"/>
      <family val="2"/>
      <charset val="186"/>
    </font>
    <font>
      <u/>
      <sz val="11"/>
      <color theme="10"/>
      <name val="Calibri"/>
      <family val="2"/>
      <charset val="186"/>
      <scheme val="minor"/>
    </font>
    <font>
      <u/>
      <sz val="10"/>
      <color theme="10"/>
      <name val="Times New Roman"/>
      <family val="1"/>
      <charset val="186"/>
    </font>
    <font>
      <sz val="11"/>
      <color theme="1"/>
      <name val="Calibri"/>
      <family val="2"/>
      <charset val="186"/>
      <scheme val="minor"/>
    </font>
    <font>
      <sz val="10"/>
      <color rgb="FF000000"/>
      <name val="Arial"/>
      <family val="2"/>
      <charset val="186"/>
    </font>
    <font>
      <sz val="10"/>
      <color rgb="FF000000"/>
      <name val="Times New Roman"/>
      <family val="1"/>
      <charset val="186"/>
    </font>
    <font>
      <sz val="11"/>
      <color theme="1"/>
      <name val="Calibri"/>
      <family val="2"/>
      <scheme val="minor"/>
    </font>
    <font>
      <sz val="11"/>
      <color rgb="FF000000"/>
      <name val="Calibri"/>
      <family val="2"/>
      <scheme val="minor"/>
    </font>
    <font>
      <b/>
      <sz val="10"/>
      <color theme="1"/>
      <name val="Arial"/>
      <family val="2"/>
      <charset val="186"/>
    </font>
    <font>
      <sz val="10"/>
      <color rgb="FFFF0000"/>
      <name val="Arial"/>
      <family val="2"/>
      <charset val="186"/>
    </font>
    <font>
      <sz val="10"/>
      <color theme="0" tint="-0.34998626667073579"/>
      <name val="Arial"/>
      <family val="2"/>
      <charset val="186"/>
    </font>
    <font>
      <b/>
      <sz val="10"/>
      <name val="Calibri"/>
      <family val="2"/>
      <charset val="186"/>
      <scheme val="minor"/>
    </font>
    <font>
      <sz val="10"/>
      <color rgb="FFCC0000"/>
      <name val="Arial"/>
      <family val="2"/>
      <charset val="186"/>
    </font>
    <font>
      <sz val="10"/>
      <color rgb="FF0070C0"/>
      <name val="Arial"/>
      <family val="2"/>
      <charset val="186"/>
    </font>
    <font>
      <b/>
      <sz val="10"/>
      <color rgb="FFCC0000"/>
      <name val="Arial"/>
      <family val="2"/>
      <charset val="186"/>
    </font>
    <font>
      <u/>
      <sz val="10"/>
      <color theme="1"/>
      <name val="Arial"/>
      <family val="2"/>
      <charset val="186"/>
    </font>
    <font>
      <i/>
      <sz val="10"/>
      <color theme="1"/>
      <name val="Arial"/>
      <family val="2"/>
      <charset val="186"/>
    </font>
    <font>
      <b/>
      <sz val="10"/>
      <color rgb="FF00B0F0"/>
      <name val="Arial"/>
      <family val="2"/>
      <charset val="186"/>
    </font>
    <font>
      <sz val="10"/>
      <color rgb="FF00B0F0"/>
      <name val="Arial"/>
      <family val="2"/>
      <charset val="186"/>
    </font>
    <font>
      <sz val="10"/>
      <color theme="0" tint="-0.14999847407452621"/>
      <name val="Arial"/>
      <family val="2"/>
      <charset val="186"/>
    </font>
    <font>
      <b/>
      <u/>
      <sz val="10"/>
      <color theme="1"/>
      <name val="Arial"/>
      <family val="2"/>
      <charset val="186"/>
    </font>
    <font>
      <b/>
      <sz val="9"/>
      <color theme="1"/>
      <name val="Arial"/>
      <family val="2"/>
      <charset val="186"/>
    </font>
    <font>
      <sz val="9"/>
      <color theme="0" tint="-0.34998626667073579"/>
      <name val="Arial"/>
      <family val="2"/>
      <charset val="186"/>
    </font>
    <font>
      <sz val="9"/>
      <color rgb="FF0070C0"/>
      <name val="Arial"/>
      <family val="2"/>
      <charset val="186"/>
    </font>
    <font>
      <sz val="10"/>
      <color rgb="FF0000FF"/>
      <name val="Arial"/>
      <family val="2"/>
      <charset val="186"/>
    </font>
    <font>
      <u/>
      <sz val="10"/>
      <color rgb="FF0000FF"/>
      <name val="Arial"/>
      <family val="2"/>
      <charset val="186"/>
    </font>
    <font>
      <sz val="9"/>
      <color theme="1"/>
      <name val="Arial"/>
      <family val="2"/>
      <charset val="186"/>
    </font>
    <font>
      <b/>
      <sz val="10"/>
      <color rgb="FFCC0000"/>
      <name val="Calibri"/>
      <family val="2"/>
      <charset val="186"/>
      <scheme val="minor"/>
    </font>
    <font>
      <sz val="10"/>
      <color rgb="FF00B050"/>
      <name val="Arial"/>
      <family val="2"/>
      <charset val="186"/>
    </font>
    <font>
      <sz val="9"/>
      <color rgb="FFCC0000"/>
      <name val="Arial"/>
      <family val="2"/>
      <charset val="186"/>
    </font>
    <font>
      <b/>
      <sz val="9"/>
      <color theme="0" tint="-0.34998626667073579"/>
      <name val="Arial"/>
      <family val="2"/>
      <charset val="186"/>
    </font>
    <font>
      <b/>
      <sz val="9"/>
      <color rgb="FFCC0000"/>
      <name val="Arial"/>
      <family val="2"/>
      <charset val="186"/>
    </font>
    <font>
      <strike/>
      <sz val="10"/>
      <color rgb="FF00B0F0"/>
      <name val="Arial"/>
      <family val="2"/>
      <charset val="186"/>
    </font>
    <font>
      <b/>
      <sz val="10"/>
      <color rgb="FF33CC33"/>
      <name val="Arial"/>
      <family val="2"/>
      <charset val="186"/>
    </font>
    <font>
      <b/>
      <sz val="10"/>
      <color rgb="FF33CC33"/>
      <name val="Calibri"/>
      <family val="2"/>
      <charset val="186"/>
      <scheme val="minor"/>
    </font>
    <font>
      <b/>
      <sz val="9"/>
      <color rgb="FF33CC33"/>
      <name val="Arial"/>
      <family val="2"/>
      <charset val="186"/>
    </font>
    <font>
      <sz val="10"/>
      <color rgb="FF33CC33"/>
      <name val="Arial"/>
      <family val="2"/>
      <charset val="186"/>
    </font>
    <font>
      <sz val="9"/>
      <color rgb="FF33CC33"/>
      <name val="Arial"/>
      <family val="2"/>
      <charset val="186"/>
    </font>
    <font>
      <b/>
      <sz val="10"/>
      <color rgb="FFFF0000"/>
      <name val="Arial"/>
      <family val="2"/>
      <charset val="186"/>
    </font>
    <font>
      <b/>
      <sz val="10"/>
      <color rgb="FF0070C0"/>
      <name val="Arial"/>
      <family val="2"/>
      <charset val="186"/>
    </font>
    <font>
      <i/>
      <sz val="10"/>
      <color theme="8" tint="0.39997558519241921"/>
      <name val="Arial"/>
      <family val="2"/>
      <charset val="186"/>
    </font>
    <font>
      <i/>
      <u/>
      <sz val="10"/>
      <color theme="8" tint="0.39997558519241921"/>
      <name val="Arial"/>
      <family val="2"/>
      <charset val="186"/>
    </font>
    <font>
      <b/>
      <u/>
      <sz val="10"/>
      <color theme="10"/>
      <name val="Arial"/>
      <family val="2"/>
      <charset val="186"/>
    </font>
    <font>
      <b/>
      <u/>
      <sz val="10"/>
      <color rgb="FF0000FF"/>
      <name val="Arial"/>
      <family val="2"/>
      <charset val="186"/>
    </font>
    <font>
      <sz val="8"/>
      <color rgb="FF3E2D00"/>
      <name val="Verdana"/>
      <family val="2"/>
      <charset val="186"/>
    </font>
    <font>
      <b/>
      <sz val="10"/>
      <color rgb="FF00B050"/>
      <name val="Arial"/>
      <family val="2"/>
      <charset val="186"/>
    </font>
    <font>
      <sz val="10"/>
      <name val="Arial"/>
      <family val="2"/>
    </font>
  </fonts>
  <fills count="31">
    <fill>
      <patternFill patternType="none"/>
    </fill>
    <fill>
      <patternFill patternType="gray125"/>
    </fill>
    <fill>
      <patternFill patternType="solid">
        <fgColor indexed="65"/>
        <bgColor indexed="64"/>
      </patternFill>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00"/>
        <bgColor indexed="64"/>
      </patternFill>
    </fill>
    <fill>
      <patternFill patternType="solid">
        <fgColor rgb="FFFFFF00"/>
        <bgColor indexed="8"/>
      </patternFill>
    </fill>
    <fill>
      <patternFill patternType="solid">
        <fgColor rgb="FFCCFFCC"/>
        <bgColor indexed="64"/>
      </patternFill>
    </fill>
    <fill>
      <patternFill patternType="solid">
        <fgColor theme="0" tint="-0.499984740745262"/>
        <bgColor indexed="64"/>
      </patternFill>
    </fill>
    <fill>
      <patternFill patternType="solid">
        <fgColor rgb="FFCCECFF"/>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CCFF"/>
        <bgColor indexed="64"/>
      </patternFill>
    </fill>
    <fill>
      <patternFill patternType="solid">
        <fgColor theme="0"/>
        <bgColor indexed="64"/>
      </patternFill>
    </fill>
    <fill>
      <patternFill patternType="solid">
        <fgColor theme="6" tint="0.59999389629810485"/>
        <bgColor indexed="64"/>
      </patternFill>
    </fill>
    <fill>
      <patternFill patternType="solid">
        <fgColor rgb="FFFFCCCC"/>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66FF66"/>
        <bgColor indexed="64"/>
      </patternFill>
    </fill>
    <fill>
      <patternFill patternType="solid">
        <fgColor theme="0" tint="-0.34998626667073579"/>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rgb="FF000000"/>
      </left>
      <right style="thin">
        <color indexed="64"/>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xf numFmtId="0" fontId="21" fillId="0" borderId="0"/>
    <xf numFmtId="0" fontId="6" fillId="0" borderId="0"/>
    <xf numFmtId="0" fontId="6" fillId="0" borderId="0"/>
    <xf numFmtId="0" fontId="22" fillId="0" borderId="0"/>
    <xf numFmtId="0" fontId="6" fillId="0" borderId="0"/>
    <xf numFmtId="0" fontId="12" fillId="0" borderId="0"/>
    <xf numFmtId="0" fontId="23" fillId="0" borderId="0"/>
    <xf numFmtId="0" fontId="2" fillId="0" borderId="0"/>
    <xf numFmtId="0" fontId="22" fillId="0" borderId="0"/>
    <xf numFmtId="0" fontId="20" fillId="0" borderId="0"/>
    <xf numFmtId="0" fontId="24" fillId="0" borderId="0"/>
    <xf numFmtId="0" fontId="8" fillId="0" borderId="0"/>
    <xf numFmtId="0" fontId="2" fillId="0" borderId="0"/>
    <xf numFmtId="0" fontId="20" fillId="0" borderId="0"/>
    <xf numFmtId="0" fontId="16" fillId="0" borderId="0"/>
    <xf numFmtId="49" fontId="9" fillId="3" borderId="0" applyBorder="0" applyProtection="0">
      <alignment horizontal="left" vertical="top" wrapText="1"/>
    </xf>
  </cellStyleXfs>
  <cellXfs count="1112">
    <xf numFmtId="0" fontId="0" fillId="0" borderId="0" xfId="0"/>
    <xf numFmtId="0" fontId="1" fillId="0" borderId="0" xfId="13" applyFont="1" applyFill="1" applyBorder="1" applyAlignment="1"/>
    <xf numFmtId="0" fontId="2" fillId="0" borderId="0" xfId="13" applyFont="1" applyFill="1" applyBorder="1" applyAlignment="1"/>
    <xf numFmtId="0" fontId="2" fillId="0" borderId="0" xfId="13" applyFont="1" applyBorder="1" applyAlignment="1">
      <alignment horizontal="center"/>
    </xf>
    <xf numFmtId="0" fontId="2" fillId="0" borderId="0" xfId="13" applyFont="1" applyBorder="1" applyAlignment="1"/>
    <xf numFmtId="0" fontId="2" fillId="0" borderId="0" xfId="17" applyFont="1" applyFill="1" applyBorder="1" applyAlignment="1"/>
    <xf numFmtId="0" fontId="2" fillId="0" borderId="0" xfId="7" applyFont="1" applyFill="1" applyBorder="1" applyAlignment="1"/>
    <xf numFmtId="0" fontId="1" fillId="4" borderId="0" xfId="7" applyFont="1" applyFill="1" applyBorder="1" applyAlignment="1"/>
    <xf numFmtId="0" fontId="3" fillId="0" borderId="0" xfId="13" applyFont="1" applyFill="1" applyBorder="1" applyAlignment="1"/>
    <xf numFmtId="0" fontId="1" fillId="0" borderId="0" xfId="13" applyFont="1" applyFill="1" applyBorder="1" applyAlignment="1">
      <alignment horizontal="center"/>
    </xf>
    <xf numFmtId="0" fontId="2" fillId="0" borderId="0" xfId="13" applyFont="1" applyFill="1" applyBorder="1" applyAlignment="1">
      <alignment horizontal="center"/>
    </xf>
    <xf numFmtId="0" fontId="2" fillId="5" borderId="0" xfId="7" applyFont="1" applyFill="1" applyBorder="1" applyAlignment="1"/>
    <xf numFmtId="0" fontId="2" fillId="6" borderId="0" xfId="7" applyFont="1" applyFill="1" applyBorder="1" applyAlignment="1"/>
    <xf numFmtId="0" fontId="2" fillId="0" borderId="1" xfId="13" applyFont="1" applyFill="1" applyBorder="1" applyAlignment="1"/>
    <xf numFmtId="0" fontId="1" fillId="0" borderId="1" xfId="13" applyFont="1" applyFill="1" applyBorder="1" applyAlignment="1">
      <alignment horizontal="center"/>
    </xf>
    <xf numFmtId="0" fontId="2" fillId="0" borderId="1" xfId="13" applyFont="1" applyFill="1" applyBorder="1" applyAlignment="1">
      <alignment horizontal="center"/>
    </xf>
    <xf numFmtId="0" fontId="2" fillId="0" borderId="2" xfId="7" applyFont="1" applyFill="1" applyBorder="1" applyAlignment="1"/>
    <xf numFmtId="0" fontId="2" fillId="0" borderId="3" xfId="7" applyFont="1" applyFill="1" applyBorder="1" applyAlignment="1"/>
    <xf numFmtId="0" fontId="2" fillId="0" borderId="4" xfId="7" applyFont="1" applyFill="1" applyBorder="1" applyAlignment="1"/>
    <xf numFmtId="0" fontId="2" fillId="7" borderId="5" xfId="13" applyFont="1" applyFill="1" applyBorder="1" applyAlignment="1"/>
    <xf numFmtId="0" fontId="2" fillId="0" borderId="6" xfId="7" applyFont="1" applyFill="1" applyBorder="1" applyAlignment="1"/>
    <xf numFmtId="0" fontId="2" fillId="7" borderId="6" xfId="13" applyFont="1" applyFill="1" applyBorder="1" applyAlignment="1"/>
    <xf numFmtId="0" fontId="27" fillId="0" borderId="1" xfId="13" applyFont="1" applyFill="1" applyBorder="1" applyAlignment="1"/>
    <xf numFmtId="0" fontId="2" fillId="0" borderId="6" xfId="13" applyFont="1" applyFill="1" applyBorder="1" applyAlignment="1"/>
    <xf numFmtId="0" fontId="2" fillId="0" borderId="5" xfId="7" applyFont="1" applyFill="1" applyBorder="1" applyAlignment="1"/>
    <xf numFmtId="0" fontId="28" fillId="0" borderId="1" xfId="13" applyFont="1" applyFill="1" applyBorder="1" applyAlignment="1">
      <alignment horizontal="center"/>
    </xf>
    <xf numFmtId="0" fontId="28" fillId="7" borderId="1" xfId="13" applyFont="1" applyFill="1" applyBorder="1" applyAlignment="1">
      <alignment horizontal="center"/>
    </xf>
    <xf numFmtId="0" fontId="0" fillId="0" borderId="1" xfId="0" applyBorder="1"/>
    <xf numFmtId="0" fontId="2" fillId="0" borderId="7" xfId="7" applyFont="1" applyFill="1" applyBorder="1" applyAlignment="1"/>
    <xf numFmtId="0" fontId="2" fillId="0" borderId="7" xfId="13" applyFont="1" applyFill="1" applyBorder="1" applyAlignment="1"/>
    <xf numFmtId="0" fontId="2" fillId="7" borderId="7" xfId="13" applyFont="1" applyFill="1" applyBorder="1" applyAlignment="1"/>
    <xf numFmtId="164" fontId="2" fillId="0" borderId="38" xfId="7" applyNumberFormat="1" applyFont="1" applyFill="1" applyBorder="1" applyAlignment="1">
      <alignment horizontal="center"/>
    </xf>
    <xf numFmtId="0" fontId="2" fillId="0" borderId="1" xfId="13" applyNumberFormat="1" applyFont="1" applyFill="1" applyBorder="1" applyAlignment="1">
      <alignment horizontal="center"/>
    </xf>
    <xf numFmtId="164" fontId="2" fillId="0" borderId="39" xfId="7" applyNumberFormat="1" applyFont="1" applyFill="1" applyBorder="1" applyAlignment="1">
      <alignment horizontal="center"/>
    </xf>
    <xf numFmtId="164" fontId="29" fillId="0" borderId="40" xfId="13" applyNumberFormat="1" applyFont="1" applyFill="1" applyBorder="1" applyAlignment="1">
      <alignment horizontal="center"/>
    </xf>
    <xf numFmtId="0" fontId="1" fillId="5" borderId="8" xfId="13" applyFont="1" applyFill="1" applyBorder="1" applyAlignment="1">
      <alignment horizontal="center"/>
    </xf>
    <xf numFmtId="0" fontId="2" fillId="5" borderId="8" xfId="7" applyFont="1" applyFill="1" applyBorder="1" applyAlignment="1">
      <alignment horizontal="right"/>
    </xf>
    <xf numFmtId="0" fontId="2" fillId="5" borderId="8" xfId="13" applyFont="1" applyFill="1" applyBorder="1" applyAlignment="1"/>
    <xf numFmtId="0" fontId="30" fillId="5" borderId="8" xfId="13" applyFont="1" applyFill="1" applyBorder="1" applyAlignment="1">
      <alignment horizontal="center"/>
    </xf>
    <xf numFmtId="164" fontId="1" fillId="5" borderId="8" xfId="13" applyNumberFormat="1" applyFont="1" applyFill="1" applyBorder="1" applyAlignment="1">
      <alignment horizontal="center"/>
    </xf>
    <xf numFmtId="164" fontId="31" fillId="5" borderId="8" xfId="13" applyNumberFormat="1" applyFont="1" applyFill="1" applyBorder="1" applyAlignment="1">
      <alignment horizontal="center"/>
    </xf>
    <xf numFmtId="0" fontId="2" fillId="5" borderId="0" xfId="13" applyFont="1" applyFill="1" applyBorder="1" applyAlignment="1"/>
    <xf numFmtId="0" fontId="2" fillId="5" borderId="0" xfId="7" applyFont="1" applyFill="1" applyBorder="1" applyAlignment="1">
      <alignment horizontal="right"/>
    </xf>
    <xf numFmtId="0" fontId="2" fillId="5" borderId="0" xfId="7" applyFont="1" applyFill="1" applyBorder="1" applyAlignment="1">
      <alignment horizontal="center"/>
    </xf>
    <xf numFmtId="0" fontId="17" fillId="0" borderId="0" xfId="0" applyFont="1"/>
    <xf numFmtId="0" fontId="17" fillId="0" borderId="1" xfId="1" applyBorder="1" applyAlignment="1"/>
    <xf numFmtId="0" fontId="32" fillId="0" borderId="1" xfId="1" applyFont="1" applyFill="1" applyBorder="1" applyAlignment="1"/>
    <xf numFmtId="0" fontId="32" fillId="7" borderId="1" xfId="1" applyFont="1" applyFill="1" applyBorder="1" applyAlignment="1"/>
    <xf numFmtId="0" fontId="17" fillId="7" borderId="1" xfId="1" applyFill="1" applyBorder="1" applyAlignment="1"/>
    <xf numFmtId="0" fontId="28" fillId="8" borderId="1" xfId="13" applyFont="1" applyFill="1" applyBorder="1" applyAlignment="1">
      <alignment horizontal="center"/>
    </xf>
    <xf numFmtId="0" fontId="32" fillId="0" borderId="1" xfId="1" applyFont="1" applyBorder="1" applyAlignment="1"/>
    <xf numFmtId="0" fontId="16" fillId="7" borderId="1" xfId="13" applyFont="1" applyFill="1" applyBorder="1" applyAlignment="1"/>
    <xf numFmtId="0" fontId="25" fillId="0" borderId="0" xfId="0" applyFont="1"/>
    <xf numFmtId="0" fontId="25" fillId="0" borderId="0" xfId="0" applyFont="1" applyAlignment="1">
      <alignment wrapText="1"/>
    </xf>
    <xf numFmtId="0" fontId="25" fillId="0" borderId="1" xfId="0" applyFont="1" applyFill="1" applyBorder="1" applyAlignment="1"/>
    <xf numFmtId="0" fontId="33" fillId="0" borderId="1" xfId="13" applyFont="1" applyFill="1" applyBorder="1" applyAlignment="1"/>
    <xf numFmtId="0" fontId="34" fillId="0" borderId="1" xfId="13" applyFont="1" applyFill="1" applyBorder="1" applyAlignment="1">
      <alignment horizontal="center"/>
    </xf>
    <xf numFmtId="0" fontId="31" fillId="0" borderId="1" xfId="13" applyFont="1" applyFill="1" applyBorder="1" applyAlignment="1">
      <alignment horizontal="center"/>
    </xf>
    <xf numFmtId="0" fontId="34" fillId="0" borderId="1" xfId="13" applyFont="1" applyFill="1" applyBorder="1" applyAlignment="1"/>
    <xf numFmtId="0" fontId="35" fillId="0" borderId="1" xfId="13" applyFont="1" applyFill="1" applyBorder="1" applyAlignment="1">
      <alignment horizontal="center"/>
    </xf>
    <xf numFmtId="0" fontId="35" fillId="0" borderId="1" xfId="13" applyNumberFormat="1" applyFont="1" applyFill="1" applyBorder="1" applyAlignment="1">
      <alignment horizontal="center"/>
    </xf>
    <xf numFmtId="0" fontId="29" fillId="0" borderId="1" xfId="13" applyNumberFormat="1" applyFont="1" applyFill="1" applyBorder="1" applyAlignment="1">
      <alignment horizontal="center"/>
    </xf>
    <xf numFmtId="0" fontId="2" fillId="5" borderId="1" xfId="13" applyFont="1" applyFill="1" applyBorder="1" applyAlignment="1">
      <alignment horizontal="center"/>
    </xf>
    <xf numFmtId="0" fontId="29" fillId="0" borderId="1" xfId="0" applyFont="1" applyBorder="1"/>
    <xf numFmtId="164" fontId="36" fillId="0" borderId="1" xfId="13" applyNumberFormat="1" applyFont="1" applyFill="1" applyBorder="1" applyAlignment="1"/>
    <xf numFmtId="0" fontId="29" fillId="0" borderId="1" xfId="13" applyFont="1" applyFill="1" applyBorder="1" applyAlignment="1"/>
    <xf numFmtId="0" fontId="29" fillId="9" borderId="1" xfId="13" applyFont="1" applyFill="1" applyBorder="1" applyAlignment="1"/>
    <xf numFmtId="0" fontId="25" fillId="0" borderId="1" xfId="13" applyFont="1" applyFill="1" applyBorder="1" applyAlignment="1"/>
    <xf numFmtId="0" fontId="31" fillId="0" borderId="1" xfId="13" applyFont="1" applyFill="1" applyBorder="1" applyAlignment="1"/>
    <xf numFmtId="0" fontId="29" fillId="0" borderId="1" xfId="0" applyFont="1" applyFill="1" applyBorder="1" applyAlignment="1"/>
    <xf numFmtId="0" fontId="29" fillId="0" borderId="1" xfId="0" applyFont="1" applyBorder="1" applyAlignment="1"/>
    <xf numFmtId="0" fontId="25" fillId="9" borderId="1" xfId="13" applyFont="1" applyFill="1" applyBorder="1" applyAlignment="1"/>
    <xf numFmtId="1" fontId="16" fillId="5" borderId="0" xfId="7" applyNumberFormat="1" applyFont="1" applyFill="1" applyBorder="1" applyAlignment="1">
      <alignment horizontal="center"/>
    </xf>
    <xf numFmtId="0" fontId="36" fillId="0" borderId="1" xfId="13" applyFont="1" applyFill="1" applyBorder="1" applyAlignment="1"/>
    <xf numFmtId="0" fontId="16" fillId="5" borderId="1" xfId="13" applyFont="1" applyFill="1" applyBorder="1" applyAlignment="1"/>
    <xf numFmtId="164" fontId="16" fillId="5" borderId="8" xfId="7" applyNumberFormat="1" applyFont="1" applyFill="1" applyBorder="1" applyAlignment="1">
      <alignment horizontal="center"/>
    </xf>
    <xf numFmtId="0" fontId="25" fillId="0" borderId="1" xfId="16" applyFont="1" applyBorder="1" applyAlignment="1"/>
    <xf numFmtId="0" fontId="25" fillId="0" borderId="1" xfId="16" applyFont="1" applyBorder="1" applyAlignment="1">
      <alignment horizontal="center"/>
    </xf>
    <xf numFmtId="0" fontId="25" fillId="0" borderId="1" xfId="16" applyFont="1" applyFill="1" applyBorder="1" applyAlignment="1">
      <alignment horizontal="center"/>
    </xf>
    <xf numFmtId="0" fontId="16" fillId="0" borderId="1" xfId="16" applyFont="1" applyFill="1" applyBorder="1" applyAlignment="1">
      <alignment horizontal="center"/>
    </xf>
    <xf numFmtId="0" fontId="25" fillId="0" borderId="0" xfId="16" applyFont="1" applyBorder="1" applyAlignment="1"/>
    <xf numFmtId="0" fontId="16" fillId="0" borderId="0" xfId="16" applyFont="1" applyBorder="1" applyAlignment="1"/>
    <xf numFmtId="0" fontId="16" fillId="0" borderId="0" xfId="16" applyFont="1" applyBorder="1" applyAlignment="1">
      <alignment horizontal="center"/>
    </xf>
    <xf numFmtId="0" fontId="16" fillId="0" borderId="0" xfId="16" applyFont="1" applyFill="1" applyBorder="1" applyAlignment="1">
      <alignment horizontal="center"/>
    </xf>
    <xf numFmtId="49" fontId="16" fillId="0" borderId="0" xfId="16" applyNumberFormat="1" applyFont="1" applyBorder="1" applyAlignment="1">
      <alignment horizontal="center"/>
    </xf>
    <xf numFmtId="0" fontId="37" fillId="0" borderId="0" xfId="8" applyFont="1" applyAlignment="1"/>
    <xf numFmtId="0" fontId="25" fillId="0" borderId="0" xfId="8" applyFont="1" applyAlignment="1"/>
    <xf numFmtId="0" fontId="16" fillId="0" borderId="0" xfId="8" applyFont="1" applyBorder="1" applyAlignment="1"/>
    <xf numFmtId="0" fontId="25" fillId="0" borderId="9" xfId="8" applyFont="1" applyBorder="1" applyAlignment="1"/>
    <xf numFmtId="0" fontId="16" fillId="0" borderId="9" xfId="8" applyFont="1" applyBorder="1" applyAlignment="1"/>
    <xf numFmtId="0" fontId="25" fillId="0" borderId="0" xfId="8" applyFont="1" applyBorder="1" applyAlignment="1"/>
    <xf numFmtId="0" fontId="25" fillId="0" borderId="1" xfId="16" applyFont="1" applyBorder="1"/>
    <xf numFmtId="0" fontId="16" fillId="0" borderId="1" xfId="16" applyFont="1" applyBorder="1" applyAlignment="1"/>
    <xf numFmtId="0" fontId="16" fillId="10" borderId="1" xfId="16" applyFont="1" applyFill="1" applyBorder="1" applyAlignment="1">
      <alignment horizontal="center"/>
    </xf>
    <xf numFmtId="0" fontId="25" fillId="0" borderId="1" xfId="8" applyFont="1" applyBorder="1" applyAlignment="1"/>
    <xf numFmtId="0" fontId="25" fillId="4" borderId="1" xfId="8" applyFont="1" applyFill="1" applyBorder="1" applyAlignment="1"/>
    <xf numFmtId="0" fontId="16" fillId="0" borderId="1" xfId="8" applyFont="1" applyBorder="1" applyAlignment="1"/>
    <xf numFmtId="0" fontId="16" fillId="0" borderId="0" xfId="8" applyFont="1" applyFill="1" applyAlignment="1">
      <alignment horizontal="left"/>
    </xf>
    <xf numFmtId="0" fontId="16" fillId="0" borderId="8" xfId="8" applyFont="1" applyFill="1" applyBorder="1" applyAlignment="1"/>
    <xf numFmtId="0" fontId="16" fillId="0" borderId="10" xfId="8" applyFont="1" applyFill="1" applyBorder="1" applyAlignment="1"/>
    <xf numFmtId="0" fontId="16" fillId="0" borderId="11" xfId="8" applyFont="1" applyFill="1" applyBorder="1" applyAlignment="1">
      <alignment horizontal="left"/>
    </xf>
    <xf numFmtId="0" fontId="16" fillId="0" borderId="12" xfId="8" applyFont="1" applyFill="1" applyBorder="1" applyAlignment="1"/>
    <xf numFmtId="0" fontId="16" fillId="0" borderId="0" xfId="8" applyFont="1" applyFill="1" applyBorder="1" applyAlignment="1"/>
    <xf numFmtId="0" fontId="16" fillId="0" borderId="13" xfId="8" applyFont="1" applyFill="1" applyBorder="1" applyAlignment="1"/>
    <xf numFmtId="0" fontId="16" fillId="0" borderId="0" xfId="8" applyFont="1" applyFill="1" applyBorder="1" applyAlignment="1">
      <alignment horizontal="left"/>
    </xf>
    <xf numFmtId="0" fontId="16" fillId="0" borderId="11" xfId="8" applyFont="1" applyFill="1" applyBorder="1" applyAlignment="1"/>
    <xf numFmtId="0" fontId="16" fillId="0" borderId="2" xfId="8" applyFont="1" applyFill="1" applyBorder="1" applyAlignment="1">
      <alignment horizontal="left"/>
    </xf>
    <xf numFmtId="0" fontId="16" fillId="0" borderId="14" xfId="8" applyFont="1" applyFill="1" applyBorder="1" applyAlignment="1"/>
    <xf numFmtId="0" fontId="16" fillId="0" borderId="15" xfId="8" applyFont="1" applyFill="1" applyBorder="1" applyAlignment="1"/>
    <xf numFmtId="0" fontId="25" fillId="0" borderId="11" xfId="8" applyFont="1" applyFill="1" applyBorder="1" applyAlignment="1">
      <alignment horizontal="left"/>
    </xf>
    <xf numFmtId="0" fontId="25" fillId="0" borderId="0" xfId="8" applyFont="1" applyFill="1" applyBorder="1" applyAlignment="1">
      <alignment horizontal="left"/>
    </xf>
    <xf numFmtId="0" fontId="25" fillId="0" borderId="0" xfId="8" applyFont="1" applyFill="1" applyAlignment="1">
      <alignment horizontal="left"/>
    </xf>
    <xf numFmtId="0" fontId="25" fillId="0" borderId="0" xfId="16" applyFont="1" applyBorder="1"/>
    <xf numFmtId="0" fontId="25" fillId="0" borderId="0" xfId="8" applyFont="1" applyAlignment="1">
      <alignment horizontal="right"/>
    </xf>
    <xf numFmtId="0" fontId="16" fillId="0" borderId="0" xfId="8" applyFont="1" applyAlignment="1">
      <alignment horizontal="right"/>
    </xf>
    <xf numFmtId="49" fontId="16" fillId="0" borderId="1" xfId="16" applyNumberFormat="1" applyFont="1" applyBorder="1" applyAlignment="1">
      <alignment horizontal="center"/>
    </xf>
    <xf numFmtId="0" fontId="16" fillId="0" borderId="0" xfId="16" quotePrefix="1" applyFont="1"/>
    <xf numFmtId="0" fontId="16" fillId="0" borderId="1" xfId="16" applyFont="1" applyBorder="1" applyAlignment="1">
      <alignment horizontal="center"/>
    </xf>
    <xf numFmtId="0" fontId="25" fillId="0" borderId="0" xfId="16" applyFont="1"/>
    <xf numFmtId="0" fontId="37" fillId="0" borderId="0" xfId="11" applyFont="1" applyAlignment="1"/>
    <xf numFmtId="0" fontId="25" fillId="0" borderId="0" xfId="11" applyFont="1" applyAlignment="1"/>
    <xf numFmtId="0" fontId="16" fillId="0" borderId="0" xfId="11" applyFont="1" applyAlignment="1">
      <alignment horizontal="left"/>
    </xf>
    <xf numFmtId="0" fontId="16" fillId="0" borderId="8" xfId="11" applyFont="1" applyBorder="1" applyAlignment="1"/>
    <xf numFmtId="0" fontId="16" fillId="0" borderId="12" xfId="11" applyFont="1" applyBorder="1" applyAlignment="1"/>
    <xf numFmtId="0" fontId="16" fillId="0" borderId="0" xfId="11" applyFont="1" applyBorder="1" applyAlignment="1"/>
    <xf numFmtId="0" fontId="16" fillId="0" borderId="13" xfId="11" applyFont="1" applyBorder="1" applyAlignment="1"/>
    <xf numFmtId="0" fontId="16" fillId="0" borderId="0" xfId="11" applyFont="1" applyBorder="1" applyAlignment="1">
      <alignment horizontal="left"/>
    </xf>
    <xf numFmtId="0" fontId="16" fillId="0" borderId="16" xfId="11" applyFont="1" applyBorder="1" applyAlignment="1"/>
    <xf numFmtId="0" fontId="16" fillId="0" borderId="14" xfId="11" applyFont="1" applyBorder="1" applyAlignment="1"/>
    <xf numFmtId="0" fontId="25" fillId="0" borderId="9" xfId="11" applyFont="1" applyBorder="1" applyAlignment="1"/>
    <xf numFmtId="0" fontId="16" fillId="0" borderId="9" xfId="11" applyFont="1" applyBorder="1" applyAlignment="1"/>
    <xf numFmtId="0" fontId="16" fillId="0" borderId="11" xfId="11" applyFont="1" applyBorder="1" applyAlignment="1">
      <alignment horizontal="left"/>
    </xf>
    <xf numFmtId="0" fontId="16" fillId="0" borderId="2" xfId="11" applyFont="1" applyBorder="1" applyAlignment="1">
      <alignment horizontal="left"/>
    </xf>
    <xf numFmtId="0" fontId="25" fillId="0" borderId="0" xfId="11" applyFont="1" applyBorder="1" applyAlignment="1"/>
    <xf numFmtId="0" fontId="25" fillId="0" borderId="1" xfId="11" applyFont="1" applyBorder="1" applyAlignment="1"/>
    <xf numFmtId="0" fontId="25" fillId="4" borderId="1" xfId="11" applyFont="1" applyFill="1" applyBorder="1" applyAlignment="1"/>
    <xf numFmtId="0" fontId="16" fillId="5" borderId="1" xfId="11" applyFont="1" applyFill="1" applyBorder="1" applyAlignment="1"/>
    <xf numFmtId="0" fontId="16" fillId="0" borderId="1" xfId="11" applyFont="1" applyBorder="1" applyAlignment="1"/>
    <xf numFmtId="0" fontId="16" fillId="0" borderId="1" xfId="6" applyFont="1" applyBorder="1"/>
    <xf numFmtId="0" fontId="1" fillId="5" borderId="1" xfId="13" applyFont="1" applyFill="1" applyBorder="1" applyAlignment="1">
      <alignment horizontal="center"/>
    </xf>
    <xf numFmtId="0" fontId="32" fillId="8" borderId="1" xfId="1" applyFont="1" applyFill="1" applyBorder="1" applyAlignment="1"/>
    <xf numFmtId="0" fontId="4" fillId="0" borderId="1" xfId="13" applyFont="1" applyFill="1" applyBorder="1" applyAlignment="1">
      <alignment horizontal="center"/>
    </xf>
    <xf numFmtId="0" fontId="16" fillId="0" borderId="1" xfId="11" applyFont="1" applyFill="1" applyBorder="1" applyAlignment="1"/>
    <xf numFmtId="0" fontId="16" fillId="6" borderId="1" xfId="11" applyFont="1" applyFill="1" applyBorder="1" applyAlignment="1"/>
    <xf numFmtId="0" fontId="16" fillId="0" borderId="1" xfId="11" applyFont="1" applyFill="1" applyBorder="1"/>
    <xf numFmtId="0" fontId="16" fillId="0" borderId="1" xfId="11" applyFont="1" applyFill="1" applyBorder="1" applyAlignment="1">
      <alignment wrapText="1"/>
    </xf>
    <xf numFmtId="0" fontId="25" fillId="0" borderId="0" xfId="11" applyFont="1" applyAlignment="1">
      <alignment horizontal="left"/>
    </xf>
    <xf numFmtId="0" fontId="25" fillId="0" borderId="0" xfId="11" applyFont="1" applyBorder="1" applyAlignment="1">
      <alignment horizontal="left"/>
    </xf>
    <xf numFmtId="0" fontId="16" fillId="0" borderId="11" xfId="11" applyFont="1" applyBorder="1" applyAlignment="1"/>
    <xf numFmtId="0" fontId="25" fillId="0" borderId="2" xfId="11" applyFont="1" applyBorder="1" applyAlignment="1">
      <alignment horizontal="left"/>
    </xf>
    <xf numFmtId="0" fontId="25" fillId="0" borderId="11" xfId="11" applyFont="1" applyBorder="1" applyAlignment="1">
      <alignment horizontal="left"/>
    </xf>
    <xf numFmtId="0" fontId="16" fillId="0" borderId="10" xfId="11" applyFont="1" applyBorder="1" applyAlignment="1"/>
    <xf numFmtId="0" fontId="0" fillId="9" borderId="1" xfId="0" applyFont="1" applyFill="1" applyBorder="1" applyAlignment="1"/>
    <xf numFmtId="0" fontId="38" fillId="5" borderId="1" xfId="13" applyFont="1" applyFill="1" applyBorder="1" applyAlignment="1"/>
    <xf numFmtId="0" fontId="39" fillId="0" borderId="1" xfId="13"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32" fillId="0" borderId="0" xfId="0" applyFont="1"/>
    <xf numFmtId="0" fontId="2" fillId="0" borderId="3" xfId="13" applyFont="1" applyBorder="1" applyAlignment="1"/>
    <xf numFmtId="0" fontId="2" fillId="7" borderId="3" xfId="13" applyFont="1" applyFill="1" applyBorder="1" applyAlignment="1">
      <alignment horizontal="right"/>
    </xf>
    <xf numFmtId="0" fontId="2" fillId="0" borderId="3" xfId="13" applyFont="1" applyFill="1" applyBorder="1" applyAlignment="1"/>
    <xf numFmtId="0" fontId="2" fillId="0" borderId="3" xfId="13" applyFont="1" applyFill="1" applyBorder="1" applyAlignment="1">
      <alignment horizontal="right"/>
    </xf>
    <xf numFmtId="0" fontId="29" fillId="0" borderId="3" xfId="13" applyFont="1" applyBorder="1" applyAlignment="1">
      <alignment horizontal="right"/>
    </xf>
    <xf numFmtId="0" fontId="2" fillId="0" borderId="3" xfId="17" applyFont="1" applyFill="1" applyBorder="1" applyAlignment="1"/>
    <xf numFmtId="0" fontId="2" fillId="9" borderId="3" xfId="13" applyFont="1" applyFill="1" applyBorder="1" applyAlignment="1"/>
    <xf numFmtId="0" fontId="1" fillId="0" borderId="17" xfId="13" applyFont="1" applyBorder="1" applyAlignment="1"/>
    <xf numFmtId="0" fontId="16" fillId="9" borderId="1" xfId="13" applyFont="1" applyFill="1" applyBorder="1" applyAlignment="1"/>
    <xf numFmtId="0" fontId="31" fillId="0" borderId="0" xfId="0" applyFont="1"/>
    <xf numFmtId="0" fontId="34" fillId="0" borderId="0" xfId="0" applyFont="1"/>
    <xf numFmtId="0" fontId="25" fillId="9" borderId="0" xfId="0" applyFont="1" applyFill="1"/>
    <xf numFmtId="0" fontId="30" fillId="11" borderId="5" xfId="13" applyFont="1" applyFill="1" applyBorder="1" applyAlignment="1"/>
    <xf numFmtId="0" fontId="30" fillId="11" borderId="6" xfId="13" applyFont="1" applyFill="1" applyBorder="1" applyAlignment="1"/>
    <xf numFmtId="0" fontId="2" fillId="11" borderId="7" xfId="13" applyFont="1" applyFill="1" applyBorder="1" applyAlignment="1"/>
    <xf numFmtId="164" fontId="40" fillId="11" borderId="1" xfId="13" applyNumberFormat="1" applyFont="1" applyFill="1" applyBorder="1" applyAlignment="1">
      <alignment horizontal="center"/>
    </xf>
    <xf numFmtId="165" fontId="40" fillId="11" borderId="1" xfId="13" applyNumberFormat="1" applyFont="1" applyFill="1" applyBorder="1" applyAlignment="1">
      <alignment horizontal="center"/>
    </xf>
    <xf numFmtId="0" fontId="16" fillId="0" borderId="0" xfId="8" applyFont="1" applyAlignment="1"/>
    <xf numFmtId="0" fontId="16" fillId="0" borderId="0" xfId="16" applyFont="1" applyAlignment="1"/>
    <xf numFmtId="0" fontId="37" fillId="0" borderId="0" xfId="16" applyFont="1" applyBorder="1"/>
    <xf numFmtId="0" fontId="25" fillId="0" borderId="0" xfId="16" applyFont="1" applyFill="1" applyBorder="1" applyAlignment="1">
      <alignment horizontal="right"/>
    </xf>
    <xf numFmtId="0" fontId="25" fillId="0" borderId="0" xfId="16" applyFont="1" applyAlignment="1">
      <alignment horizontal="right"/>
    </xf>
    <xf numFmtId="0" fontId="16" fillId="0" borderId="8" xfId="16" applyFont="1" applyBorder="1"/>
    <xf numFmtId="0" fontId="16" fillId="0" borderId="11" xfId="16" applyFont="1" applyBorder="1" applyAlignment="1">
      <alignment horizontal="left"/>
    </xf>
    <xf numFmtId="0" fontId="16" fillId="0" borderId="12" xfId="16" applyFont="1" applyBorder="1"/>
    <xf numFmtId="0" fontId="16" fillId="0" borderId="13" xfId="16" applyFont="1" applyBorder="1"/>
    <xf numFmtId="0" fontId="16" fillId="0" borderId="0" xfId="16" applyFont="1" applyBorder="1" applyAlignment="1">
      <alignment horizontal="left"/>
    </xf>
    <xf numFmtId="0" fontId="16" fillId="0" borderId="2" xfId="16" applyFont="1" applyBorder="1"/>
    <xf numFmtId="0" fontId="16" fillId="0" borderId="16" xfId="16" applyFont="1" applyBorder="1"/>
    <xf numFmtId="0" fontId="16" fillId="0" borderId="2" xfId="16" applyFont="1" applyBorder="1" applyAlignment="1">
      <alignment horizontal="left"/>
    </xf>
    <xf numFmtId="0" fontId="16" fillId="0" borderId="14" xfId="16" applyFont="1" applyBorder="1"/>
    <xf numFmtId="0" fontId="25" fillId="0" borderId="9" xfId="16" applyFont="1" applyBorder="1"/>
    <xf numFmtId="0" fontId="16" fillId="0" borderId="9" xfId="16" applyFont="1" applyBorder="1"/>
    <xf numFmtId="0" fontId="37" fillId="0" borderId="0" xfId="16" applyFont="1"/>
    <xf numFmtId="0" fontId="16" fillId="0" borderId="0" xfId="16" applyFont="1" applyFill="1" applyBorder="1" applyAlignment="1">
      <alignment horizontal="left"/>
    </xf>
    <xf numFmtId="0" fontId="16" fillId="0" borderId="8" xfId="16" applyFont="1" applyBorder="1" applyAlignment="1">
      <alignment horizontal="left"/>
    </xf>
    <xf numFmtId="0" fontId="16" fillId="0" borderId="12" xfId="16" applyFont="1" applyBorder="1" applyAlignment="1">
      <alignment horizontal="left"/>
    </xf>
    <xf numFmtId="0" fontId="16" fillId="0" borderId="18" xfId="16" applyFont="1" applyBorder="1" applyAlignment="1">
      <alignment horizontal="left"/>
    </xf>
    <xf numFmtId="0" fontId="16" fillId="0" borderId="16" xfId="16" applyFont="1" applyBorder="1" applyAlignment="1">
      <alignment horizontal="left"/>
    </xf>
    <xf numFmtId="0" fontId="16" fillId="0" borderId="13" xfId="16" applyFont="1" applyBorder="1" applyAlignment="1">
      <alignment horizontal="left"/>
    </xf>
    <xf numFmtId="0" fontId="16" fillId="0" borderId="14" xfId="16" applyFont="1" applyBorder="1" applyAlignment="1">
      <alignment horizontal="left"/>
    </xf>
    <xf numFmtId="0" fontId="16" fillId="0" borderId="15" xfId="16" applyFont="1" applyBorder="1" applyAlignment="1">
      <alignment horizontal="left"/>
    </xf>
    <xf numFmtId="17" fontId="37" fillId="0" borderId="0" xfId="16" applyNumberFormat="1" applyFont="1"/>
    <xf numFmtId="17" fontId="25" fillId="0" borderId="0" xfId="16" applyNumberFormat="1" applyFont="1"/>
    <xf numFmtId="0" fontId="37" fillId="0" borderId="0" xfId="0" applyFont="1"/>
    <xf numFmtId="0" fontId="31" fillId="4" borderId="1" xfId="8" applyFont="1" applyFill="1" applyBorder="1" applyAlignment="1"/>
    <xf numFmtId="0" fontId="17" fillId="0" borderId="0" xfId="1"/>
    <xf numFmtId="0" fontId="7" fillId="5" borderId="1" xfId="13" applyFont="1" applyFill="1" applyBorder="1" applyAlignment="1"/>
    <xf numFmtId="0" fontId="39" fillId="0" borderId="1" xfId="13" applyFont="1" applyFill="1" applyBorder="1" applyAlignment="1"/>
    <xf numFmtId="0" fontId="31" fillId="4" borderId="1" xfId="13" applyFont="1" applyFill="1" applyBorder="1" applyAlignment="1">
      <alignment horizontal="center"/>
    </xf>
    <xf numFmtId="0" fontId="2" fillId="6" borderId="1" xfId="13" applyFont="1" applyFill="1" applyBorder="1" applyAlignment="1">
      <alignment horizontal="center"/>
    </xf>
    <xf numFmtId="0" fontId="16" fillId="0" borderId="0" xfId="8" applyFont="1" applyFill="1" applyAlignment="1"/>
    <xf numFmtId="0" fontId="16" fillId="0" borderId="15" xfId="8" applyFont="1" applyBorder="1" applyAlignment="1"/>
    <xf numFmtId="0" fontId="25" fillId="0" borderId="2" xfId="8" applyFont="1" applyFill="1" applyBorder="1" applyAlignment="1">
      <alignment horizontal="left"/>
    </xf>
    <xf numFmtId="0" fontId="25" fillId="0" borderId="11" xfId="16" applyFont="1" applyBorder="1" applyAlignment="1">
      <alignment horizontal="left"/>
    </xf>
    <xf numFmtId="0" fontId="25" fillId="0" borderId="0" xfId="16" applyFont="1" applyAlignment="1">
      <alignment horizontal="left"/>
    </xf>
    <xf numFmtId="0" fontId="25" fillId="0" borderId="0" xfId="16" applyFont="1" applyBorder="1" applyAlignment="1">
      <alignment horizontal="left"/>
    </xf>
    <xf numFmtId="0" fontId="25" fillId="0" borderId="8" xfId="16" applyFont="1" applyBorder="1" applyAlignment="1">
      <alignment horizontal="left"/>
    </xf>
    <xf numFmtId="0" fontId="25" fillId="0" borderId="2" xfId="16" applyFont="1" applyBorder="1" applyAlignment="1">
      <alignment horizontal="left"/>
    </xf>
    <xf numFmtId="0" fontId="16" fillId="0" borderId="0" xfId="16" applyFont="1" applyAlignment="1">
      <alignment horizontal="left"/>
    </xf>
    <xf numFmtId="0" fontId="16" fillId="0" borderId="10" xfId="16" applyFont="1" applyBorder="1"/>
    <xf numFmtId="0" fontId="16" fillId="0" borderId="10" xfId="16" applyFont="1" applyBorder="1" applyAlignment="1">
      <alignment horizontal="left"/>
    </xf>
    <xf numFmtId="0" fontId="25" fillId="0" borderId="18" xfId="16" applyFont="1" applyBorder="1"/>
    <xf numFmtId="0" fontId="25" fillId="0" borderId="0" xfId="16" applyFont="1" applyBorder="1" applyAlignment="1">
      <alignment horizontal="right"/>
    </xf>
    <xf numFmtId="0" fontId="34" fillId="5" borderId="8" xfId="13" applyFont="1" applyFill="1" applyBorder="1" applyAlignment="1">
      <alignment horizontal="center"/>
    </xf>
    <xf numFmtId="0" fontId="31" fillId="5" borderId="8" xfId="13" applyFont="1" applyFill="1" applyBorder="1" applyAlignment="1">
      <alignment horizontal="center"/>
    </xf>
    <xf numFmtId="0" fontId="0" fillId="9" borderId="1" xfId="0" applyFill="1" applyBorder="1"/>
    <xf numFmtId="0" fontId="16" fillId="0" borderId="1" xfId="16" applyFont="1" applyFill="1" applyBorder="1"/>
    <xf numFmtId="0" fontId="16" fillId="0" borderId="18" xfId="16" applyFont="1" applyBorder="1"/>
    <xf numFmtId="0" fontId="16" fillId="0" borderId="11" xfId="16" applyFont="1" applyBorder="1"/>
    <xf numFmtId="0" fontId="16" fillId="0" borderId="15" xfId="16" applyFont="1" applyBorder="1"/>
    <xf numFmtId="0" fontId="16" fillId="12" borderId="11" xfId="16" applyFont="1" applyFill="1" applyBorder="1" applyAlignment="1">
      <alignment horizontal="left"/>
    </xf>
    <xf numFmtId="0" fontId="16" fillId="0" borderId="0" xfId="16" applyFont="1" applyBorder="1"/>
    <xf numFmtId="0" fontId="16" fillId="0" borderId="0" xfId="16" applyFont="1"/>
    <xf numFmtId="0" fontId="16" fillId="5" borderId="1" xfId="8" applyFont="1" applyFill="1" applyBorder="1" applyAlignment="1"/>
    <xf numFmtId="0" fontId="16" fillId="6" borderId="1" xfId="8" applyFont="1" applyFill="1" applyBorder="1" applyAlignment="1"/>
    <xf numFmtId="0" fontId="33" fillId="0" borderId="1" xfId="0" applyFont="1" applyBorder="1"/>
    <xf numFmtId="49" fontId="16" fillId="0" borderId="0" xfId="16" applyNumberFormat="1" applyFont="1" applyFill="1" applyBorder="1" applyAlignment="1">
      <alignment horizontal="center"/>
    </xf>
    <xf numFmtId="49" fontId="16" fillId="0" borderId="1" xfId="16" applyNumberFormat="1" applyFont="1" applyFill="1" applyBorder="1" applyAlignment="1">
      <alignment horizontal="center"/>
    </xf>
    <xf numFmtId="0" fontId="16" fillId="12" borderId="1" xfId="16" applyFont="1" applyFill="1" applyBorder="1" applyAlignment="1">
      <alignment horizontal="center"/>
    </xf>
    <xf numFmtId="0" fontId="16" fillId="0" borderId="0" xfId="16" applyFont="1" applyFill="1" applyBorder="1" applyAlignment="1"/>
    <xf numFmtId="0" fontId="16" fillId="0" borderId="0" xfId="11" applyFont="1" applyAlignment="1"/>
    <xf numFmtId="0" fontId="0" fillId="0" borderId="15" xfId="0" applyBorder="1"/>
    <xf numFmtId="0" fontId="25" fillId="0" borderId="0" xfId="11" applyFont="1" applyAlignment="1">
      <alignment horizontal="right"/>
    </xf>
    <xf numFmtId="0" fontId="16" fillId="0" borderId="0" xfId="11" applyFont="1" applyAlignment="1">
      <alignment horizontal="right"/>
    </xf>
    <xf numFmtId="0" fontId="16" fillId="0" borderId="15" xfId="11" applyFont="1" applyFill="1" applyBorder="1" applyAlignment="1"/>
    <xf numFmtId="0" fontId="0" fillId="0" borderId="0" xfId="0" applyFont="1"/>
    <xf numFmtId="0" fontId="16" fillId="0" borderId="18" xfId="8" applyFont="1" applyFill="1" applyBorder="1" applyAlignment="1"/>
    <xf numFmtId="49" fontId="16" fillId="11" borderId="1" xfId="16" applyNumberFormat="1" applyFont="1" applyFill="1" applyBorder="1" applyAlignment="1">
      <alignment horizontal="center"/>
    </xf>
    <xf numFmtId="0" fontId="16" fillId="0" borderId="15" xfId="11" applyFont="1" applyBorder="1" applyAlignment="1"/>
    <xf numFmtId="0" fontId="16" fillId="0" borderId="18" xfId="11" applyFont="1" applyBorder="1" applyAlignment="1"/>
    <xf numFmtId="0" fontId="16" fillId="0" borderId="16" xfId="8" applyFont="1" applyFill="1" applyBorder="1" applyAlignment="1"/>
    <xf numFmtId="0" fontId="16" fillId="0" borderId="1" xfId="16" applyFont="1" applyBorder="1"/>
    <xf numFmtId="0" fontId="1" fillId="13" borderId="1" xfId="13" applyFont="1" applyFill="1" applyBorder="1" applyAlignment="1">
      <alignment horizontal="center"/>
    </xf>
    <xf numFmtId="0" fontId="16" fillId="0" borderId="0" xfId="6" applyFont="1"/>
    <xf numFmtId="0" fontId="16" fillId="0" borderId="1" xfId="8" applyFont="1" applyFill="1" applyBorder="1" applyAlignment="1"/>
    <xf numFmtId="0" fontId="16" fillId="0" borderId="1" xfId="16" applyFont="1" applyFill="1" applyBorder="1" applyAlignment="1"/>
    <xf numFmtId="0" fontId="16" fillId="0" borderId="1" xfId="8" applyFont="1" applyFill="1" applyBorder="1"/>
    <xf numFmtId="0" fontId="16" fillId="0" borderId="0" xfId="13" applyFont="1" applyFill="1" applyBorder="1" applyAlignment="1"/>
    <xf numFmtId="0" fontId="16" fillId="0" borderId="1" xfId="8" applyFont="1" applyFill="1" applyBorder="1" applyAlignment="1"/>
    <xf numFmtId="0" fontId="16" fillId="0" borderId="16" xfId="8" applyFont="1" applyFill="1" applyBorder="1" applyAlignment="1"/>
    <xf numFmtId="0" fontId="0" fillId="0" borderId="0" xfId="0" applyFont="1"/>
    <xf numFmtId="0" fontId="16" fillId="0" borderId="0" xfId="8" applyFont="1" applyAlignment="1">
      <alignment horizontal="left"/>
    </xf>
    <xf numFmtId="0" fontId="16" fillId="0" borderId="8" xfId="8" applyFont="1" applyBorder="1" applyAlignment="1"/>
    <xf numFmtId="0" fontId="16" fillId="0" borderId="12" xfId="8" applyFont="1" applyBorder="1" applyAlignment="1"/>
    <xf numFmtId="0" fontId="16" fillId="0" borderId="10" xfId="8" applyFont="1" applyBorder="1" applyAlignment="1"/>
    <xf numFmtId="0" fontId="16" fillId="0" borderId="18" xfId="8" applyFont="1" applyBorder="1" applyAlignment="1"/>
    <xf numFmtId="0" fontId="16" fillId="0" borderId="16" xfId="8" applyFont="1" applyBorder="1" applyAlignment="1"/>
    <xf numFmtId="0" fontId="16" fillId="0" borderId="11" xfId="8" applyFont="1" applyBorder="1" applyAlignment="1">
      <alignment horizontal="left"/>
    </xf>
    <xf numFmtId="0" fontId="16" fillId="0" borderId="13" xfId="8" applyFont="1" applyBorder="1" applyAlignment="1"/>
    <xf numFmtId="0" fontId="16" fillId="0" borderId="0" xfId="8" applyFont="1" applyBorder="1" applyAlignment="1">
      <alignment horizontal="left"/>
    </xf>
    <xf numFmtId="0" fontId="16" fillId="0" borderId="14" xfId="8" applyFont="1" applyBorder="1" applyAlignment="1"/>
    <xf numFmtId="0" fontId="16" fillId="0" borderId="11" xfId="8" applyFont="1" applyBorder="1" applyAlignment="1"/>
    <xf numFmtId="0" fontId="16" fillId="0" borderId="2" xfId="8" applyFont="1" applyBorder="1" applyAlignment="1">
      <alignment horizontal="left"/>
    </xf>
    <xf numFmtId="0" fontId="0" fillId="0" borderId="1" xfId="0" applyFont="1" applyBorder="1"/>
    <xf numFmtId="0" fontId="0" fillId="0" borderId="0" xfId="0" applyFont="1" applyAlignment="1">
      <alignment horizontal="left"/>
    </xf>
    <xf numFmtId="0" fontId="0" fillId="0" borderId="12" xfId="0" applyFont="1" applyBorder="1"/>
    <xf numFmtId="0" fontId="0" fillId="0" borderId="15" xfId="0" applyFont="1" applyBorder="1"/>
    <xf numFmtId="0" fontId="25" fillId="0" borderId="0" xfId="8" applyFont="1" applyAlignment="1">
      <alignment horizontal="left"/>
    </xf>
    <xf numFmtId="0" fontId="25" fillId="0" borderId="11" xfId="8" applyFont="1" applyBorder="1" applyAlignment="1">
      <alignment horizontal="left"/>
    </xf>
    <xf numFmtId="0" fontId="25" fillId="0" borderId="0" xfId="8" applyFont="1" applyBorder="1" applyAlignment="1">
      <alignment horizontal="left"/>
    </xf>
    <xf numFmtId="0" fontId="0" fillId="0" borderId="0" xfId="0" applyFont="1" applyFill="1"/>
    <xf numFmtId="0" fontId="0" fillId="0" borderId="0" xfId="0" applyFont="1" applyAlignment="1">
      <alignment wrapText="1"/>
    </xf>
    <xf numFmtId="0" fontId="16" fillId="0" borderId="0" xfId="11" applyFont="1" applyAlignment="1"/>
    <xf numFmtId="0" fontId="16" fillId="0" borderId="18" xfId="11" applyFont="1" applyBorder="1" applyAlignment="1"/>
    <xf numFmtId="0" fontId="16" fillId="0" borderId="8" xfId="11" applyFont="1" applyBorder="1" applyAlignment="1">
      <alignment horizontal="left"/>
    </xf>
    <xf numFmtId="0" fontId="16" fillId="0" borderId="2" xfId="11" applyFont="1" applyFill="1" applyBorder="1" applyAlignment="1">
      <alignment horizontal="left"/>
    </xf>
    <xf numFmtId="0" fontId="2" fillId="7" borderId="0" xfId="13" applyFont="1" applyFill="1" applyBorder="1" applyAlignment="1"/>
    <xf numFmtId="0" fontId="25" fillId="0" borderId="0" xfId="6" applyNumberFormat="1" applyFont="1" applyAlignment="1"/>
    <xf numFmtId="0" fontId="16" fillId="0" borderId="0" xfId="6" applyNumberFormat="1" applyFont="1" applyAlignment="1"/>
    <xf numFmtId="0" fontId="25" fillId="5" borderId="1" xfId="6" applyNumberFormat="1" applyFont="1" applyFill="1" applyBorder="1" applyAlignment="1"/>
    <xf numFmtId="0" fontId="16" fillId="0" borderId="0" xfId="6" applyNumberFormat="1" applyFont="1" applyAlignment="1">
      <alignment horizontal="center"/>
    </xf>
    <xf numFmtId="0" fontId="17" fillId="0" borderId="1" xfId="1" applyFill="1" applyBorder="1" applyAlignment="1"/>
    <xf numFmtId="0" fontId="16" fillId="0" borderId="0" xfId="6" applyNumberFormat="1" applyFont="1" applyFill="1" applyAlignment="1"/>
    <xf numFmtId="164" fontId="16" fillId="0" borderId="0" xfId="6" applyNumberFormat="1" applyFont="1" applyAlignment="1">
      <alignment horizontal="center"/>
    </xf>
    <xf numFmtId="0" fontId="16" fillId="0" borderId="0" xfId="6" applyNumberFormat="1" applyFont="1" applyBorder="1" applyAlignment="1"/>
    <xf numFmtId="0" fontId="42" fillId="0" borderId="0" xfId="2" applyNumberFormat="1" applyFont="1" applyBorder="1" applyAlignment="1"/>
    <xf numFmtId="166" fontId="16" fillId="0" borderId="0" xfId="6" applyNumberFormat="1" applyFont="1" applyBorder="1" applyAlignment="1">
      <alignment horizontal="center"/>
    </xf>
    <xf numFmtId="0" fontId="16" fillId="0" borderId="1" xfId="6" applyNumberFormat="1" applyFont="1" applyFill="1" applyBorder="1" applyAlignment="1"/>
    <xf numFmtId="49" fontId="16" fillId="0" borderId="1" xfId="6" applyNumberFormat="1" applyFont="1" applyFill="1" applyBorder="1" applyAlignment="1"/>
    <xf numFmtId="0" fontId="16" fillId="0" borderId="0" xfId="6" applyNumberFormat="1" applyFont="1" applyFill="1" applyAlignment="1">
      <alignment horizontal="left"/>
    </xf>
    <xf numFmtId="0" fontId="26" fillId="0" borderId="0" xfId="6" applyNumberFormat="1" applyFont="1" applyAlignment="1"/>
    <xf numFmtId="0" fontId="16" fillId="0" borderId="1" xfId="2" applyFont="1" applyFill="1" applyBorder="1" applyAlignment="1"/>
    <xf numFmtId="166" fontId="16" fillId="0" borderId="1" xfId="6" applyNumberFormat="1" applyFont="1" applyFill="1" applyBorder="1" applyAlignment="1">
      <alignment horizontal="center"/>
    </xf>
    <xf numFmtId="164" fontId="16" fillId="0" borderId="1" xfId="6" applyNumberFormat="1" applyFont="1" applyFill="1" applyBorder="1" applyAlignment="1">
      <alignment horizontal="center"/>
    </xf>
    <xf numFmtId="0" fontId="17" fillId="8" borderId="19" xfId="1" applyFill="1" applyBorder="1" applyAlignment="1"/>
    <xf numFmtId="0" fontId="17" fillId="0" borderId="19" xfId="1" applyFill="1" applyBorder="1" applyAlignment="1"/>
    <xf numFmtId="0" fontId="16" fillId="0" borderId="0" xfId="6" applyFont="1" applyFill="1" applyAlignment="1"/>
    <xf numFmtId="0" fontId="0" fillId="0" borderId="0" xfId="0" applyBorder="1"/>
    <xf numFmtId="0" fontId="16" fillId="6" borderId="1" xfId="11" applyFont="1" applyFill="1" applyBorder="1" applyAlignment="1"/>
    <xf numFmtId="0" fontId="16" fillId="5" borderId="1" xfId="8" applyFont="1" applyFill="1" applyBorder="1" applyAlignment="1"/>
    <xf numFmtId="0" fontId="16" fillId="0" borderId="0" xfId="6" applyFont="1" applyAlignment="1"/>
    <xf numFmtId="0" fontId="2" fillId="0" borderId="1" xfId="6" applyFont="1" applyBorder="1"/>
    <xf numFmtId="0" fontId="16" fillId="0" borderId="1" xfId="6" applyFont="1" applyBorder="1" applyAlignment="1">
      <alignment horizontal="center"/>
    </xf>
    <xf numFmtId="0" fontId="16" fillId="0" borderId="16" xfId="8" applyFont="1" applyFill="1" applyBorder="1" applyAlignment="1"/>
    <xf numFmtId="0" fontId="25" fillId="0" borderId="0" xfId="6" applyFont="1" applyAlignment="1">
      <alignment horizontal="right"/>
    </xf>
    <xf numFmtId="0" fontId="25" fillId="0" borderId="0" xfId="6" applyFont="1" applyAlignment="1"/>
    <xf numFmtId="0" fontId="16" fillId="0" borderId="18" xfId="8" applyFont="1" applyFill="1" applyBorder="1" applyAlignment="1"/>
    <xf numFmtId="0" fontId="16" fillId="0" borderId="0" xfId="11" applyFont="1" applyAlignment="1"/>
    <xf numFmtId="0" fontId="16" fillId="0" borderId="15" xfId="11" applyFont="1" applyFill="1" applyBorder="1" applyAlignment="1"/>
    <xf numFmtId="49" fontId="16" fillId="0" borderId="1" xfId="6" applyNumberFormat="1" applyFont="1" applyBorder="1" applyAlignment="1">
      <alignment horizontal="center"/>
    </xf>
    <xf numFmtId="0" fontId="16" fillId="0" borderId="1" xfId="11" applyFont="1" applyBorder="1" applyAlignment="1"/>
    <xf numFmtId="0" fontId="16" fillId="0" borderId="1" xfId="11" applyFont="1" applyFill="1" applyBorder="1" applyAlignment="1"/>
    <xf numFmtId="0" fontId="25" fillId="0" borderId="0" xfId="6" applyFont="1" applyFill="1" applyAlignment="1">
      <alignment horizontal="right"/>
    </xf>
    <xf numFmtId="0" fontId="16" fillId="0" borderId="1" xfId="6" applyFont="1" applyBorder="1"/>
    <xf numFmtId="0" fontId="25" fillId="0" borderId="0" xfId="0" applyFont="1" applyFill="1" applyBorder="1"/>
    <xf numFmtId="0" fontId="16" fillId="0" borderId="13" xfId="11" applyFont="1" applyBorder="1" applyAlignment="1">
      <alignment horizontal="left"/>
    </xf>
    <xf numFmtId="0" fontId="16" fillId="0" borderId="5" xfId="11" applyFont="1" applyBorder="1" applyAlignment="1">
      <alignment horizontal="left"/>
    </xf>
    <xf numFmtId="0" fontId="16" fillId="0" borderId="7" xfId="11" applyFont="1" applyBorder="1" applyAlignment="1"/>
    <xf numFmtId="0" fontId="16" fillId="0" borderId="16" xfId="11" applyFont="1" applyBorder="1" applyAlignment="1"/>
    <xf numFmtId="0" fontId="0" fillId="0" borderId="9" xfId="0" applyFont="1" applyBorder="1"/>
    <xf numFmtId="0" fontId="0" fillId="0" borderId="0" xfId="0" applyFont="1" applyBorder="1"/>
    <xf numFmtId="0" fontId="2" fillId="0" borderId="1" xfId="6" applyFont="1" applyFill="1" applyBorder="1"/>
    <xf numFmtId="0" fontId="43" fillId="0" borderId="1" xfId="1" applyFont="1" applyFill="1" applyBorder="1" applyAlignment="1"/>
    <xf numFmtId="0" fontId="43" fillId="7" borderId="20" xfId="1" applyFont="1" applyFill="1" applyBorder="1" applyAlignment="1"/>
    <xf numFmtId="0" fontId="16" fillId="0" borderId="1" xfId="1" applyFont="1" applyFill="1" applyBorder="1" applyAlignment="1"/>
    <xf numFmtId="0" fontId="43" fillId="0" borderId="20" xfId="1" applyFont="1" applyFill="1" applyBorder="1" applyAlignment="1"/>
    <xf numFmtId="0" fontId="43" fillId="7" borderId="1" xfId="1" applyFont="1" applyFill="1" applyBorder="1" applyAlignment="1"/>
    <xf numFmtId="0" fontId="43" fillId="7" borderId="1" xfId="1" applyNumberFormat="1" applyFont="1" applyFill="1" applyBorder="1" applyAlignment="1"/>
    <xf numFmtId="0" fontId="43" fillId="0" borderId="1" xfId="1" applyNumberFormat="1" applyFont="1" applyFill="1" applyBorder="1" applyAlignment="1"/>
    <xf numFmtId="0" fontId="25" fillId="14" borderId="0" xfId="6" applyFont="1" applyFill="1" applyAlignment="1"/>
    <xf numFmtId="0" fontId="0" fillId="14" borderId="0" xfId="0" applyFont="1" applyFill="1"/>
    <xf numFmtId="0" fontId="25" fillId="14" borderId="0" xfId="6" applyFont="1" applyFill="1"/>
    <xf numFmtId="0" fontId="16" fillId="0" borderId="10" xfId="11" applyFont="1" applyBorder="1" applyAlignment="1"/>
    <xf numFmtId="0" fontId="16" fillId="0" borderId="1" xfId="6" applyFont="1" applyBorder="1"/>
    <xf numFmtId="0" fontId="0" fillId="14" borderId="0" xfId="0" applyFont="1" applyFill="1"/>
    <xf numFmtId="0" fontId="16" fillId="0" borderId="0" xfId="11" applyFont="1" applyAlignment="1"/>
    <xf numFmtId="0" fontId="16" fillId="0" borderId="1" xfId="6" applyFont="1" applyFill="1" applyBorder="1" applyAlignment="1"/>
    <xf numFmtId="0" fontId="0" fillId="0" borderId="8" xfId="0" applyBorder="1"/>
    <xf numFmtId="0" fontId="0" fillId="0" borderId="18" xfId="0" applyBorder="1"/>
    <xf numFmtId="0" fontId="16" fillId="0" borderId="12" xfId="11" applyFont="1" applyBorder="1" applyAlignment="1">
      <alignment horizontal="left"/>
    </xf>
    <xf numFmtId="0" fontId="0" fillId="0" borderId="10" xfId="0" applyBorder="1"/>
    <xf numFmtId="0" fontId="16" fillId="0" borderId="1" xfId="11" applyFont="1" applyFill="1" applyBorder="1" applyAlignment="1"/>
    <xf numFmtId="49" fontId="16" fillId="0" borderId="1" xfId="16" applyNumberFormat="1" applyFont="1" applyFill="1" applyBorder="1" applyAlignment="1">
      <alignment horizontal="center"/>
    </xf>
    <xf numFmtId="0" fontId="0" fillId="0" borderId="0" xfId="0" applyBorder="1" applyAlignment="1">
      <alignment horizontal="left"/>
    </xf>
    <xf numFmtId="0" fontId="16" fillId="0" borderId="15" xfId="11" applyFont="1" applyFill="1" applyBorder="1" applyAlignment="1"/>
    <xf numFmtId="0" fontId="0" fillId="0" borderId="0" xfId="0" applyAlignment="1">
      <alignment horizontal="left"/>
    </xf>
    <xf numFmtId="0" fontId="0" fillId="0" borderId="2" xfId="0" applyBorder="1" applyAlignment="1">
      <alignment horizontal="left"/>
    </xf>
    <xf numFmtId="0" fontId="16" fillId="0" borderId="1" xfId="16" applyFont="1" applyFill="1" applyBorder="1" applyAlignment="1"/>
    <xf numFmtId="0" fontId="16" fillId="0" borderId="0" xfId="11" applyFont="1" applyAlignment="1">
      <alignment horizontal="left"/>
    </xf>
    <xf numFmtId="0" fontId="16" fillId="0" borderId="18" xfId="11" applyFont="1" applyBorder="1" applyAlignment="1"/>
    <xf numFmtId="0" fontId="16" fillId="0" borderId="1" xfId="11" applyFont="1" applyFill="1" applyBorder="1"/>
    <xf numFmtId="0" fontId="16" fillId="0" borderId="16" xfId="8" applyFont="1" applyFill="1" applyBorder="1" applyAlignment="1"/>
    <xf numFmtId="0" fontId="16" fillId="0" borderId="1" xfId="11" applyFont="1" applyFill="1" applyBorder="1" applyAlignment="1">
      <alignment wrapText="1"/>
    </xf>
    <xf numFmtId="0" fontId="16" fillId="0" borderId="15" xfId="11" applyFont="1" applyBorder="1" applyAlignment="1"/>
    <xf numFmtId="0" fontId="16" fillId="0" borderId="0" xfId="6" applyFont="1"/>
    <xf numFmtId="0" fontId="16" fillId="0" borderId="1" xfId="6" applyFont="1" applyBorder="1"/>
    <xf numFmtId="0" fontId="16" fillId="0" borderId="1" xfId="6" applyFont="1" applyBorder="1" applyAlignment="1">
      <alignment horizontal="center"/>
    </xf>
    <xf numFmtId="49" fontId="16" fillId="0" borderId="1" xfId="6" applyNumberFormat="1" applyFont="1" applyBorder="1" applyAlignment="1">
      <alignment horizontal="center"/>
    </xf>
    <xf numFmtId="0" fontId="16" fillId="0" borderId="1" xfId="11" applyFont="1" applyFill="1" applyBorder="1"/>
    <xf numFmtId="0" fontId="16" fillId="0" borderId="1" xfId="11" applyFont="1" applyBorder="1" applyAlignment="1"/>
    <xf numFmtId="0" fontId="16" fillId="0" borderId="1" xfId="6" applyFont="1" applyFill="1" applyBorder="1"/>
    <xf numFmtId="0" fontId="16" fillId="0" borderId="1" xfId="11" applyFont="1" applyFill="1" applyBorder="1" applyAlignment="1"/>
    <xf numFmtId="0" fontId="16" fillId="0" borderId="0" xfId="11" applyFont="1" applyAlignment="1"/>
    <xf numFmtId="0" fontId="16" fillId="0" borderId="0" xfId="11" applyFont="1" applyAlignment="1">
      <alignment horizontal="left"/>
    </xf>
    <xf numFmtId="0" fontId="16" fillId="0" borderId="8" xfId="11" applyFont="1" applyBorder="1" applyAlignment="1"/>
    <xf numFmtId="0" fontId="16" fillId="0" borderId="10" xfId="11" applyFont="1" applyBorder="1" applyAlignment="1"/>
    <xf numFmtId="0" fontId="16" fillId="0" borderId="18" xfId="11" applyFont="1" applyBorder="1" applyAlignment="1"/>
    <xf numFmtId="0" fontId="16" fillId="0" borderId="16" xfId="8" applyFont="1" applyFill="1" applyBorder="1" applyAlignment="1"/>
    <xf numFmtId="0" fontId="16" fillId="0" borderId="11" xfId="11" applyFont="1" applyBorder="1" applyAlignment="1">
      <alignment horizontal="left"/>
    </xf>
    <xf numFmtId="0" fontId="16" fillId="0" borderId="12" xfId="11" applyFont="1" applyBorder="1" applyAlignment="1"/>
    <xf numFmtId="0" fontId="16" fillId="0" borderId="0" xfId="11" applyFont="1" applyBorder="1" applyAlignment="1"/>
    <xf numFmtId="0" fontId="16" fillId="0" borderId="13" xfId="11" applyFont="1" applyBorder="1" applyAlignment="1"/>
    <xf numFmtId="0" fontId="16" fillId="0" borderId="18" xfId="8" applyFont="1" applyFill="1" applyBorder="1" applyAlignment="1"/>
    <xf numFmtId="0" fontId="16" fillId="0" borderId="0" xfId="11" applyFont="1" applyBorder="1" applyAlignment="1">
      <alignment horizontal="left"/>
    </xf>
    <xf numFmtId="0" fontId="16" fillId="0" borderId="16" xfId="11" applyFont="1" applyBorder="1" applyAlignment="1"/>
    <xf numFmtId="0" fontId="16" fillId="0" borderId="13" xfId="11" applyFont="1" applyBorder="1" applyAlignment="1">
      <alignment horizontal="left"/>
    </xf>
    <xf numFmtId="0" fontId="16" fillId="0" borderId="8" xfId="11" applyFont="1" applyBorder="1" applyAlignment="1">
      <alignment horizontal="left"/>
    </xf>
    <xf numFmtId="0" fontId="16" fillId="0" borderId="15" xfId="11" applyFont="1" applyFill="1" applyBorder="1" applyAlignment="1"/>
    <xf numFmtId="0" fontId="16" fillId="0" borderId="9" xfId="11" applyFont="1" applyBorder="1" applyAlignment="1"/>
    <xf numFmtId="0" fontId="16" fillId="0" borderId="15" xfId="11" applyFont="1" applyBorder="1" applyAlignment="1"/>
    <xf numFmtId="0" fontId="16" fillId="0" borderId="11" xfId="11" applyFont="1" applyBorder="1" applyAlignment="1"/>
    <xf numFmtId="0" fontId="16" fillId="0" borderId="2" xfId="11" applyFont="1" applyBorder="1" applyAlignment="1">
      <alignment horizontal="left"/>
    </xf>
    <xf numFmtId="0" fontId="16" fillId="0" borderId="5" xfId="11" applyFont="1" applyBorder="1" applyAlignment="1">
      <alignment horizontal="left"/>
    </xf>
    <xf numFmtId="0" fontId="16" fillId="0" borderId="7" xfId="11" applyFont="1" applyBorder="1" applyAlignment="1"/>
    <xf numFmtId="0" fontId="16" fillId="0" borderId="2" xfId="11" applyFont="1" applyFill="1" applyBorder="1" applyAlignment="1">
      <alignment horizontal="left"/>
    </xf>
    <xf numFmtId="0" fontId="16" fillId="5" borderId="1" xfId="11" applyFont="1" applyFill="1" applyBorder="1" applyAlignment="1"/>
    <xf numFmtId="0" fontId="16" fillId="6" borderId="1" xfId="11" applyFont="1" applyFill="1" applyBorder="1" applyAlignment="1"/>
    <xf numFmtId="0" fontId="16" fillId="7" borderId="0" xfId="11" applyFont="1" applyFill="1" applyAlignment="1">
      <alignment horizontal="left"/>
    </xf>
    <xf numFmtId="0" fontId="31" fillId="4" borderId="1" xfId="11" applyFont="1" applyFill="1" applyBorder="1" applyAlignment="1"/>
    <xf numFmtId="0" fontId="16" fillId="12" borderId="13" xfId="11" applyFont="1" applyFill="1" applyBorder="1" applyAlignment="1">
      <alignment horizontal="left"/>
    </xf>
    <xf numFmtId="0" fontId="25" fillId="0" borderId="0" xfId="0" applyFont="1" applyFill="1"/>
    <xf numFmtId="0" fontId="0" fillId="0" borderId="1" xfId="0" applyFill="1" applyBorder="1"/>
    <xf numFmtId="0" fontId="0" fillId="0" borderId="1" xfId="0" applyFont="1" applyBorder="1" applyAlignment="1">
      <alignment horizontal="center"/>
    </xf>
    <xf numFmtId="0" fontId="16" fillId="0" borderId="10" xfId="11" applyFont="1" applyBorder="1" applyAlignment="1"/>
    <xf numFmtId="0" fontId="16" fillId="0" borderId="18" xfId="11" applyFont="1" applyBorder="1" applyAlignment="1"/>
    <xf numFmtId="0" fontId="16" fillId="0" borderId="16" xfId="11" applyFont="1" applyBorder="1" applyAlignment="1"/>
    <xf numFmtId="164" fontId="39" fillId="0" borderId="1" xfId="13" applyNumberFormat="1" applyFont="1" applyFill="1" applyBorder="1" applyAlignment="1">
      <alignment horizontal="center"/>
    </xf>
    <xf numFmtId="0" fontId="17" fillId="7" borderId="5" xfId="1" applyFill="1" applyBorder="1" applyAlignment="1"/>
    <xf numFmtId="0" fontId="43" fillId="7" borderId="7" xfId="1" applyFont="1" applyFill="1" applyBorder="1" applyAlignment="1"/>
    <xf numFmtId="0" fontId="44" fillId="7" borderId="1" xfId="13" applyFont="1" applyFill="1" applyBorder="1" applyAlignment="1">
      <alignment horizontal="center"/>
    </xf>
    <xf numFmtId="0" fontId="44" fillId="8" borderId="1" xfId="13" applyFont="1" applyFill="1" applyBorder="1" applyAlignment="1">
      <alignment horizontal="center"/>
    </xf>
    <xf numFmtId="0" fontId="45" fillId="0" borderId="1" xfId="13" applyFont="1" applyFill="1" applyBorder="1" applyAlignment="1"/>
    <xf numFmtId="0" fontId="29" fillId="0" borderId="1" xfId="6" applyFont="1" applyFill="1" applyBorder="1" applyAlignment="1"/>
    <xf numFmtId="0" fontId="2" fillId="15" borderId="1" xfId="13" applyFont="1" applyFill="1" applyBorder="1" applyAlignment="1">
      <alignment horizontal="center"/>
    </xf>
    <xf numFmtId="0" fontId="46" fillId="15" borderId="1" xfId="13" applyFont="1" applyFill="1" applyBorder="1" applyAlignment="1">
      <alignment horizontal="center"/>
    </xf>
    <xf numFmtId="0" fontId="46" fillId="15" borderId="1" xfId="13" applyFont="1" applyFill="1" applyBorder="1" applyAlignment="1"/>
    <xf numFmtId="0" fontId="16" fillId="16" borderId="0" xfId="10" applyFont="1" applyFill="1" applyBorder="1" applyAlignment="1">
      <alignment horizontal="right"/>
    </xf>
    <xf numFmtId="0" fontId="16" fillId="0" borderId="1" xfId="8" applyFont="1" applyFill="1" applyBorder="1" applyAlignment="1"/>
    <xf numFmtId="49" fontId="16" fillId="0" borderId="1" xfId="16" applyNumberFormat="1" applyFont="1" applyFill="1" applyBorder="1" applyAlignment="1">
      <alignment horizontal="center"/>
    </xf>
    <xf numFmtId="0" fontId="16" fillId="0" borderId="1" xfId="16" applyFont="1" applyFill="1" applyBorder="1"/>
    <xf numFmtId="0" fontId="16" fillId="0" borderId="1" xfId="16" applyFont="1" applyFill="1" applyBorder="1" applyAlignment="1"/>
    <xf numFmtId="0" fontId="16" fillId="0" borderId="18" xfId="16" applyFont="1" applyBorder="1"/>
    <xf numFmtId="0" fontId="16" fillId="0" borderId="0" xfId="16" applyFont="1"/>
    <xf numFmtId="0" fontId="16" fillId="0" borderId="1" xfId="8" applyFont="1" applyFill="1" applyBorder="1"/>
    <xf numFmtId="0" fontId="16" fillId="0" borderId="0" xfId="16" applyFont="1" applyAlignment="1">
      <alignment horizontal="left"/>
    </xf>
    <xf numFmtId="0" fontId="16" fillId="0" borderId="0" xfId="16" applyFont="1" applyBorder="1"/>
    <xf numFmtId="0" fontId="16" fillId="0" borderId="11" xfId="16" applyFont="1" applyBorder="1"/>
    <xf numFmtId="0" fontId="16" fillId="0" borderId="1" xfId="11" applyFont="1" applyFill="1" applyBorder="1" applyAlignment="1"/>
    <xf numFmtId="0" fontId="16" fillId="0" borderId="1" xfId="11" applyFont="1" applyFill="1" applyBorder="1"/>
    <xf numFmtId="0" fontId="16" fillId="0" borderId="1" xfId="11" applyFont="1" applyFill="1" applyBorder="1" applyAlignment="1">
      <alignment wrapText="1"/>
    </xf>
    <xf numFmtId="0" fontId="16" fillId="0" borderId="15" xfId="11" applyFont="1" applyBorder="1" applyAlignment="1"/>
    <xf numFmtId="0" fontId="16" fillId="0" borderId="1" xfId="13" applyFont="1" applyFill="1" applyBorder="1" applyAlignment="1">
      <alignment horizontal="center"/>
    </xf>
    <xf numFmtId="1" fontId="29" fillId="0" borderId="1" xfId="13" applyNumberFormat="1" applyFont="1" applyFill="1" applyBorder="1" applyAlignment="1">
      <alignment horizontal="right"/>
    </xf>
    <xf numFmtId="1" fontId="35" fillId="0" borderId="1" xfId="13" applyNumberFormat="1" applyFont="1" applyFill="1" applyBorder="1" applyAlignment="1">
      <alignment horizontal="right"/>
    </xf>
    <xf numFmtId="0" fontId="35" fillId="0" borderId="1" xfId="13" applyFont="1" applyFill="1" applyBorder="1" applyAlignment="1"/>
    <xf numFmtId="0" fontId="27" fillId="15" borderId="1" xfId="13" applyFont="1" applyFill="1" applyBorder="1" applyAlignment="1"/>
    <xf numFmtId="0" fontId="47" fillId="0" borderId="1" xfId="13" applyFont="1" applyFill="1" applyBorder="1" applyAlignment="1"/>
    <xf numFmtId="0" fontId="38" fillId="5" borderId="1" xfId="13" applyFont="1" applyFill="1" applyBorder="1" applyAlignment="1">
      <alignment horizontal="center"/>
    </xf>
    <xf numFmtId="0" fontId="48" fillId="0" borderId="1" xfId="13" applyFont="1" applyFill="1" applyBorder="1" applyAlignment="1"/>
    <xf numFmtId="0" fontId="27" fillId="0" borderId="1" xfId="13" applyNumberFormat="1" applyFont="1" applyFill="1" applyBorder="1" applyAlignment="1">
      <alignment horizontal="center"/>
    </xf>
    <xf numFmtId="164" fontId="2" fillId="0" borderId="41" xfId="7" applyNumberFormat="1" applyFont="1" applyFill="1" applyBorder="1" applyAlignment="1">
      <alignment horizontal="center"/>
    </xf>
    <xf numFmtId="164" fontId="2" fillId="0" borderId="42" xfId="7" applyNumberFormat="1" applyFont="1" applyFill="1" applyBorder="1" applyAlignment="1">
      <alignment horizontal="center"/>
    </xf>
    <xf numFmtId="164" fontId="2" fillId="0" borderId="43" xfId="7" applyNumberFormat="1" applyFont="1" applyFill="1" applyBorder="1" applyAlignment="1">
      <alignment horizontal="center"/>
    </xf>
    <xf numFmtId="0" fontId="29" fillId="0" borderId="0" xfId="0" applyFont="1" applyFill="1"/>
    <xf numFmtId="0" fontId="29" fillId="9" borderId="0" xfId="0" applyFont="1" applyFill="1"/>
    <xf numFmtId="0" fontId="0" fillId="9" borderId="0" xfId="0" applyFont="1" applyFill="1"/>
    <xf numFmtId="0" fontId="16" fillId="0" borderId="7" xfId="2" applyNumberFormat="1" applyFont="1" applyFill="1" applyBorder="1" applyAlignment="1"/>
    <xf numFmtId="0" fontId="39" fillId="0" borderId="1" xfId="13" applyNumberFormat="1" applyFont="1" applyFill="1" applyBorder="1" applyAlignment="1">
      <alignment horizontal="center"/>
    </xf>
    <xf numFmtId="0" fontId="16" fillId="0" borderId="0" xfId="14" applyFont="1"/>
    <xf numFmtId="0" fontId="25" fillId="0" borderId="0" xfId="9" applyFont="1" applyAlignment="1">
      <alignment vertical="center"/>
    </xf>
    <xf numFmtId="0" fontId="16" fillId="0" borderId="22" xfId="9" applyFont="1" applyBorder="1" applyAlignment="1">
      <alignment horizontal="center"/>
    </xf>
    <xf numFmtId="0" fontId="16" fillId="0" borderId="1" xfId="9" applyFont="1" applyBorder="1" applyAlignment="1">
      <alignment horizontal="center"/>
    </xf>
    <xf numFmtId="0" fontId="16" fillId="0" borderId="17" xfId="9" applyFont="1" applyBorder="1" applyAlignment="1">
      <alignment horizontal="center"/>
    </xf>
    <xf numFmtId="0" fontId="16" fillId="0" borderId="23" xfId="9" applyFont="1" applyFill="1" applyBorder="1" applyAlignment="1">
      <alignment horizontal="center"/>
    </xf>
    <xf numFmtId="0" fontId="16" fillId="0" borderId="44" xfId="14" applyFont="1" applyBorder="1"/>
    <xf numFmtId="0" fontId="16" fillId="0" borderId="45" xfId="14" applyFont="1" applyBorder="1"/>
    <xf numFmtId="0" fontId="16" fillId="0" borderId="23" xfId="14" applyFont="1" applyFill="1" applyBorder="1" applyAlignment="1">
      <alignment horizontal="center"/>
    </xf>
    <xf numFmtId="0" fontId="16" fillId="0" borderId="44" xfId="14" applyFont="1" applyFill="1" applyBorder="1" applyAlignment="1">
      <alignment horizontal="center"/>
    </xf>
    <xf numFmtId="0" fontId="16" fillId="0" borderId="44" xfId="9" applyFont="1" applyFill="1" applyBorder="1" applyAlignment="1">
      <alignment horizontal="center"/>
    </xf>
    <xf numFmtId="0" fontId="16" fillId="0" borderId="0" xfId="9" applyFont="1" applyFill="1" applyBorder="1" applyAlignment="1">
      <alignment horizontal="center"/>
    </xf>
    <xf numFmtId="0" fontId="16" fillId="0" borderId="0" xfId="14" applyFont="1" applyBorder="1"/>
    <xf numFmtId="0" fontId="25" fillId="0" borderId="23" xfId="9" applyFont="1" applyFill="1" applyBorder="1" applyAlignment="1">
      <alignment horizontal="center"/>
    </xf>
    <xf numFmtId="0" fontId="16" fillId="0" borderId="24" xfId="9" applyFont="1" applyBorder="1" applyAlignment="1">
      <alignment horizontal="center"/>
    </xf>
    <xf numFmtId="0" fontId="16" fillId="0" borderId="19" xfId="9" applyFont="1" applyBorder="1" applyAlignment="1">
      <alignment horizontal="center"/>
    </xf>
    <xf numFmtId="0" fontId="16" fillId="0" borderId="25" xfId="9" applyFont="1" applyBorder="1" applyAlignment="1">
      <alignment horizontal="center"/>
    </xf>
    <xf numFmtId="0" fontId="16" fillId="0" borderId="26" xfId="14" applyFont="1" applyFill="1" applyBorder="1" applyAlignment="1">
      <alignment horizontal="center"/>
    </xf>
    <xf numFmtId="0" fontId="25" fillId="0" borderId="26" xfId="9" applyFont="1" applyFill="1" applyBorder="1" applyAlignment="1">
      <alignment horizontal="center"/>
    </xf>
    <xf numFmtId="0" fontId="16" fillId="0" borderId="1" xfId="14" applyFont="1" applyBorder="1" applyAlignment="1">
      <alignment horizontal="left"/>
    </xf>
    <xf numFmtId="0" fontId="16" fillId="5" borderId="22" xfId="14" applyFont="1" applyFill="1" applyBorder="1" applyAlignment="1">
      <alignment horizontal="center"/>
    </xf>
    <xf numFmtId="0" fontId="16" fillId="5" borderId="1" xfId="14" applyFont="1" applyFill="1" applyBorder="1" applyAlignment="1">
      <alignment horizontal="center"/>
    </xf>
    <xf numFmtId="0" fontId="16" fillId="5" borderId="17" xfId="14" applyFont="1" applyFill="1" applyBorder="1" applyAlignment="1">
      <alignment horizontal="center"/>
    </xf>
    <xf numFmtId="0" fontId="16" fillId="5" borderId="23" xfId="14" applyFont="1" applyFill="1" applyBorder="1" applyAlignment="1">
      <alignment horizontal="center"/>
    </xf>
    <xf numFmtId="0" fontId="16" fillId="0" borderId="22" xfId="14" applyFont="1" applyFill="1" applyBorder="1" applyAlignment="1">
      <alignment horizontal="center"/>
    </xf>
    <xf numFmtId="0" fontId="16" fillId="0" borderId="1" xfId="14" applyFont="1" applyFill="1" applyBorder="1" applyAlignment="1">
      <alignment horizontal="center"/>
    </xf>
    <xf numFmtId="0" fontId="16" fillId="0" borderId="17" xfId="14" applyFont="1" applyFill="1" applyBorder="1" applyAlignment="1">
      <alignment horizontal="center"/>
    </xf>
    <xf numFmtId="0" fontId="16" fillId="0" borderId="23" xfId="9" applyFont="1" applyBorder="1" applyAlignment="1"/>
    <xf numFmtId="0" fontId="25" fillId="0" borderId="29" xfId="9" applyFont="1" applyBorder="1" applyAlignment="1"/>
    <xf numFmtId="0" fontId="16" fillId="5" borderId="23" xfId="9" applyFont="1" applyFill="1" applyBorder="1" applyAlignment="1"/>
    <xf numFmtId="0" fontId="16" fillId="0" borderId="0" xfId="14" applyFont="1" applyAlignment="1"/>
    <xf numFmtId="0" fontId="16" fillId="0" borderId="23" xfId="14" applyFont="1" applyBorder="1" applyAlignment="1"/>
    <xf numFmtId="0" fontId="25" fillId="0" borderId="22" xfId="9" applyFont="1" applyBorder="1" applyAlignment="1"/>
    <xf numFmtId="0" fontId="25" fillId="0" borderId="21" xfId="9" applyFont="1" applyBorder="1" applyAlignment="1"/>
    <xf numFmtId="0" fontId="16" fillId="0" borderId="17" xfId="9" applyFont="1" applyFill="1" applyBorder="1" applyAlignment="1">
      <alignment horizontal="center"/>
    </xf>
    <xf numFmtId="0" fontId="16" fillId="0" borderId="26" xfId="14" applyFont="1" applyBorder="1" applyAlignment="1"/>
    <xf numFmtId="0" fontId="25" fillId="0" borderId="1" xfId="14" applyFont="1" applyBorder="1" applyAlignment="1"/>
    <xf numFmtId="0" fontId="16" fillId="5" borderId="1" xfId="14" applyFont="1" applyFill="1" applyBorder="1" applyAlignment="1"/>
    <xf numFmtId="0" fontId="16" fillId="6" borderId="1" xfId="14" applyFont="1" applyFill="1" applyBorder="1" applyAlignment="1"/>
    <xf numFmtId="0" fontId="16" fillId="0" borderId="1" xfId="14" applyFont="1" applyBorder="1" applyAlignment="1"/>
    <xf numFmtId="0" fontId="16" fillId="0" borderId="1" xfId="9" applyFont="1" applyFill="1" applyBorder="1" applyAlignment="1">
      <alignment horizontal="left"/>
    </xf>
    <xf numFmtId="0" fontId="16" fillId="0" borderId="31" xfId="9" applyFont="1" applyBorder="1" applyAlignment="1"/>
    <xf numFmtId="0" fontId="16" fillId="0" borderId="32" xfId="9" applyFont="1" applyFill="1" applyBorder="1" applyAlignment="1"/>
    <xf numFmtId="0" fontId="16" fillId="0" borderId="32" xfId="14" applyFont="1" applyFill="1" applyBorder="1" applyAlignment="1">
      <alignment horizontal="center"/>
    </xf>
    <xf numFmtId="0" fontId="16" fillId="0" borderId="5" xfId="14" applyFont="1" applyFill="1" applyBorder="1" applyAlignment="1">
      <alignment horizontal="center"/>
    </xf>
    <xf numFmtId="0" fontId="16" fillId="0" borderId="2" xfId="14" applyFont="1" applyFill="1" applyBorder="1" applyAlignment="1">
      <alignment horizontal="center"/>
    </xf>
    <xf numFmtId="0" fontId="16" fillId="5" borderId="26" xfId="9" applyFont="1" applyFill="1" applyBorder="1" applyAlignment="1"/>
    <xf numFmtId="0" fontId="16" fillId="5" borderId="24" xfId="14" applyFont="1" applyFill="1" applyBorder="1" applyAlignment="1">
      <alignment horizontal="center"/>
    </xf>
    <xf numFmtId="0" fontId="16" fillId="5" borderId="19" xfId="14" applyFont="1" applyFill="1" applyBorder="1" applyAlignment="1">
      <alignment horizontal="center"/>
    </xf>
    <xf numFmtId="0" fontId="16" fillId="5" borderId="25" xfId="14" applyFont="1" applyFill="1" applyBorder="1" applyAlignment="1">
      <alignment horizontal="center"/>
    </xf>
    <xf numFmtId="0" fontId="16" fillId="5" borderId="26" xfId="14" applyFont="1" applyFill="1" applyBorder="1" applyAlignment="1">
      <alignment horizontal="center"/>
    </xf>
    <xf numFmtId="0" fontId="16" fillId="0" borderId="22" xfId="14" applyFont="1" applyBorder="1" applyAlignment="1">
      <alignment horizontal="left"/>
    </xf>
    <xf numFmtId="0" fontId="16" fillId="0" borderId="24" xfId="9" applyFont="1" applyFill="1" applyBorder="1" applyAlignment="1">
      <alignment horizontal="left"/>
    </xf>
    <xf numFmtId="0" fontId="16" fillId="0" borderId="22" xfId="9" applyFont="1" applyFill="1" applyBorder="1" applyAlignment="1"/>
    <xf numFmtId="0" fontId="16" fillId="0" borderId="22" xfId="9" applyFont="1" applyFill="1" applyBorder="1" applyAlignment="1">
      <alignment horizontal="left"/>
    </xf>
    <xf numFmtId="0" fontId="16" fillId="5" borderId="22" xfId="14" applyFont="1" applyFill="1" applyBorder="1" applyAlignment="1"/>
    <xf numFmtId="0" fontId="16" fillId="0" borderId="30" xfId="14" applyFont="1" applyBorder="1" applyAlignment="1"/>
    <xf numFmtId="0" fontId="16" fillId="0" borderId="22" xfId="14" applyFont="1" applyFill="1" applyBorder="1" applyAlignment="1"/>
    <xf numFmtId="0" fontId="16" fillId="5" borderId="22" xfId="9" applyFont="1" applyFill="1" applyBorder="1" applyAlignment="1"/>
    <xf numFmtId="0" fontId="16" fillId="0" borderId="30" xfId="14" applyFont="1" applyBorder="1" applyAlignment="1">
      <alignment horizontal="left"/>
    </xf>
    <xf numFmtId="0" fontId="34" fillId="0" borderId="0" xfId="16" applyFont="1"/>
    <xf numFmtId="0" fontId="31" fillId="4" borderId="1" xfId="16" applyFont="1" applyFill="1" applyBorder="1" applyAlignment="1"/>
    <xf numFmtId="0" fontId="31" fillId="0" borderId="0" xfId="16" applyFont="1"/>
    <xf numFmtId="164" fontId="2" fillId="0" borderId="46" xfId="7" applyNumberFormat="1" applyFont="1" applyFill="1" applyBorder="1" applyAlignment="1">
      <alignment horizontal="center"/>
    </xf>
    <xf numFmtId="164" fontId="29" fillId="0" borderId="47" xfId="13" applyNumberFormat="1" applyFont="1" applyFill="1" applyBorder="1" applyAlignment="1">
      <alignment horizontal="center"/>
    </xf>
    <xf numFmtId="0" fontId="37" fillId="0" borderId="0" xfId="0" applyFont="1" applyFill="1"/>
    <xf numFmtId="0" fontId="16" fillId="8" borderId="1" xfId="13" applyFont="1" applyFill="1" applyBorder="1" applyAlignment="1"/>
    <xf numFmtId="0" fontId="39" fillId="15" borderId="1" xfId="13" applyNumberFormat="1" applyFont="1" applyFill="1" applyBorder="1" applyAlignment="1">
      <alignment horizontal="center"/>
    </xf>
    <xf numFmtId="0" fontId="16" fillId="0" borderId="0" xfId="6" applyFont="1" applyBorder="1" applyAlignment="1">
      <alignment horizontal="center"/>
    </xf>
    <xf numFmtId="0" fontId="16" fillId="0" borderId="1" xfId="6" applyFont="1" applyBorder="1"/>
    <xf numFmtId="49" fontId="16" fillId="0" borderId="1" xfId="6" applyNumberFormat="1" applyFont="1" applyBorder="1" applyAlignment="1">
      <alignment horizontal="center"/>
    </xf>
    <xf numFmtId="0" fontId="16" fillId="0" borderId="1" xfId="11" applyFont="1" applyFill="1" applyBorder="1" applyAlignment="1"/>
    <xf numFmtId="0" fontId="25" fillId="0" borderId="0" xfId="0" applyFont="1" applyAlignment="1">
      <alignment horizontal="right"/>
    </xf>
    <xf numFmtId="0" fontId="16" fillId="0" borderId="15" xfId="11" applyFont="1" applyBorder="1" applyAlignment="1"/>
    <xf numFmtId="0" fontId="16" fillId="0" borderId="33" xfId="11" applyFont="1" applyBorder="1" applyAlignment="1"/>
    <xf numFmtId="0" fontId="16" fillId="0" borderId="14" xfId="11" applyFont="1" applyBorder="1" applyAlignment="1">
      <alignment horizontal="left"/>
    </xf>
    <xf numFmtId="0" fontId="16" fillId="0" borderId="11" xfId="11" applyFont="1" applyBorder="1" applyAlignment="1"/>
    <xf numFmtId="49" fontId="16" fillId="0" borderId="0" xfId="6" applyNumberFormat="1" applyFont="1" applyBorder="1" applyAlignment="1">
      <alignment horizontal="center"/>
    </xf>
    <xf numFmtId="0" fontId="16" fillId="0" borderId="0" xfId="6" applyFont="1" applyBorder="1"/>
    <xf numFmtId="0" fontId="16" fillId="0" borderId="0" xfId="11" applyFont="1" applyFill="1" applyBorder="1" applyAlignment="1"/>
    <xf numFmtId="0" fontId="26" fillId="0" borderId="1" xfId="0" applyFont="1" applyFill="1" applyBorder="1"/>
    <xf numFmtId="0" fontId="0" fillId="0" borderId="0" xfId="0" applyFont="1"/>
    <xf numFmtId="0" fontId="0" fillId="14" borderId="0" xfId="0" applyFont="1" applyFill="1"/>
    <xf numFmtId="0" fontId="0" fillId="0" borderId="1" xfId="0" applyFont="1" applyBorder="1"/>
    <xf numFmtId="0" fontId="0" fillId="0" borderId="0" xfId="0" applyFont="1" applyBorder="1"/>
    <xf numFmtId="0" fontId="0" fillId="0" borderId="9" xfId="0" applyFont="1" applyBorder="1"/>
    <xf numFmtId="0" fontId="0" fillId="0" borderId="15" xfId="0" applyFont="1" applyBorder="1"/>
    <xf numFmtId="0" fontId="25" fillId="0" borderId="1" xfId="6" applyFont="1" applyBorder="1" applyAlignment="1">
      <alignment horizontal="center"/>
    </xf>
    <xf numFmtId="49" fontId="25" fillId="0" borderId="1" xfId="6" applyNumberFormat="1" applyFont="1" applyBorder="1" applyAlignment="1">
      <alignment horizontal="center"/>
    </xf>
    <xf numFmtId="0" fontId="16" fillId="0" borderId="1" xfId="6" applyNumberFormat="1" applyFont="1" applyBorder="1" applyAlignment="1">
      <alignment horizontal="center"/>
    </xf>
    <xf numFmtId="0" fontId="16" fillId="0" borderId="1" xfId="6" applyNumberFormat="1" applyFont="1" applyFill="1" applyBorder="1" applyAlignment="1">
      <alignment horizontal="center"/>
    </xf>
    <xf numFmtId="0" fontId="25" fillId="0" borderId="0" xfId="6" applyFont="1" applyBorder="1" applyAlignment="1">
      <alignment horizontal="center"/>
    </xf>
    <xf numFmtId="49" fontId="25" fillId="0" borderId="0" xfId="6" applyNumberFormat="1" applyFont="1" applyBorder="1" applyAlignment="1">
      <alignment horizontal="center"/>
    </xf>
    <xf numFmtId="0" fontId="25" fillId="0" borderId="0" xfId="6" applyFont="1" applyAlignment="1">
      <alignment horizontal="center"/>
    </xf>
    <xf numFmtId="0" fontId="25" fillId="0" borderId="0" xfId="0" applyFont="1" applyAlignment="1">
      <alignment horizontal="center"/>
    </xf>
    <xf numFmtId="0" fontId="0" fillId="0" borderId="0" xfId="0" applyFont="1" applyAlignment="1">
      <alignment horizontal="right"/>
    </xf>
    <xf numFmtId="0" fontId="16" fillId="5" borderId="1" xfId="6" applyFont="1" applyFill="1" applyBorder="1" applyAlignment="1">
      <alignment horizontal="center"/>
    </xf>
    <xf numFmtId="0" fontId="16" fillId="5" borderId="1" xfId="6" applyNumberFormat="1" applyFont="1" applyFill="1" applyBorder="1" applyAlignment="1">
      <alignment horizontal="center"/>
    </xf>
    <xf numFmtId="0" fontId="16" fillId="4" borderId="1" xfId="6" applyNumberFormat="1" applyFont="1" applyFill="1" applyBorder="1" applyAlignment="1">
      <alignment horizontal="center"/>
    </xf>
    <xf numFmtId="0" fontId="16" fillId="4" borderId="1" xfId="6" applyFont="1" applyFill="1" applyBorder="1" applyAlignment="1">
      <alignment horizontal="center"/>
    </xf>
    <xf numFmtId="0" fontId="16" fillId="5" borderId="19" xfId="6" applyFont="1" applyFill="1" applyBorder="1" applyAlignment="1">
      <alignment horizontal="center"/>
    </xf>
    <xf numFmtId="0" fontId="16" fillId="0" borderId="20" xfId="6" applyFont="1" applyBorder="1" applyAlignment="1">
      <alignment horizontal="center"/>
    </xf>
    <xf numFmtId="0" fontId="16" fillId="0" borderId="19" xfId="6" applyFont="1" applyBorder="1" applyAlignment="1">
      <alignment horizontal="center"/>
    </xf>
    <xf numFmtId="0" fontId="25" fillId="0" borderId="0" xfId="6" applyFont="1" applyBorder="1" applyAlignment="1">
      <alignment horizontal="right"/>
    </xf>
    <xf numFmtId="0" fontId="0" fillId="0" borderId="3" xfId="0" applyFont="1" applyBorder="1"/>
    <xf numFmtId="0" fontId="16" fillId="0" borderId="28" xfId="6" applyFont="1" applyBorder="1" applyAlignment="1">
      <alignment horizontal="center"/>
    </xf>
    <xf numFmtId="0" fontId="16" fillId="0" borderId="3" xfId="6" applyNumberFormat="1" applyFont="1" applyFill="1" applyBorder="1" applyAlignment="1">
      <alignment horizontal="center"/>
    </xf>
    <xf numFmtId="0" fontId="16" fillId="0" borderId="3" xfId="6" applyFont="1" applyFill="1" applyBorder="1" applyAlignment="1">
      <alignment horizontal="center"/>
    </xf>
    <xf numFmtId="0" fontId="2" fillId="0" borderId="3" xfId="6" applyFont="1" applyBorder="1"/>
    <xf numFmtId="0" fontId="16" fillId="0" borderId="3" xfId="6" applyFont="1" applyBorder="1" applyAlignment="1">
      <alignment horizontal="center"/>
    </xf>
    <xf numFmtId="0" fontId="2" fillId="0" borderId="3" xfId="6" applyFont="1" applyFill="1" applyBorder="1"/>
    <xf numFmtId="0" fontId="16" fillId="17" borderId="1" xfId="6" applyNumberFormat="1" applyFont="1" applyFill="1" applyBorder="1" applyAlignment="1">
      <alignment horizontal="center"/>
    </xf>
    <xf numFmtId="0" fontId="16" fillId="17" borderId="1" xfId="6" applyFont="1" applyFill="1" applyBorder="1" applyAlignment="1">
      <alignment horizontal="center"/>
    </xf>
    <xf numFmtId="0" fontId="37" fillId="0" borderId="0" xfId="6" applyFont="1" applyAlignment="1"/>
    <xf numFmtId="0" fontId="16" fillId="0" borderId="1" xfId="6" applyFont="1" applyFill="1" applyBorder="1" applyAlignment="1">
      <alignment horizontal="center"/>
    </xf>
    <xf numFmtId="0" fontId="16" fillId="0" borderId="19" xfId="6" applyFont="1" applyFill="1" applyBorder="1" applyAlignment="1">
      <alignment horizontal="center"/>
    </xf>
    <xf numFmtId="0" fontId="16" fillId="0" borderId="20" xfId="6" applyFont="1" applyFill="1" applyBorder="1" applyAlignment="1">
      <alignment horizontal="center"/>
    </xf>
    <xf numFmtId="0" fontId="25" fillId="0" borderId="1" xfId="6" applyFont="1" applyBorder="1" applyAlignment="1">
      <alignment horizontal="right"/>
    </xf>
    <xf numFmtId="0" fontId="16" fillId="0" borderId="0" xfId="6" applyFont="1" applyAlignment="1">
      <alignment horizontal="right"/>
    </xf>
    <xf numFmtId="0" fontId="16" fillId="0" borderId="0" xfId="6" applyFont="1" applyBorder="1" applyAlignment="1">
      <alignment horizontal="right"/>
    </xf>
    <xf numFmtId="49" fontId="16" fillId="0" borderId="11" xfId="6" applyNumberFormat="1" applyFont="1" applyBorder="1" applyAlignment="1"/>
    <xf numFmtId="0" fontId="16" fillId="0" borderId="5" xfId="6" applyFont="1" applyFill="1" applyBorder="1" applyAlignment="1">
      <alignment horizontal="center"/>
    </xf>
    <xf numFmtId="0" fontId="2" fillId="0" borderId="18" xfId="6" applyFont="1" applyFill="1" applyBorder="1"/>
    <xf numFmtId="0" fontId="16" fillId="0" borderId="18" xfId="6" applyFont="1" applyFill="1" applyBorder="1" applyAlignment="1">
      <alignment horizontal="center"/>
    </xf>
    <xf numFmtId="0" fontId="16" fillId="0" borderId="18" xfId="6" applyNumberFormat="1" applyFont="1" applyFill="1" applyBorder="1" applyAlignment="1">
      <alignment horizontal="center"/>
    </xf>
    <xf numFmtId="0" fontId="16" fillId="5" borderId="20" xfId="6" applyFont="1" applyFill="1" applyBorder="1" applyAlignment="1">
      <alignment horizontal="center"/>
    </xf>
    <xf numFmtId="49" fontId="16" fillId="0" borderId="11" xfId="6" applyNumberFormat="1" applyFont="1" applyFill="1" applyBorder="1" applyAlignment="1"/>
    <xf numFmtId="0" fontId="16" fillId="18" borderId="1" xfId="6" applyFont="1" applyFill="1" applyBorder="1" applyAlignment="1">
      <alignment horizontal="center"/>
    </xf>
    <xf numFmtId="0" fontId="49" fillId="0" borderId="1" xfId="13" applyFont="1" applyFill="1" applyBorder="1" applyAlignment="1">
      <alignment horizontal="center"/>
    </xf>
    <xf numFmtId="0" fontId="16" fillId="0" borderId="16" xfId="11" applyFont="1" applyBorder="1" applyAlignment="1"/>
    <xf numFmtId="0" fontId="16" fillId="0" borderId="11" xfId="11" applyFont="1" applyBorder="1" applyAlignment="1"/>
    <xf numFmtId="0" fontId="16" fillId="0" borderId="0" xfId="11" applyFont="1" applyAlignment="1"/>
    <xf numFmtId="0" fontId="1" fillId="13" borderId="0" xfId="13" applyFont="1" applyFill="1" applyBorder="1" applyAlignment="1">
      <alignment horizontal="center"/>
    </xf>
    <xf numFmtId="0" fontId="2" fillId="13" borderId="0" xfId="13" applyFont="1" applyFill="1" applyBorder="1" applyAlignment="1">
      <alignment horizontal="center"/>
    </xf>
    <xf numFmtId="0" fontId="2" fillId="19" borderId="0" xfId="13" applyFont="1" applyFill="1" applyBorder="1" applyAlignment="1"/>
    <xf numFmtId="0" fontId="2" fillId="20" borderId="0" xfId="13" applyFont="1" applyFill="1" applyBorder="1" applyAlignment="1"/>
    <xf numFmtId="0" fontId="16" fillId="0" borderId="1" xfId="11" applyFont="1" applyFill="1" applyBorder="1" applyAlignment="1"/>
    <xf numFmtId="0" fontId="16" fillId="0" borderId="1" xfId="11" applyFont="1" applyFill="1" applyBorder="1"/>
    <xf numFmtId="0" fontId="0" fillId="12" borderId="0" xfId="0" applyFont="1" applyFill="1"/>
    <xf numFmtId="49" fontId="16" fillId="0" borderId="1" xfId="16" applyNumberFormat="1" applyFont="1" applyFill="1" applyBorder="1" applyAlignment="1">
      <alignment horizontal="center"/>
    </xf>
    <xf numFmtId="0" fontId="16" fillId="0" borderId="1" xfId="8" applyFont="1" applyFill="1" applyBorder="1" applyAlignment="1"/>
    <xf numFmtId="0" fontId="16" fillId="0" borderId="0" xfId="8" applyFont="1" applyFill="1" applyAlignment="1"/>
    <xf numFmtId="0" fontId="16" fillId="0" borderId="16" xfId="8" applyFont="1" applyFill="1" applyBorder="1" applyAlignment="1"/>
    <xf numFmtId="0" fontId="0" fillId="0" borderId="8" xfId="0" applyFont="1" applyBorder="1"/>
    <xf numFmtId="0" fontId="0" fillId="0" borderId="0" xfId="0" applyFont="1" applyBorder="1" applyAlignment="1">
      <alignment horizontal="left"/>
    </xf>
    <xf numFmtId="0" fontId="0" fillId="0" borderId="18" xfId="0" applyFont="1" applyBorder="1"/>
    <xf numFmtId="0" fontId="0" fillId="0" borderId="10" xfId="0" applyFont="1" applyBorder="1"/>
    <xf numFmtId="0" fontId="0" fillId="0" borderId="2" xfId="0" applyFont="1" applyBorder="1" applyAlignment="1">
      <alignment horizontal="left"/>
    </xf>
    <xf numFmtId="0" fontId="16" fillId="0" borderId="18" xfId="8" applyFont="1" applyFill="1" applyBorder="1" applyAlignment="1"/>
    <xf numFmtId="0" fontId="16" fillId="0" borderId="1" xfId="8" applyFont="1" applyFill="1" applyBorder="1"/>
    <xf numFmtId="0" fontId="16" fillId="0" borderId="1" xfId="16" applyFont="1" applyFill="1" applyBorder="1" applyAlignment="1"/>
    <xf numFmtId="0" fontId="16" fillId="0" borderId="0" xfId="8" applyFont="1" applyAlignment="1"/>
    <xf numFmtId="0" fontId="16" fillId="0" borderId="15" xfId="8" applyFont="1" applyBorder="1" applyAlignment="1"/>
    <xf numFmtId="0" fontId="16" fillId="0" borderId="0" xfId="8" applyFont="1" applyAlignment="1"/>
    <xf numFmtId="0" fontId="16" fillId="0" borderId="1" xfId="13" applyFont="1" applyFill="1" applyBorder="1" applyAlignment="1"/>
    <xf numFmtId="0" fontId="25" fillId="0" borderId="0" xfId="13" applyFont="1" applyFill="1" applyBorder="1" applyAlignment="1"/>
    <xf numFmtId="49" fontId="16" fillId="0" borderId="1" xfId="16" applyNumberFormat="1" applyFont="1" applyFill="1" applyBorder="1" applyAlignment="1">
      <alignment horizontal="center"/>
    </xf>
    <xf numFmtId="0" fontId="16" fillId="0" borderId="1" xfId="11" applyFont="1" applyFill="1" applyBorder="1"/>
    <xf numFmtId="0" fontId="16" fillId="0" borderId="1" xfId="11" applyFont="1" applyFill="1" applyBorder="1" applyAlignment="1"/>
    <xf numFmtId="0" fontId="16" fillId="0" borderId="1" xfId="16" applyFont="1" applyFill="1" applyBorder="1" applyAlignment="1"/>
    <xf numFmtId="0" fontId="16" fillId="0" borderId="1" xfId="11" applyFont="1" applyFill="1" applyBorder="1" applyAlignment="1">
      <alignment wrapText="1"/>
    </xf>
    <xf numFmtId="0" fontId="16" fillId="0" borderId="0" xfId="11" applyFont="1" applyAlignment="1"/>
    <xf numFmtId="0" fontId="25" fillId="0" borderId="1" xfId="11" applyFont="1" applyFill="1" applyBorder="1" applyAlignment="1"/>
    <xf numFmtId="0" fontId="2" fillId="21" borderId="1" xfId="13" applyFont="1" applyFill="1" applyBorder="1" applyAlignment="1">
      <alignment horizontal="center"/>
    </xf>
    <xf numFmtId="0" fontId="4" fillId="21" borderId="1" xfId="13" applyFont="1" applyFill="1" applyBorder="1" applyAlignment="1">
      <alignment horizontal="center"/>
    </xf>
    <xf numFmtId="0" fontId="31" fillId="21" borderId="1" xfId="13" applyFont="1" applyFill="1" applyBorder="1" applyAlignment="1">
      <alignment horizontal="center"/>
    </xf>
    <xf numFmtId="0" fontId="2" fillId="18" borderId="1" xfId="13" applyFont="1" applyFill="1" applyBorder="1" applyAlignment="1">
      <alignment horizontal="center"/>
    </xf>
    <xf numFmtId="0" fontId="4" fillId="18" borderId="1" xfId="13" applyFont="1" applyFill="1" applyBorder="1" applyAlignment="1">
      <alignment horizontal="center"/>
    </xf>
    <xf numFmtId="0" fontId="31" fillId="18" borderId="1" xfId="13" applyFont="1" applyFill="1" applyBorder="1" applyAlignment="1">
      <alignment horizontal="center"/>
    </xf>
    <xf numFmtId="0" fontId="25" fillId="0" borderId="1" xfId="13" applyFont="1" applyFill="1" applyBorder="1" applyAlignment="1">
      <alignment horizontal="center"/>
    </xf>
    <xf numFmtId="0" fontId="1" fillId="9" borderId="1" xfId="13" applyFont="1" applyFill="1" applyBorder="1" applyAlignment="1">
      <alignment horizontal="center"/>
    </xf>
    <xf numFmtId="164" fontId="29" fillId="0" borderId="48" xfId="13" applyNumberFormat="1" applyFont="1" applyFill="1" applyBorder="1" applyAlignment="1">
      <alignment horizontal="center"/>
    </xf>
    <xf numFmtId="164" fontId="2" fillId="0" borderId="49" xfId="7" applyNumberFormat="1" applyFont="1" applyFill="1" applyBorder="1" applyAlignment="1">
      <alignment horizontal="center"/>
    </xf>
    <xf numFmtId="164" fontId="2" fillId="0" borderId="50" xfId="7" applyNumberFormat="1" applyFont="1" applyFill="1" applyBorder="1" applyAlignment="1">
      <alignment horizontal="center"/>
    </xf>
    <xf numFmtId="164" fontId="2" fillId="0" borderId="51" xfId="7" applyNumberFormat="1" applyFont="1" applyFill="1" applyBorder="1" applyAlignment="1">
      <alignment horizontal="center"/>
    </xf>
    <xf numFmtId="0" fontId="0" fillId="0" borderId="1" xfId="0" applyNumberFormat="1" applyFont="1" applyFill="1" applyBorder="1" applyAlignment="1"/>
    <xf numFmtId="0" fontId="25" fillId="5" borderId="0" xfId="6" quotePrefix="1" applyNumberFormat="1" applyFont="1" applyFill="1" applyAlignment="1"/>
    <xf numFmtId="0" fontId="16" fillId="5" borderId="0" xfId="6" applyNumberFormat="1" applyFont="1" applyFill="1" applyAlignment="1"/>
    <xf numFmtId="0" fontId="29" fillId="12" borderId="0" xfId="0" applyFont="1" applyFill="1"/>
    <xf numFmtId="0" fontId="16" fillId="7" borderId="1" xfId="1" applyFont="1" applyFill="1" applyBorder="1" applyAlignment="1"/>
    <xf numFmtId="0" fontId="17" fillId="7" borderId="1" xfId="1" applyFont="1" applyFill="1" applyBorder="1" applyAlignment="1"/>
    <xf numFmtId="0" fontId="17" fillId="0" borderId="1" xfId="1" applyFont="1" applyBorder="1" applyAlignment="1"/>
    <xf numFmtId="0" fontId="0" fillId="0" borderId="1" xfId="0" applyFont="1" applyBorder="1"/>
    <xf numFmtId="0" fontId="0" fillId="9" borderId="1" xfId="0" applyFont="1" applyFill="1" applyBorder="1" applyAlignment="1"/>
    <xf numFmtId="0" fontId="0" fillId="9" borderId="1" xfId="0" applyFont="1" applyFill="1" applyBorder="1"/>
    <xf numFmtId="0" fontId="0" fillId="0" borderId="1" xfId="0" applyFont="1" applyFill="1" applyBorder="1" applyAlignment="1"/>
    <xf numFmtId="0" fontId="0" fillId="0" borderId="1" xfId="0" applyFont="1" applyBorder="1" applyAlignment="1"/>
    <xf numFmtId="0" fontId="0" fillId="0" borderId="1" xfId="0" applyFont="1" applyFill="1" applyBorder="1"/>
    <xf numFmtId="164" fontId="2" fillId="9" borderId="39" xfId="7" applyNumberFormat="1" applyFont="1" applyFill="1" applyBorder="1" applyAlignment="1">
      <alignment horizontal="center"/>
    </xf>
    <xf numFmtId="164" fontId="2" fillId="9" borderId="38" xfId="7" applyNumberFormat="1" applyFont="1" applyFill="1" applyBorder="1" applyAlignment="1">
      <alignment horizontal="center"/>
    </xf>
    <xf numFmtId="0" fontId="1" fillId="21" borderId="1" xfId="13" applyFont="1" applyFill="1" applyBorder="1" applyAlignment="1">
      <alignment horizontal="center"/>
    </xf>
    <xf numFmtId="0" fontId="0" fillId="4" borderId="0" xfId="0" applyFont="1" applyFill="1"/>
    <xf numFmtId="0" fontId="32" fillId="8" borderId="17" xfId="1" applyFont="1" applyFill="1" applyBorder="1" applyAlignment="1"/>
    <xf numFmtId="0" fontId="32" fillId="8" borderId="3" xfId="1" applyFont="1" applyFill="1" applyBorder="1" applyAlignment="1"/>
    <xf numFmtId="0" fontId="32" fillId="8" borderId="4" xfId="1" applyFont="1" applyFill="1" applyBorder="1" applyAlignment="1"/>
    <xf numFmtId="0" fontId="17" fillId="8" borderId="25" xfId="1" applyFill="1" applyBorder="1" applyAlignment="1"/>
    <xf numFmtId="0" fontId="17" fillId="8" borderId="34" xfId="1" applyFill="1" applyBorder="1" applyAlignment="1"/>
    <xf numFmtId="0" fontId="17" fillId="8" borderId="35" xfId="1" applyFill="1" applyBorder="1" applyAlignment="1"/>
    <xf numFmtId="0" fontId="43" fillId="7" borderId="36" xfId="1" applyFont="1" applyFill="1" applyBorder="1" applyAlignment="1"/>
    <xf numFmtId="0" fontId="43" fillId="7" borderId="28" xfId="1" applyFont="1" applyFill="1" applyBorder="1" applyAlignment="1"/>
    <xf numFmtId="0" fontId="43" fillId="7" borderId="37" xfId="1" applyFont="1" applyFill="1" applyBorder="1" applyAlignment="1"/>
    <xf numFmtId="0" fontId="16" fillId="7" borderId="17" xfId="13" applyFont="1" applyFill="1" applyBorder="1" applyAlignment="1"/>
    <xf numFmtId="0" fontId="16" fillId="7" borderId="4" xfId="13" applyFont="1" applyFill="1" applyBorder="1" applyAlignment="1"/>
    <xf numFmtId="0" fontId="17" fillId="7" borderId="17" xfId="1" applyFill="1" applyBorder="1" applyAlignment="1"/>
    <xf numFmtId="0" fontId="43" fillId="7" borderId="17" xfId="1" applyFont="1" applyFill="1" applyBorder="1" applyAlignment="1"/>
    <xf numFmtId="0" fontId="17" fillId="7" borderId="4" xfId="1" applyFill="1" applyBorder="1" applyAlignment="1"/>
    <xf numFmtId="0" fontId="43" fillId="7" borderId="4" xfId="1" applyFont="1" applyFill="1" applyBorder="1" applyAlignment="1"/>
    <xf numFmtId="0" fontId="50" fillId="0" borderId="1" xfId="13" applyFont="1" applyFill="1" applyBorder="1" applyAlignment="1">
      <alignment horizontal="center"/>
    </xf>
    <xf numFmtId="0" fontId="51" fillId="7" borderId="1" xfId="13" applyFont="1" applyFill="1" applyBorder="1" applyAlignment="1">
      <alignment horizontal="center"/>
    </xf>
    <xf numFmtId="0" fontId="51" fillId="8" borderId="1" xfId="13" applyFont="1" applyFill="1" applyBorder="1" applyAlignment="1">
      <alignment horizontal="center"/>
    </xf>
    <xf numFmtId="0" fontId="52" fillId="0" borderId="1" xfId="13" applyFont="1" applyFill="1" applyBorder="1" applyAlignment="1"/>
    <xf numFmtId="1" fontId="53" fillId="0" borderId="1" xfId="13" applyNumberFormat="1" applyFont="1" applyFill="1" applyBorder="1" applyAlignment="1">
      <alignment horizontal="right"/>
    </xf>
    <xf numFmtId="0" fontId="50" fillId="5" borderId="8" xfId="13" applyFont="1" applyFill="1" applyBorder="1" applyAlignment="1">
      <alignment horizontal="center"/>
    </xf>
    <xf numFmtId="0" fontId="53" fillId="0" borderId="1" xfId="13" applyNumberFormat="1" applyFont="1" applyFill="1" applyBorder="1" applyAlignment="1">
      <alignment horizontal="center"/>
    </xf>
    <xf numFmtId="0" fontId="54" fillId="15" borderId="1" xfId="13" applyFont="1" applyFill="1" applyBorder="1" applyAlignment="1">
      <alignment horizontal="center"/>
    </xf>
    <xf numFmtId="0" fontId="31" fillId="15" borderId="1" xfId="13" applyFont="1" applyFill="1" applyBorder="1" applyAlignment="1"/>
    <xf numFmtId="0" fontId="50" fillId="15" borderId="1" xfId="13" applyFont="1" applyFill="1" applyBorder="1" applyAlignment="1"/>
    <xf numFmtId="0" fontId="16" fillId="0" borderId="8" xfId="19" applyFont="1" applyBorder="1" applyAlignment="1"/>
    <xf numFmtId="0" fontId="25" fillId="12" borderId="3" xfId="19" applyFont="1" applyFill="1" applyBorder="1" applyAlignment="1">
      <alignment horizontal="center"/>
    </xf>
    <xf numFmtId="0" fontId="25" fillId="12" borderId="4" xfId="19" applyFont="1" applyFill="1" applyBorder="1" applyAlignment="1">
      <alignment horizontal="center"/>
    </xf>
    <xf numFmtId="0" fontId="25" fillId="9" borderId="3" xfId="19" applyFont="1" applyFill="1" applyBorder="1" applyAlignment="1">
      <alignment horizontal="center"/>
    </xf>
    <xf numFmtId="0" fontId="25" fillId="0" borderId="3" xfId="19" applyFont="1" applyFill="1" applyBorder="1" applyAlignment="1">
      <alignment horizontal="center"/>
    </xf>
    <xf numFmtId="0" fontId="25" fillId="0" borderId="1" xfId="19" applyFont="1" applyFill="1" applyBorder="1" applyAlignment="1">
      <alignment horizontal="center"/>
    </xf>
    <xf numFmtId="0" fontId="16" fillId="0" borderId="1" xfId="19" applyFont="1" applyBorder="1" applyAlignment="1">
      <alignment horizontal="center"/>
    </xf>
    <xf numFmtId="0" fontId="16" fillId="0" borderId="1" xfId="19" applyFont="1" applyBorder="1" applyAlignment="1">
      <alignment horizontal="center"/>
    </xf>
    <xf numFmtId="49" fontId="16" fillId="0" borderId="1" xfId="19" applyNumberFormat="1" applyFont="1" applyFill="1" applyBorder="1" applyAlignment="1">
      <alignment horizontal="center"/>
    </xf>
    <xf numFmtId="0" fontId="16" fillId="0" borderId="8" xfId="19" applyFont="1" applyBorder="1" applyAlignment="1">
      <alignment horizontal="right"/>
    </xf>
    <xf numFmtId="49" fontId="0" fillId="0" borderId="1" xfId="0" applyNumberFormat="1" applyFont="1" applyBorder="1" applyAlignment="1">
      <alignment horizontal="center"/>
    </xf>
    <xf numFmtId="0" fontId="25" fillId="0" borderId="17" xfId="19" applyFont="1" applyFill="1" applyBorder="1" applyAlignment="1">
      <alignment horizontal="center"/>
    </xf>
    <xf numFmtId="0" fontId="25" fillId="0" borderId="4" xfId="19" applyFont="1" applyFill="1" applyBorder="1" applyAlignment="1">
      <alignment horizontal="center"/>
    </xf>
    <xf numFmtId="0" fontId="25" fillId="0" borderId="1" xfId="0" applyFont="1" applyBorder="1"/>
    <xf numFmtId="0" fontId="25" fillId="0" borderId="1" xfId="0" applyFont="1" applyBorder="1" applyAlignment="1">
      <alignment horizontal="center"/>
    </xf>
    <xf numFmtId="0" fontId="0" fillId="10" borderId="1" xfId="0" applyFont="1" applyFill="1" applyBorder="1" applyAlignment="1">
      <alignment horizontal="center"/>
    </xf>
    <xf numFmtId="0" fontId="0" fillId="0" borderId="1" xfId="0" applyFont="1" applyBorder="1" applyAlignment="1">
      <alignment horizontal="center"/>
    </xf>
    <xf numFmtId="0" fontId="2" fillId="0" borderId="1" xfId="0" applyFont="1" applyBorder="1" applyAlignment="1">
      <alignment horizontal="center"/>
    </xf>
    <xf numFmtId="0" fontId="25" fillId="0" borderId="0" xfId="0" applyFont="1" applyBorder="1"/>
    <xf numFmtId="0" fontId="2" fillId="0" borderId="0" xfId="0" applyFont="1" applyBorder="1" applyAlignment="1"/>
    <xf numFmtId="0" fontId="0" fillId="0" borderId="0" xfId="0" applyFont="1" applyBorder="1" applyAlignment="1">
      <alignment horizontal="center"/>
    </xf>
    <xf numFmtId="0" fontId="2" fillId="0" borderId="0" xfId="0" applyFont="1" applyBorder="1" applyAlignment="1">
      <alignment horizontal="center"/>
    </xf>
    <xf numFmtId="49" fontId="0" fillId="0" borderId="0" xfId="0" applyNumberFormat="1" applyFont="1" applyBorder="1" applyAlignment="1">
      <alignment horizontal="center"/>
    </xf>
    <xf numFmtId="0" fontId="16" fillId="0" borderId="0" xfId="19" applyFont="1" applyBorder="1" applyAlignment="1"/>
    <xf numFmtId="0" fontId="25" fillId="12" borderId="17" xfId="19" applyFont="1" applyFill="1" applyBorder="1" applyAlignment="1">
      <alignment horizontal="center"/>
    </xf>
    <xf numFmtId="0" fontId="16" fillId="12" borderId="17" xfId="19" applyFont="1" applyFill="1" applyBorder="1" applyAlignment="1"/>
    <xf numFmtId="0" fontId="0" fillId="0" borderId="3" xfId="0" applyFont="1" applyFill="1" applyBorder="1"/>
    <xf numFmtId="0" fontId="0" fillId="0" borderId="4" xfId="0" applyFont="1" applyFill="1" applyBorder="1"/>
    <xf numFmtId="0" fontId="16" fillId="0" borderId="17" xfId="19" applyFont="1" applyFill="1" applyBorder="1" applyAlignment="1"/>
    <xf numFmtId="0" fontId="0" fillId="0" borderId="0" xfId="0" applyFont="1" applyBorder="1" applyAlignment="1">
      <alignment horizontal="right"/>
    </xf>
    <xf numFmtId="0" fontId="1" fillId="0" borderId="1" xfId="0" applyFont="1" applyBorder="1" applyAlignment="1">
      <alignment horizontal="center"/>
    </xf>
    <xf numFmtId="0" fontId="25" fillId="23" borderId="0" xfId="0" applyFont="1" applyFill="1" applyBorder="1"/>
    <xf numFmtId="0" fontId="2" fillId="23" borderId="0" xfId="0" applyFont="1" applyFill="1" applyBorder="1" applyAlignment="1"/>
    <xf numFmtId="0" fontId="0" fillId="23" borderId="0" xfId="0" applyFont="1" applyFill="1" applyBorder="1" applyAlignment="1">
      <alignment horizontal="center"/>
    </xf>
    <xf numFmtId="0" fontId="2" fillId="23" borderId="0" xfId="0" applyFont="1" applyFill="1" applyBorder="1" applyAlignment="1">
      <alignment horizontal="center"/>
    </xf>
    <xf numFmtId="49" fontId="0" fillId="23" borderId="0" xfId="0" applyNumberFormat="1" applyFont="1" applyFill="1" applyBorder="1" applyAlignment="1">
      <alignment horizontal="center"/>
    </xf>
    <xf numFmtId="0" fontId="0" fillId="23" borderId="0" xfId="0" applyFont="1" applyFill="1"/>
    <xf numFmtId="16" fontId="25" fillId="0" borderId="1" xfId="0" applyNumberFormat="1" applyFont="1" applyBorder="1" applyAlignment="1">
      <alignment horizontal="center"/>
    </xf>
    <xf numFmtId="0" fontId="25" fillId="0" borderId="3" xfId="0" applyFont="1" applyFill="1" applyBorder="1" applyAlignment="1">
      <alignment horizontal="center"/>
    </xf>
    <xf numFmtId="0" fontId="25" fillId="11" borderId="17" xfId="19" applyFont="1" applyFill="1" applyBorder="1" applyAlignment="1">
      <alignment horizontal="center"/>
    </xf>
    <xf numFmtId="0" fontId="0" fillId="11" borderId="3" xfId="0" applyFont="1" applyFill="1" applyBorder="1"/>
    <xf numFmtId="0" fontId="25" fillId="11" borderId="3" xfId="0" applyFont="1" applyFill="1" applyBorder="1" applyAlignment="1">
      <alignment horizontal="center"/>
    </xf>
    <xf numFmtId="0" fontId="0" fillId="11" borderId="4" xfId="0" applyFont="1" applyFill="1" applyBorder="1"/>
    <xf numFmtId="0" fontId="16" fillId="11" borderId="17" xfId="19" applyFont="1" applyFill="1" applyBorder="1" applyAlignment="1"/>
    <xf numFmtId="0" fontId="25" fillId="22" borderId="17" xfId="19" applyFont="1" applyFill="1" applyBorder="1" applyAlignment="1">
      <alignment horizontal="center"/>
    </xf>
    <xf numFmtId="0" fontId="0" fillId="22" borderId="3" xfId="0" applyFont="1" applyFill="1" applyBorder="1"/>
    <xf numFmtId="0" fontId="25" fillId="22" borderId="3" xfId="0" applyFont="1" applyFill="1" applyBorder="1" applyAlignment="1">
      <alignment horizontal="center"/>
    </xf>
    <xf numFmtId="0" fontId="0" fillId="22" borderId="4" xfId="0" applyFont="1" applyFill="1" applyBorder="1"/>
    <xf numFmtId="0" fontId="0" fillId="0" borderId="0" xfId="0" quotePrefix="1" applyFont="1" applyAlignment="1">
      <alignment horizontal="left"/>
    </xf>
    <xf numFmtId="0" fontId="25" fillId="9" borderId="17" xfId="19" applyFont="1" applyFill="1" applyBorder="1" applyAlignment="1">
      <alignment horizontal="center"/>
    </xf>
    <xf numFmtId="0" fontId="0" fillId="9" borderId="3" xfId="0" applyFont="1" applyFill="1" applyBorder="1"/>
    <xf numFmtId="0" fontId="25" fillId="9" borderId="3" xfId="0" applyFont="1" applyFill="1" applyBorder="1" applyAlignment="1">
      <alignment horizontal="center"/>
    </xf>
    <xf numFmtId="0" fontId="0" fillId="9" borderId="4" xfId="0" applyFont="1" applyFill="1" applyBorder="1"/>
    <xf numFmtId="0" fontId="16" fillId="9" borderId="17" xfId="19" applyFont="1" applyFill="1" applyBorder="1" applyAlignment="1"/>
    <xf numFmtId="0" fontId="16" fillId="12" borderId="3" xfId="19" applyFont="1" applyFill="1" applyBorder="1" applyAlignment="1"/>
    <xf numFmtId="0" fontId="16" fillId="9" borderId="3" xfId="19" applyFont="1" applyFill="1" applyBorder="1" applyAlignment="1"/>
    <xf numFmtId="0" fontId="16" fillId="0" borderId="3" xfId="19" applyFont="1" applyFill="1" applyBorder="1" applyAlignment="1"/>
    <xf numFmtId="0" fontId="25" fillId="22" borderId="3" xfId="19" applyFont="1" applyFill="1" applyBorder="1" applyAlignment="1">
      <alignment horizontal="center"/>
    </xf>
    <xf numFmtId="0" fontId="16" fillId="22" borderId="3" xfId="19" applyFont="1" applyFill="1" applyBorder="1" applyAlignment="1"/>
    <xf numFmtId="0" fontId="16" fillId="12" borderId="4" xfId="19" applyFont="1" applyFill="1" applyBorder="1" applyAlignment="1"/>
    <xf numFmtId="0" fontId="25" fillId="0" borderId="17" xfId="0" applyFont="1" applyBorder="1"/>
    <xf numFmtId="0" fontId="25" fillId="0" borderId="4" xfId="0" applyFont="1" applyBorder="1"/>
    <xf numFmtId="0" fontId="0" fillId="0" borderId="4" xfId="0" applyFont="1" applyBorder="1" applyAlignment="1">
      <alignment horizontal="center"/>
    </xf>
    <xf numFmtId="0" fontId="25" fillId="22" borderId="4" xfId="19" applyFont="1" applyFill="1" applyBorder="1" applyAlignment="1">
      <alignment horizontal="center"/>
    </xf>
    <xf numFmtId="0" fontId="16" fillId="22" borderId="4" xfId="19" applyFont="1" applyFill="1" applyBorder="1" applyAlignment="1"/>
    <xf numFmtId="0" fontId="25" fillId="9" borderId="4" xfId="19" applyFont="1" applyFill="1" applyBorder="1" applyAlignment="1">
      <alignment horizontal="center"/>
    </xf>
    <xf numFmtId="0" fontId="16" fillId="9" borderId="4" xfId="19" applyFont="1" applyFill="1" applyBorder="1" applyAlignment="1"/>
    <xf numFmtId="0" fontId="16" fillId="0" borderId="4" xfId="19" applyFont="1" applyFill="1" applyBorder="1" applyAlignment="1"/>
    <xf numFmtId="0" fontId="16" fillId="22" borderId="17" xfId="19" applyFont="1" applyFill="1" applyBorder="1" applyAlignment="1"/>
    <xf numFmtId="0" fontId="2" fillId="0" borderId="4" xfId="0" applyFont="1" applyBorder="1" applyAlignment="1"/>
    <xf numFmtId="0" fontId="2" fillId="4" borderId="4" xfId="0" applyFont="1" applyFill="1" applyBorder="1" applyAlignment="1"/>
    <xf numFmtId="0" fontId="2" fillId="6" borderId="4" xfId="0" applyFont="1" applyFill="1" applyBorder="1" applyAlignment="1"/>
    <xf numFmtId="0" fontId="2" fillId="5" borderId="4" xfId="0" applyFont="1" applyFill="1" applyBorder="1" applyAlignment="1"/>
    <xf numFmtId="0" fontId="16" fillId="5" borderId="17" xfId="8" applyFont="1" applyFill="1" applyBorder="1" applyAlignment="1"/>
    <xf numFmtId="0" fontId="16" fillId="6" borderId="17" xfId="8" applyFont="1" applyFill="1" applyBorder="1" applyAlignment="1"/>
    <xf numFmtId="0" fontId="25" fillId="0" borderId="1" xfId="8" quotePrefix="1" applyFont="1" applyBorder="1" applyAlignment="1">
      <alignment horizontal="right"/>
    </xf>
    <xf numFmtId="0" fontId="16" fillId="0" borderId="17" xfId="8" applyFont="1" applyBorder="1" applyAlignment="1"/>
    <xf numFmtId="0" fontId="55" fillId="7" borderId="1" xfId="0" applyFont="1" applyFill="1" applyBorder="1"/>
    <xf numFmtId="16" fontId="25" fillId="0" borderId="1" xfId="19" quotePrefix="1" applyNumberFormat="1" applyFont="1" applyFill="1" applyBorder="1" applyAlignment="1">
      <alignment horizontal="center"/>
    </xf>
    <xf numFmtId="49" fontId="16" fillId="6" borderId="1" xfId="6" applyNumberFormat="1" applyFont="1" applyFill="1" applyBorder="1" applyAlignment="1"/>
    <xf numFmtId="0" fontId="32" fillId="6" borderId="1" xfId="1" applyFont="1" applyFill="1" applyBorder="1" applyAlignment="1"/>
    <xf numFmtId="0" fontId="0" fillId="6" borderId="1" xfId="0" applyNumberFormat="1" applyFont="1" applyFill="1" applyBorder="1" applyAlignment="1"/>
    <xf numFmtId="166" fontId="16" fillId="6" borderId="1" xfId="6" applyNumberFormat="1" applyFont="1" applyFill="1" applyBorder="1" applyAlignment="1">
      <alignment horizontal="center"/>
    </xf>
    <xf numFmtId="164" fontId="16" fillId="6" borderId="1" xfId="6" applyNumberFormat="1" applyFont="1" applyFill="1" applyBorder="1" applyAlignment="1">
      <alignment horizontal="center"/>
    </xf>
    <xf numFmtId="0" fontId="16" fillId="6" borderId="1" xfId="6" applyNumberFormat="1" applyFont="1" applyFill="1" applyBorder="1" applyAlignment="1"/>
    <xf numFmtId="0" fontId="0" fillId="0" borderId="17" xfId="0" applyFont="1" applyBorder="1" applyAlignment="1"/>
    <xf numFmtId="0" fontId="16" fillId="0" borderId="17" xfId="8" applyFont="1" applyBorder="1" applyAlignment="1"/>
    <xf numFmtId="49" fontId="16" fillId="0" borderId="1" xfId="19" applyNumberFormat="1" applyFont="1" applyFill="1" applyBorder="1" applyAlignment="1">
      <alignment horizontal="center"/>
    </xf>
    <xf numFmtId="0" fontId="25" fillId="5" borderId="17" xfId="19" applyFont="1" applyFill="1" applyBorder="1" applyAlignment="1">
      <alignment horizontal="center"/>
    </xf>
    <xf numFmtId="0" fontId="25" fillId="5" borderId="3" xfId="19" applyFont="1" applyFill="1" applyBorder="1" applyAlignment="1">
      <alignment horizontal="center"/>
    </xf>
    <xf numFmtId="0" fontId="25" fillId="5" borderId="4" xfId="19" applyFont="1" applyFill="1" applyBorder="1" applyAlignment="1">
      <alignment horizontal="center"/>
    </xf>
    <xf numFmtId="0" fontId="16" fillId="5" borderId="17" xfId="19" applyFont="1" applyFill="1" applyBorder="1" applyAlignment="1"/>
    <xf numFmtId="0" fontId="16" fillId="5" borderId="3" xfId="19" applyFont="1" applyFill="1" applyBorder="1" applyAlignment="1"/>
    <xf numFmtId="0" fontId="16" fillId="5" borderId="4" xfId="19" applyFont="1" applyFill="1" applyBorder="1" applyAlignment="1"/>
    <xf numFmtId="0" fontId="0" fillId="5" borderId="3" xfId="0" applyFont="1" applyFill="1" applyBorder="1"/>
    <xf numFmtId="0" fontId="25" fillId="5" borderId="3" xfId="0" applyFont="1" applyFill="1" applyBorder="1" applyAlignment="1">
      <alignment horizontal="center"/>
    </xf>
    <xf numFmtId="0" fontId="0" fillId="5" borderId="4" xfId="0" applyFont="1" applyFill="1" applyBorder="1"/>
    <xf numFmtId="0" fontId="16" fillId="12" borderId="0" xfId="16" applyFont="1" applyFill="1"/>
    <xf numFmtId="0" fontId="16" fillId="12" borderId="10" xfId="16" applyFont="1" applyFill="1" applyBorder="1"/>
    <xf numFmtId="0" fontId="16" fillId="11" borderId="18" xfId="16" applyFont="1" applyFill="1" applyBorder="1"/>
    <xf numFmtId="0" fontId="0" fillId="11" borderId="16" xfId="0" applyFont="1" applyFill="1" applyBorder="1"/>
    <xf numFmtId="0" fontId="16" fillId="11" borderId="0" xfId="16" applyFont="1" applyFill="1"/>
    <xf numFmtId="0" fontId="16" fillId="11" borderId="15" xfId="16" applyFont="1" applyFill="1" applyBorder="1"/>
    <xf numFmtId="0" fontId="16" fillId="9" borderId="0" xfId="16" applyFont="1" applyFill="1"/>
    <xf numFmtId="0" fontId="16" fillId="9" borderId="11" xfId="16" applyFont="1" applyFill="1" applyBorder="1"/>
    <xf numFmtId="0" fontId="16" fillId="9" borderId="16" xfId="16" applyFont="1" applyFill="1" applyBorder="1"/>
    <xf numFmtId="0" fontId="16" fillId="9" borderId="0" xfId="16" applyFont="1" applyFill="1" applyBorder="1"/>
    <xf numFmtId="0" fontId="16" fillId="9" borderId="15" xfId="16" applyFont="1" applyFill="1" applyBorder="1"/>
    <xf numFmtId="0" fontId="16" fillId="22" borderId="18" xfId="16" applyFont="1" applyFill="1" applyBorder="1"/>
    <xf numFmtId="0" fontId="0" fillId="22" borderId="16" xfId="0" applyFont="1" applyFill="1" applyBorder="1"/>
    <xf numFmtId="0" fontId="16" fillId="22" borderId="18" xfId="16" applyFont="1" applyFill="1" applyBorder="1"/>
    <xf numFmtId="0" fontId="16" fillId="22" borderId="16" xfId="16" applyFont="1" applyFill="1" applyBorder="1"/>
    <xf numFmtId="0" fontId="16" fillId="22" borderId="15" xfId="16" applyFont="1" applyFill="1" applyBorder="1"/>
    <xf numFmtId="0" fontId="25" fillId="4" borderId="17" xfId="8" applyFont="1" applyFill="1" applyBorder="1" applyAlignment="1"/>
    <xf numFmtId="0" fontId="16" fillId="22" borderId="17" xfId="19" applyFont="1" applyFill="1" applyBorder="1" applyAlignment="1"/>
    <xf numFmtId="0" fontId="16" fillId="9" borderId="17" xfId="19" applyFont="1" applyFill="1" applyBorder="1" applyAlignment="1"/>
    <xf numFmtId="0" fontId="16" fillId="12" borderId="17" xfId="19" applyFont="1" applyFill="1" applyBorder="1" applyAlignment="1"/>
    <xf numFmtId="0" fontId="16" fillId="11" borderId="17" xfId="19" applyFont="1" applyFill="1" applyBorder="1" applyAlignment="1"/>
    <xf numFmtId="0" fontId="16" fillId="0" borderId="17" xfId="19" applyFont="1" applyFill="1" applyBorder="1" applyAlignment="1"/>
    <xf numFmtId="0" fontId="16" fillId="5" borderId="17" xfId="19" applyFont="1" applyFill="1" applyBorder="1" applyAlignment="1"/>
    <xf numFmtId="164" fontId="16" fillId="6" borderId="1" xfId="6" quotePrefix="1" applyNumberFormat="1" applyFont="1" applyFill="1" applyBorder="1" applyAlignment="1">
      <alignment horizontal="center"/>
    </xf>
    <xf numFmtId="0" fontId="2" fillId="12" borderId="17" xfId="0" applyFont="1" applyFill="1" applyBorder="1" applyAlignment="1"/>
    <xf numFmtId="0" fontId="2" fillId="12" borderId="4" xfId="0" applyFont="1" applyFill="1" applyBorder="1" applyAlignment="1">
      <alignment horizontal="center"/>
    </xf>
    <xf numFmtId="0" fontId="2" fillId="22" borderId="17" xfId="0" applyFont="1" applyFill="1" applyBorder="1" applyAlignment="1"/>
    <xf numFmtId="0" fontId="2" fillId="22" borderId="4" xfId="0" applyFont="1" applyFill="1" applyBorder="1" applyAlignment="1">
      <alignment horizontal="center"/>
    </xf>
    <xf numFmtId="0" fontId="2" fillId="9" borderId="17" xfId="0" applyFont="1" applyFill="1" applyBorder="1" applyAlignment="1"/>
    <xf numFmtId="0" fontId="2" fillId="9" borderId="4" xfId="0" applyFont="1" applyFill="1" applyBorder="1" applyAlignment="1">
      <alignment horizontal="center"/>
    </xf>
    <xf numFmtId="0" fontId="0" fillId="9" borderId="17" xfId="0" applyFont="1" applyFill="1" applyBorder="1" applyAlignment="1"/>
    <xf numFmtId="0" fontId="0" fillId="9" borderId="4" xfId="0" applyFont="1" applyFill="1" applyBorder="1" applyAlignment="1">
      <alignment horizontal="center"/>
    </xf>
    <xf numFmtId="0" fontId="0" fillId="11" borderId="17" xfId="0" applyFont="1" applyFill="1" applyBorder="1" applyAlignment="1"/>
    <xf numFmtId="0" fontId="0" fillId="11" borderId="4" xfId="0" applyFont="1" applyFill="1" applyBorder="1" applyAlignment="1">
      <alignment horizontal="center"/>
    </xf>
    <xf numFmtId="0" fontId="0" fillId="5" borderId="17" xfId="0" applyFont="1" applyFill="1" applyBorder="1" applyAlignment="1"/>
    <xf numFmtId="0" fontId="0" fillId="5" borderId="4" xfId="0" applyFont="1" applyFill="1" applyBorder="1" applyAlignment="1">
      <alignment horizontal="center"/>
    </xf>
    <xf numFmtId="49" fontId="16" fillId="0" borderId="1" xfId="19" applyNumberFormat="1" applyFont="1" applyFill="1" applyBorder="1" applyAlignment="1">
      <alignment horizontal="center"/>
    </xf>
    <xf numFmtId="0" fontId="16" fillId="0" borderId="0" xfId="19" applyFont="1" applyFill="1" applyBorder="1" applyAlignment="1"/>
    <xf numFmtId="0" fontId="0" fillId="0" borderId="0" xfId="0" applyFont="1" applyFill="1" applyBorder="1"/>
    <xf numFmtId="0" fontId="16" fillId="0" borderId="1" xfId="19" applyFont="1" applyFill="1" applyBorder="1" applyAlignment="1"/>
    <xf numFmtId="0" fontId="33" fillId="0" borderId="0" xfId="6" applyFont="1" applyAlignment="1"/>
    <xf numFmtId="0" fontId="30" fillId="0" borderId="0" xfId="19" applyFont="1" applyFill="1" applyBorder="1" applyAlignment="1">
      <alignment horizontal="right"/>
    </xf>
    <xf numFmtId="0" fontId="56" fillId="0" borderId="0" xfId="0" applyFont="1" applyFill="1" applyBorder="1" applyAlignment="1">
      <alignment horizontal="right"/>
    </xf>
    <xf numFmtId="0" fontId="16" fillId="16" borderId="0" xfId="10" applyFont="1" applyFill="1" applyBorder="1" applyAlignment="1">
      <alignment horizontal="right"/>
    </xf>
    <xf numFmtId="0" fontId="28" fillId="8" borderId="7" xfId="13" applyFont="1" applyFill="1" applyBorder="1" applyAlignment="1">
      <alignment horizontal="center"/>
    </xf>
    <xf numFmtId="0" fontId="28" fillId="0" borderId="7" xfId="13" applyFont="1" applyFill="1" applyBorder="1" applyAlignment="1">
      <alignment horizontal="center"/>
    </xf>
    <xf numFmtId="0" fontId="28" fillId="7" borderId="7" xfId="13" applyFont="1" applyFill="1" applyBorder="1" applyAlignment="1">
      <alignment horizontal="center"/>
    </xf>
    <xf numFmtId="0" fontId="0" fillId="4" borderId="1" xfId="0" applyFont="1" applyFill="1" applyBorder="1" applyAlignment="1"/>
    <xf numFmtId="0" fontId="25" fillId="5" borderId="1" xfId="13" applyFont="1" applyFill="1" applyBorder="1" applyAlignment="1"/>
    <xf numFmtId="0" fontId="16" fillId="6" borderId="1" xfId="13" applyFont="1" applyFill="1" applyBorder="1" applyAlignment="1"/>
    <xf numFmtId="0" fontId="25" fillId="4" borderId="1" xfId="13" applyFont="1" applyFill="1" applyBorder="1" applyAlignment="1"/>
    <xf numFmtId="0" fontId="0" fillId="6" borderId="1" xfId="0" applyFont="1" applyFill="1" applyBorder="1" applyAlignment="1"/>
    <xf numFmtId="0" fontId="16" fillId="4" borderId="1" xfId="13" applyFont="1" applyFill="1" applyBorder="1" applyAlignment="1"/>
    <xf numFmtId="0" fontId="25" fillId="5" borderId="1" xfId="0" applyFont="1" applyFill="1" applyBorder="1" applyAlignment="1"/>
    <xf numFmtId="0" fontId="16" fillId="0" borderId="53" xfId="14" applyFont="1" applyBorder="1" applyAlignment="1"/>
    <xf numFmtId="0" fontId="25" fillId="0" borderId="53" xfId="14" applyFont="1" applyBorder="1" applyAlignment="1">
      <alignment horizontal="center"/>
    </xf>
    <xf numFmtId="0" fontId="16" fillId="0" borderId="54" xfId="14" applyFont="1" applyBorder="1" applyAlignment="1"/>
    <xf numFmtId="0" fontId="16" fillId="0" borderId="55" xfId="14" applyFont="1" applyBorder="1" applyAlignment="1"/>
    <xf numFmtId="0" fontId="16" fillId="0" borderId="56" xfId="14" applyFont="1" applyBorder="1" applyAlignment="1"/>
    <xf numFmtId="0" fontId="16" fillId="0" borderId="53" xfId="14" applyFont="1" applyFill="1" applyBorder="1" applyAlignment="1"/>
    <xf numFmtId="0" fontId="25" fillId="0" borderId="53" xfId="9" applyFont="1" applyBorder="1" applyAlignment="1"/>
    <xf numFmtId="0" fontId="25" fillId="0" borderId="55" xfId="9" applyFont="1" applyBorder="1" applyAlignment="1">
      <alignment horizontal="center"/>
    </xf>
    <xf numFmtId="0" fontId="25" fillId="0" borderId="57" xfId="9" applyFont="1" applyBorder="1" applyAlignment="1">
      <alignment horizontal="center"/>
    </xf>
    <xf numFmtId="0" fontId="25" fillId="0" borderId="58" xfId="9" applyFont="1" applyBorder="1" applyAlignment="1">
      <alignment horizontal="center"/>
    </xf>
    <xf numFmtId="0" fontId="25" fillId="0" borderId="59" xfId="9" applyFont="1" applyBorder="1" applyAlignment="1">
      <alignment horizontal="center"/>
    </xf>
    <xf numFmtId="0" fontId="25" fillId="0" borderId="55" xfId="9" applyFont="1" applyFill="1" applyBorder="1" applyAlignment="1">
      <alignment horizontal="center"/>
    </xf>
    <xf numFmtId="0" fontId="25" fillId="0" borderId="53" xfId="9" applyFont="1" applyFill="1" applyBorder="1" applyAlignment="1">
      <alignment horizontal="center"/>
    </xf>
    <xf numFmtId="0" fontId="16" fillId="0" borderId="27" xfId="9" applyFont="1" applyBorder="1" applyAlignment="1"/>
    <xf numFmtId="0" fontId="25" fillId="0" borderId="60" xfId="9" applyFont="1" applyBorder="1" applyAlignment="1"/>
    <xf numFmtId="0" fontId="16" fillId="0" borderId="60" xfId="9" applyFont="1" applyBorder="1" applyAlignment="1">
      <alignment horizontal="center"/>
    </xf>
    <xf numFmtId="0" fontId="16" fillId="0" borderId="20" xfId="9" applyFont="1" applyBorder="1" applyAlignment="1">
      <alignment horizontal="center"/>
    </xf>
    <xf numFmtId="0" fontId="16" fillId="0" borderId="36" xfId="9" applyFont="1" applyBorder="1" applyAlignment="1">
      <alignment horizontal="center"/>
    </xf>
    <xf numFmtId="0" fontId="16" fillId="0" borderId="27" xfId="9" applyFont="1" applyFill="1" applyBorder="1" applyAlignment="1">
      <alignment horizontal="center"/>
    </xf>
    <xf numFmtId="0" fontId="16" fillId="5" borderId="23" xfId="14" applyFont="1" applyFill="1" applyBorder="1" applyAlignment="1"/>
    <xf numFmtId="0" fontId="16" fillId="5" borderId="30" xfId="14" applyFont="1" applyFill="1" applyBorder="1" applyAlignment="1"/>
    <xf numFmtId="0" fontId="16" fillId="5" borderId="22" xfId="9" applyFont="1" applyFill="1" applyBorder="1" applyAlignment="1">
      <alignment horizontal="center"/>
    </xf>
    <xf numFmtId="0" fontId="16" fillId="5" borderId="1" xfId="9" applyFont="1" applyFill="1" applyBorder="1" applyAlignment="1">
      <alignment horizontal="center"/>
    </xf>
    <xf numFmtId="0" fontId="16" fillId="5" borderId="17" xfId="9" applyFont="1" applyFill="1" applyBorder="1" applyAlignment="1">
      <alignment horizontal="center"/>
    </xf>
    <xf numFmtId="0" fontId="16" fillId="5" borderId="23" xfId="9" applyFont="1" applyFill="1" applyBorder="1" applyAlignment="1">
      <alignment horizontal="center"/>
    </xf>
    <xf numFmtId="0" fontId="16" fillId="5" borderId="22" xfId="9" applyFont="1" applyFill="1" applyBorder="1" applyAlignment="1">
      <alignment horizontal="left"/>
    </xf>
    <xf numFmtId="0" fontId="16" fillId="0" borderId="17" xfId="14" applyFont="1" applyBorder="1" applyAlignment="1"/>
    <xf numFmtId="0" fontId="16" fillId="0" borderId="3" xfId="14" applyFont="1" applyBorder="1" applyAlignment="1"/>
    <xf numFmtId="0" fontId="16" fillId="0" borderId="4" xfId="14" applyFont="1" applyBorder="1" applyAlignment="1"/>
    <xf numFmtId="0" fontId="16" fillId="0" borderId="17" xfId="9" applyFont="1" applyFill="1" applyBorder="1" applyAlignment="1"/>
    <xf numFmtId="0" fontId="16" fillId="0" borderId="17" xfId="14" applyFont="1" applyBorder="1" applyAlignment="1">
      <alignment horizontal="left"/>
    </xf>
    <xf numFmtId="0" fontId="17" fillId="7" borderId="1" xfId="1" applyNumberFormat="1" applyFill="1" applyBorder="1" applyAlignment="1"/>
    <xf numFmtId="0" fontId="17" fillId="0" borderId="1" xfId="1" applyNumberFormat="1" applyFill="1" applyBorder="1" applyAlignment="1"/>
    <xf numFmtId="0" fontId="16" fillId="8" borderId="5" xfId="1" applyFont="1" applyFill="1" applyBorder="1" applyAlignment="1"/>
    <xf numFmtId="0" fontId="16" fillId="0" borderId="5" xfId="1" applyFont="1" applyFill="1" applyBorder="1" applyAlignment="1"/>
    <xf numFmtId="0" fontId="17" fillId="7" borderId="20" xfId="1" applyFill="1" applyBorder="1" applyAlignment="1"/>
    <xf numFmtId="0" fontId="17" fillId="0" borderId="20" xfId="1" applyFill="1" applyBorder="1" applyAlignment="1"/>
    <xf numFmtId="0" fontId="0" fillId="0" borderId="1" xfId="13" applyFont="1" applyFill="1" applyBorder="1" applyAlignment="1"/>
    <xf numFmtId="0" fontId="0" fillId="12" borderId="17" xfId="19" applyFont="1" applyFill="1" applyBorder="1" applyAlignment="1"/>
    <xf numFmtId="0" fontId="2" fillId="9" borderId="4" xfId="13" applyFont="1" applyFill="1" applyBorder="1" applyAlignment="1">
      <alignment horizontal="right"/>
    </xf>
    <xf numFmtId="0" fontId="25" fillId="0" borderId="17" xfId="16" applyFont="1" applyBorder="1" applyAlignment="1"/>
    <xf numFmtId="0" fontId="25" fillId="0" borderId="4" xfId="16" applyFont="1" applyBorder="1" applyAlignment="1"/>
    <xf numFmtId="0" fontId="0" fillId="0" borderId="0" xfId="16" applyFont="1"/>
    <xf numFmtId="0" fontId="32" fillId="0" borderId="0" xfId="0" applyFont="1" applyAlignment="1">
      <alignment wrapText="1"/>
    </xf>
    <xf numFmtId="0" fontId="25" fillId="0" borderId="0" xfId="0" applyNumberFormat="1" applyFont="1" applyAlignment="1">
      <alignment wrapText="1"/>
    </xf>
    <xf numFmtId="0" fontId="0" fillId="0" borderId="0" xfId="0" applyNumberFormat="1" applyFont="1" applyAlignment="1">
      <alignment wrapText="1"/>
    </xf>
    <xf numFmtId="0" fontId="32" fillId="0" borderId="0" xfId="0" applyNumberFormat="1" applyFont="1" applyAlignment="1">
      <alignment wrapText="1"/>
    </xf>
    <xf numFmtId="0" fontId="0" fillId="0" borderId="0" xfId="0" quotePrefix="1" applyNumberFormat="1" applyFont="1" applyAlignment="1">
      <alignment wrapText="1"/>
    </xf>
    <xf numFmtId="0" fontId="16" fillId="24" borderId="1" xfId="6" applyNumberFormat="1" applyFont="1" applyFill="1" applyBorder="1" applyAlignment="1"/>
    <xf numFmtId="49" fontId="0" fillId="24" borderId="1" xfId="0" applyNumberFormat="1" applyFont="1" applyFill="1" applyBorder="1" applyAlignment="1"/>
    <xf numFmtId="0" fontId="32" fillId="24" borderId="1" xfId="1" applyFont="1" applyFill="1" applyBorder="1" applyAlignment="1"/>
    <xf numFmtId="166" fontId="16" fillId="24" borderId="1" xfId="6" applyNumberFormat="1" applyFont="1" applyFill="1" applyBorder="1" applyAlignment="1">
      <alignment horizontal="center"/>
    </xf>
    <xf numFmtId="164" fontId="25" fillId="24" borderId="1" xfId="6" applyNumberFormat="1" applyFont="1" applyFill="1" applyBorder="1" applyAlignment="1">
      <alignment horizontal="center"/>
    </xf>
    <xf numFmtId="164" fontId="2" fillId="25" borderId="39" xfId="7" applyNumberFormat="1" applyFont="1" applyFill="1" applyBorder="1" applyAlignment="1">
      <alignment horizontal="center"/>
    </xf>
    <xf numFmtId="0" fontId="0" fillId="0" borderId="0" xfId="0" applyAlignment="1">
      <alignment wrapText="1"/>
    </xf>
    <xf numFmtId="0" fontId="1" fillId="26" borderId="1" xfId="13" applyFont="1" applyFill="1" applyBorder="1" applyAlignment="1">
      <alignment horizontal="center"/>
    </xf>
    <xf numFmtId="0" fontId="1" fillId="5" borderId="1" xfId="13" applyFont="1" applyFill="1" applyBorder="1" applyAlignment="1"/>
    <xf numFmtId="0" fontId="25" fillId="5" borderId="1" xfId="13" applyFont="1" applyFill="1" applyBorder="1" applyAlignment="1">
      <alignment horizontal="center"/>
    </xf>
    <xf numFmtId="0" fontId="57" fillId="0" borderId="0" xfId="6" applyFont="1" applyFill="1" applyAlignment="1">
      <alignment horizontal="right"/>
    </xf>
    <xf numFmtId="0" fontId="1" fillId="26" borderId="0" xfId="13" applyFont="1" applyFill="1" applyBorder="1" applyAlignment="1">
      <alignment horizontal="center"/>
    </xf>
    <xf numFmtId="0" fontId="2" fillId="26" borderId="0" xfId="13" applyFont="1" applyFill="1" applyBorder="1" applyAlignment="1">
      <alignment horizontal="center"/>
    </xf>
    <xf numFmtId="0" fontId="2" fillId="26" borderId="0" xfId="13" applyFont="1" applyFill="1" applyBorder="1" applyAlignment="1"/>
    <xf numFmtId="0" fontId="1" fillId="27" borderId="1" xfId="13" applyFont="1" applyFill="1" applyBorder="1" applyAlignment="1">
      <alignment horizontal="center"/>
    </xf>
    <xf numFmtId="0" fontId="17" fillId="0" borderId="0" xfId="1" applyNumberFormat="1"/>
    <xf numFmtId="0" fontId="0" fillId="0" borderId="0" xfId="0" applyNumberFormat="1" applyFont="1"/>
    <xf numFmtId="0" fontId="0" fillId="0" borderId="0" xfId="0" applyNumberFormat="1" applyFont="1" applyFill="1"/>
    <xf numFmtId="0" fontId="25" fillId="5" borderId="1" xfId="19" applyFont="1" applyFill="1" applyBorder="1" applyAlignment="1">
      <alignment horizontal="center"/>
    </xf>
    <xf numFmtId="16" fontId="25" fillId="5" borderId="1" xfId="19" quotePrefix="1" applyNumberFormat="1" applyFont="1" applyFill="1" applyBorder="1" applyAlignment="1">
      <alignment horizontal="center"/>
    </xf>
    <xf numFmtId="0" fontId="25" fillId="5" borderId="17" xfId="0" quotePrefix="1" applyNumberFormat="1" applyFont="1" applyFill="1" applyBorder="1" applyAlignment="1">
      <alignment horizontal="left"/>
    </xf>
    <xf numFmtId="49" fontId="16" fillId="0" borderId="61" xfId="19" applyNumberFormat="1" applyFont="1" applyFill="1" applyBorder="1" applyAlignment="1">
      <alignment horizontal="center"/>
    </xf>
    <xf numFmtId="0" fontId="16" fillId="0" borderId="17" xfId="19" applyFont="1" applyFill="1" applyBorder="1" applyAlignment="1">
      <alignment horizontal="center"/>
    </xf>
    <xf numFmtId="0" fontId="0" fillId="0" borderId="62" xfId="19" applyNumberFormat="1" applyFont="1" applyFill="1" applyBorder="1" applyAlignment="1">
      <alignment horizontal="center"/>
    </xf>
    <xf numFmtId="0" fontId="16" fillId="0" borderId="62" xfId="19" applyNumberFormat="1" applyFont="1" applyFill="1" applyBorder="1" applyAlignment="1">
      <alignment horizontal="center"/>
    </xf>
    <xf numFmtId="0" fontId="25" fillId="0" borderId="62" xfId="19" applyNumberFormat="1" applyFont="1" applyFill="1" applyBorder="1" applyAlignment="1">
      <alignment horizontal="center"/>
    </xf>
    <xf numFmtId="0" fontId="56" fillId="0" borderId="54" xfId="0" applyFont="1" applyBorder="1" applyAlignment="1">
      <alignment horizontal="center"/>
    </xf>
    <xf numFmtId="0" fontId="56" fillId="0" borderId="55" xfId="0" applyFont="1" applyFill="1" applyBorder="1" applyAlignment="1">
      <alignment horizontal="right"/>
    </xf>
    <xf numFmtId="0" fontId="16" fillId="5" borderId="1" xfId="19" applyFont="1" applyFill="1" applyBorder="1" applyAlignment="1">
      <alignment horizontal="center"/>
    </xf>
    <xf numFmtId="0" fontId="16" fillId="5" borderId="1" xfId="19" applyNumberFormat="1" applyFont="1" applyFill="1" applyBorder="1" applyAlignment="1">
      <alignment horizontal="center"/>
    </xf>
    <xf numFmtId="49" fontId="30" fillId="0" borderId="61" xfId="19" applyNumberFormat="1" applyFont="1" applyFill="1" applyBorder="1" applyAlignment="1">
      <alignment horizontal="center"/>
    </xf>
    <xf numFmtId="0" fontId="30" fillId="5" borderId="1" xfId="19" applyNumberFormat="1" applyFont="1" applyFill="1" applyBorder="1" applyAlignment="1">
      <alignment horizontal="center"/>
    </xf>
    <xf numFmtId="0" fontId="30" fillId="0" borderId="17" xfId="19" applyNumberFormat="1" applyFont="1" applyFill="1" applyBorder="1" applyAlignment="1">
      <alignment horizontal="center"/>
    </xf>
    <xf numFmtId="0" fontId="30" fillId="0" borderId="62" xfId="19" applyNumberFormat="1" applyFont="1" applyFill="1" applyBorder="1" applyAlignment="1">
      <alignment horizontal="center"/>
    </xf>
    <xf numFmtId="0" fontId="56" fillId="5" borderId="1" xfId="0" applyFont="1" applyFill="1" applyBorder="1" applyAlignment="1">
      <alignment horizontal="center"/>
    </xf>
    <xf numFmtId="0" fontId="56" fillId="0" borderId="17" xfId="0" applyFont="1" applyBorder="1" applyAlignment="1">
      <alignment horizontal="center"/>
    </xf>
    <xf numFmtId="0" fontId="56" fillId="0" borderId="61" xfId="0" applyFont="1" applyBorder="1" applyAlignment="1">
      <alignment horizontal="center"/>
    </xf>
    <xf numFmtId="0" fontId="56" fillId="0" borderId="62" xfId="0" applyFont="1" applyBorder="1" applyAlignment="1">
      <alignment horizontal="center"/>
    </xf>
    <xf numFmtId="0" fontId="30" fillId="5" borderId="64" xfId="19" applyNumberFormat="1" applyFont="1" applyFill="1" applyBorder="1" applyAlignment="1">
      <alignment horizontal="center"/>
    </xf>
    <xf numFmtId="0" fontId="30" fillId="0" borderId="65" xfId="19" applyNumberFormat="1" applyFont="1" applyFill="1" applyBorder="1" applyAlignment="1">
      <alignment horizontal="center"/>
    </xf>
    <xf numFmtId="49" fontId="30" fillId="0" borderId="63" xfId="19" applyNumberFormat="1" applyFont="1" applyFill="1" applyBorder="1" applyAlignment="1">
      <alignment horizontal="center"/>
    </xf>
    <xf numFmtId="0" fontId="30" fillId="0" borderId="66" xfId="19" applyNumberFormat="1" applyFont="1" applyFill="1" applyBorder="1" applyAlignment="1">
      <alignment horizontal="center"/>
    </xf>
    <xf numFmtId="0" fontId="56" fillId="5" borderId="58" xfId="0" applyFont="1" applyFill="1" applyBorder="1" applyAlignment="1">
      <alignment horizontal="center"/>
    </xf>
    <xf numFmtId="0" fontId="56" fillId="0" borderId="59" xfId="0" applyFont="1" applyBorder="1" applyAlignment="1">
      <alignment horizontal="center"/>
    </xf>
    <xf numFmtId="0" fontId="56" fillId="0" borderId="67" xfId="0" applyFont="1" applyBorder="1" applyAlignment="1">
      <alignment horizontal="center"/>
    </xf>
    <xf numFmtId="0" fontId="55" fillId="5" borderId="68" xfId="0" applyFont="1" applyFill="1" applyBorder="1" applyAlignment="1">
      <alignment horizontal="center"/>
    </xf>
    <xf numFmtId="0" fontId="57" fillId="0" borderId="1" xfId="6" applyNumberFormat="1" applyFont="1" applyFill="1" applyBorder="1" applyAlignment="1"/>
    <xf numFmtId="49" fontId="57" fillId="0" borderId="1" xfId="6" applyNumberFormat="1" applyFont="1" applyFill="1" applyBorder="1" applyAlignment="1"/>
    <xf numFmtId="0" fontId="58" fillId="0" borderId="1" xfId="1" applyFont="1" applyFill="1" applyBorder="1" applyAlignment="1"/>
    <xf numFmtId="0" fontId="57" fillId="0" borderId="1" xfId="0" applyNumberFormat="1" applyFont="1" applyFill="1" applyBorder="1" applyAlignment="1"/>
    <xf numFmtId="166" fontId="57" fillId="0" borderId="1" xfId="6" applyNumberFormat="1" applyFont="1" applyFill="1" applyBorder="1" applyAlignment="1">
      <alignment horizontal="center"/>
    </xf>
    <xf numFmtId="164" fontId="57" fillId="0" borderId="1" xfId="6" applyNumberFormat="1" applyFont="1" applyFill="1" applyBorder="1" applyAlignment="1">
      <alignment horizontal="center"/>
    </xf>
    <xf numFmtId="0" fontId="17" fillId="0" borderId="0" xfId="1" applyNumberFormat="1" applyAlignment="1"/>
    <xf numFmtId="0" fontId="0" fillId="0" borderId="0" xfId="6" applyNumberFormat="1" applyFont="1" applyAlignment="1"/>
    <xf numFmtId="0" fontId="58" fillId="0" borderId="1" xfId="1" applyNumberFormat="1" applyFont="1" applyFill="1" applyBorder="1" applyAlignment="1"/>
    <xf numFmtId="0" fontId="0" fillId="24" borderId="1" xfId="6" applyNumberFormat="1" applyFont="1" applyFill="1" applyBorder="1" applyAlignment="1"/>
    <xf numFmtId="0" fontId="0" fillId="24" borderId="1" xfId="0" applyNumberFormat="1" applyFont="1" applyFill="1" applyBorder="1" applyAlignment="1"/>
    <xf numFmtId="164" fontId="16" fillId="24" borderId="1" xfId="6" applyNumberFormat="1" applyFont="1" applyFill="1" applyBorder="1" applyAlignment="1">
      <alignment horizontal="center"/>
    </xf>
    <xf numFmtId="166" fontId="0" fillId="24" borderId="1" xfId="6" applyNumberFormat="1" applyFont="1" applyFill="1" applyBorder="1" applyAlignment="1">
      <alignment horizontal="center"/>
    </xf>
    <xf numFmtId="14" fontId="57" fillId="0" borderId="1" xfId="6" applyNumberFormat="1" applyFont="1" applyFill="1" applyBorder="1" applyAlignment="1"/>
    <xf numFmtId="49" fontId="57" fillId="0" borderId="1" xfId="0" applyNumberFormat="1" applyFont="1" applyFill="1" applyBorder="1" applyAlignment="1"/>
    <xf numFmtId="0" fontId="57" fillId="2" borderId="1" xfId="1" applyFont="1" applyFill="1" applyBorder="1" applyAlignment="1"/>
    <xf numFmtId="0" fontId="0" fillId="0" borderId="18" xfId="16" applyFont="1" applyBorder="1"/>
    <xf numFmtId="0" fontId="16" fillId="0" borderId="66" xfId="16" applyFont="1" applyBorder="1"/>
    <xf numFmtId="0" fontId="0" fillId="0" borderId="16" xfId="8" applyFont="1" applyFill="1" applyBorder="1" applyAlignment="1"/>
    <xf numFmtId="0" fontId="16" fillId="0" borderId="65" xfId="16" applyFont="1" applyBorder="1" applyAlignment="1">
      <alignment horizontal="left"/>
    </xf>
    <xf numFmtId="0" fontId="25" fillId="0" borderId="0" xfId="11" applyFont="1" applyFill="1" applyAlignment="1">
      <alignment horizontal="right"/>
    </xf>
    <xf numFmtId="0" fontId="16" fillId="0" borderId="0" xfId="11" applyFont="1" applyFill="1" applyAlignment="1"/>
    <xf numFmtId="0" fontId="25" fillId="0" borderId="0" xfId="16" applyFont="1" applyFill="1" applyAlignment="1">
      <alignment horizontal="right"/>
    </xf>
    <xf numFmtId="0" fontId="0" fillId="0" borderId="0" xfId="11" applyFont="1" applyAlignment="1"/>
    <xf numFmtId="0" fontId="0" fillId="0" borderId="18" xfId="11" applyFont="1" applyBorder="1" applyAlignment="1"/>
    <xf numFmtId="0" fontId="0" fillId="0" borderId="10" xfId="16" applyFont="1" applyBorder="1"/>
    <xf numFmtId="0" fontId="0" fillId="0" borderId="11" xfId="16" applyFont="1" applyBorder="1"/>
    <xf numFmtId="0" fontId="0" fillId="0" borderId="0" xfId="16" applyFont="1" applyAlignment="1">
      <alignment horizontal="left"/>
    </xf>
    <xf numFmtId="0" fontId="16" fillId="0" borderId="66" xfId="11" applyFont="1" applyBorder="1" applyAlignment="1"/>
    <xf numFmtId="0" fontId="16" fillId="0" borderId="63" xfId="11" applyFont="1" applyBorder="1" applyAlignment="1"/>
    <xf numFmtId="0" fontId="0" fillId="0" borderId="10" xfId="11" applyFont="1" applyBorder="1" applyAlignment="1"/>
    <xf numFmtId="0" fontId="0" fillId="0" borderId="11" xfId="11" applyFont="1" applyBorder="1" applyAlignment="1"/>
    <xf numFmtId="0" fontId="16" fillId="0" borderId="0" xfId="16" applyFont="1" applyFill="1"/>
    <xf numFmtId="0" fontId="42" fillId="0" borderId="17" xfId="1" applyFont="1" applyFill="1" applyBorder="1" applyAlignment="1"/>
    <xf numFmtId="0" fontId="42" fillId="0" borderId="62" xfId="1" applyFont="1" applyFill="1" applyBorder="1" applyAlignment="1"/>
    <xf numFmtId="0" fontId="17" fillId="24" borderId="17" xfId="1" applyFill="1" applyBorder="1" applyAlignment="1"/>
    <xf numFmtId="0" fontId="17" fillId="24" borderId="62" xfId="1" applyFill="1" applyBorder="1" applyAlignment="1"/>
    <xf numFmtId="0" fontId="42" fillId="24" borderId="17" xfId="1" applyNumberFormat="1" applyFont="1" applyFill="1" applyBorder="1" applyAlignment="1"/>
    <xf numFmtId="0" fontId="42" fillId="24" borderId="62" xfId="1" applyNumberFormat="1" applyFont="1" applyFill="1" applyBorder="1" applyAlignment="1"/>
    <xf numFmtId="0" fontId="41" fillId="0" borderId="0" xfId="6" applyNumberFormat="1" applyFont="1" applyBorder="1" applyAlignment="1"/>
    <xf numFmtId="0" fontId="42" fillId="0" borderId="16" xfId="1" applyFont="1" applyFill="1" applyBorder="1" applyAlignment="1"/>
    <xf numFmtId="0" fontId="17" fillId="6" borderId="17" xfId="1" applyFill="1" applyBorder="1" applyAlignment="1"/>
    <xf numFmtId="0" fontId="17" fillId="6" borderId="62" xfId="1" applyFill="1" applyBorder="1" applyAlignment="1"/>
    <xf numFmtId="0" fontId="58" fillId="0" borderId="17" xfId="1" applyFont="1" applyFill="1" applyBorder="1" applyAlignment="1"/>
    <xf numFmtId="0" fontId="58" fillId="0" borderId="62" xfId="1" applyFont="1" applyFill="1" applyBorder="1" applyAlignment="1"/>
    <xf numFmtId="0" fontId="17" fillId="0" borderId="61" xfId="1" applyFill="1" applyBorder="1" applyAlignment="1"/>
    <xf numFmtId="0" fontId="42" fillId="0" borderId="61" xfId="1" applyFont="1" applyFill="1" applyBorder="1" applyAlignment="1"/>
    <xf numFmtId="0" fontId="17" fillId="24" borderId="61" xfId="1" applyFill="1" applyBorder="1" applyAlignment="1"/>
    <xf numFmtId="0" fontId="42" fillId="24" borderId="61" xfId="1" applyNumberFormat="1" applyFont="1" applyFill="1" applyBorder="1" applyAlignment="1"/>
    <xf numFmtId="0" fontId="42" fillId="0" borderId="18" xfId="1" applyFont="1" applyFill="1" applyBorder="1" applyAlignment="1"/>
    <xf numFmtId="0" fontId="17" fillId="6" borderId="61" xfId="1" applyFill="1" applyBorder="1" applyAlignment="1"/>
    <xf numFmtId="0" fontId="58" fillId="0" borderId="61" xfId="1" applyFont="1" applyFill="1" applyBorder="1" applyAlignment="1"/>
    <xf numFmtId="0" fontId="25" fillId="0" borderId="1" xfId="0" applyNumberFormat="1" applyFont="1" applyBorder="1" applyAlignment="1">
      <alignment horizontal="center"/>
    </xf>
    <xf numFmtId="0" fontId="0" fillId="0" borderId="1" xfId="0" applyFont="1" applyBorder="1" applyAlignment="1">
      <alignment wrapText="1"/>
    </xf>
    <xf numFmtId="0" fontId="0" fillId="0" borderId="0" xfId="0" applyFont="1" applyAlignment="1">
      <alignment horizontal="right" wrapText="1"/>
    </xf>
    <xf numFmtId="0" fontId="0" fillId="0" borderId="0" xfId="0" applyFont="1" applyAlignment="1">
      <alignment horizontal="center"/>
    </xf>
    <xf numFmtId="0" fontId="0" fillId="0" borderId="1" xfId="0" applyNumberFormat="1" applyFont="1" applyBorder="1" applyAlignment="1">
      <alignment horizontal="center"/>
    </xf>
    <xf numFmtId="16" fontId="0" fillId="0" borderId="0" xfId="0" quotePrefix="1" applyNumberFormat="1" applyFont="1" applyAlignment="1">
      <alignment horizontal="center"/>
    </xf>
    <xf numFmtId="0" fontId="0" fillId="0" borderId="0" xfId="0" applyFont="1" applyAlignment="1"/>
    <xf numFmtId="0" fontId="58" fillId="0" borderId="1" xfId="1" applyFont="1" applyBorder="1" applyAlignment="1"/>
    <xf numFmtId="0" fontId="58" fillId="0" borderId="1" xfId="1" applyFont="1" applyFill="1" applyBorder="1" applyAlignment="1">
      <alignment vertical="top"/>
    </xf>
    <xf numFmtId="0" fontId="25" fillId="0" borderId="1" xfId="6" applyNumberFormat="1" applyFont="1" applyFill="1" applyBorder="1" applyAlignment="1"/>
    <xf numFmtId="49" fontId="25" fillId="0" borderId="1" xfId="0" applyNumberFormat="1" applyFont="1" applyFill="1" applyBorder="1" applyAlignment="1"/>
    <xf numFmtId="0" fontId="25" fillId="0" borderId="1" xfId="0" applyNumberFormat="1" applyFont="1" applyFill="1" applyBorder="1" applyAlignment="1"/>
    <xf numFmtId="0" fontId="60" fillId="0" borderId="17" xfId="1" applyFont="1" applyFill="1" applyBorder="1" applyAlignment="1"/>
    <xf numFmtId="0" fontId="60" fillId="0" borderId="61" xfId="1" applyFont="1" applyFill="1" applyBorder="1" applyAlignment="1"/>
    <xf numFmtId="0" fontId="60" fillId="0" borderId="62" xfId="1" applyFont="1" applyFill="1" applyBorder="1" applyAlignment="1"/>
    <xf numFmtId="0" fontId="37" fillId="0" borderId="1" xfId="1" applyFont="1" applyFill="1" applyBorder="1" applyAlignment="1"/>
    <xf numFmtId="166" fontId="25" fillId="0" borderId="1" xfId="6" applyNumberFormat="1" applyFont="1" applyFill="1" applyBorder="1" applyAlignment="1">
      <alignment horizontal="center"/>
    </xf>
    <xf numFmtId="164" fontId="25" fillId="0" borderId="1" xfId="6" applyNumberFormat="1" applyFont="1" applyFill="1" applyBorder="1" applyAlignment="1">
      <alignment horizontal="center"/>
    </xf>
    <xf numFmtId="0" fontId="60" fillId="0" borderId="17" xfId="1" applyNumberFormat="1" applyFont="1" applyFill="1" applyBorder="1" applyAlignment="1"/>
    <xf numFmtId="0" fontId="60" fillId="0" borderId="61" xfId="1" applyNumberFormat="1" applyFont="1" applyFill="1" applyBorder="1" applyAlignment="1"/>
    <xf numFmtId="0" fontId="60" fillId="0" borderId="62" xfId="1" applyNumberFormat="1" applyFont="1" applyFill="1" applyBorder="1" applyAlignment="1"/>
    <xf numFmtId="0" fontId="25" fillId="4" borderId="1" xfId="6" applyNumberFormat="1" applyFont="1" applyFill="1" applyBorder="1" applyAlignment="1"/>
    <xf numFmtId="49" fontId="25" fillId="4" borderId="1" xfId="6" applyNumberFormat="1" applyFont="1" applyFill="1" applyBorder="1" applyAlignment="1"/>
    <xf numFmtId="0" fontId="59" fillId="4" borderId="17" xfId="1" applyFont="1" applyFill="1" applyBorder="1" applyAlignment="1"/>
    <xf numFmtId="0" fontId="59" fillId="4" borderId="61" xfId="1" applyFont="1" applyFill="1" applyBorder="1" applyAlignment="1"/>
    <xf numFmtId="0" fontId="37" fillId="4" borderId="1" xfId="1" applyFont="1" applyFill="1" applyBorder="1" applyAlignment="1">
      <alignment vertical="top"/>
    </xf>
    <xf numFmtId="0" fontId="25" fillId="4" borderId="1" xfId="0" applyNumberFormat="1" applyFont="1" applyFill="1" applyBorder="1" applyAlignment="1"/>
    <xf numFmtId="166" fontId="25" fillId="4" borderId="1" xfId="6" applyNumberFormat="1" applyFont="1" applyFill="1" applyBorder="1" applyAlignment="1">
      <alignment horizontal="center"/>
    </xf>
    <xf numFmtId="164" fontId="25" fillId="4" borderId="1" xfId="6" applyNumberFormat="1" applyFont="1" applyFill="1" applyBorder="1" applyAlignment="1">
      <alignment horizontal="center"/>
    </xf>
    <xf numFmtId="14" fontId="25" fillId="0" borderId="1" xfId="6" applyNumberFormat="1" applyFont="1" applyFill="1" applyBorder="1" applyAlignment="1"/>
    <xf numFmtId="49" fontId="25" fillId="0" borderId="1" xfId="6" applyNumberFormat="1" applyFont="1" applyFill="1" applyBorder="1" applyAlignment="1"/>
    <xf numFmtId="0" fontId="37" fillId="2" borderId="1" xfId="1" applyFont="1" applyFill="1" applyBorder="1" applyAlignment="1"/>
    <xf numFmtId="0" fontId="25" fillId="0" borderId="1" xfId="0" applyNumberFormat="1" applyFont="1" applyBorder="1" applyAlignment="1"/>
    <xf numFmtId="0" fontId="37" fillId="0" borderId="1" xfId="1" applyFont="1" applyBorder="1" applyAlignment="1"/>
    <xf numFmtId="49" fontId="25" fillId="4" borderId="1" xfId="0" applyNumberFormat="1" applyFont="1" applyFill="1" applyBorder="1" applyAlignment="1"/>
    <xf numFmtId="0" fontId="60" fillId="4" borderId="17" xfId="1" applyFont="1" applyFill="1" applyBorder="1" applyAlignment="1"/>
    <xf numFmtId="0" fontId="60" fillId="4" borderId="61" xfId="1" applyFont="1" applyFill="1" applyBorder="1" applyAlignment="1"/>
    <xf numFmtId="0" fontId="60" fillId="4" borderId="62" xfId="1" applyFont="1" applyFill="1" applyBorder="1" applyAlignment="1"/>
    <xf numFmtId="0" fontId="37" fillId="4" borderId="1" xfId="1" applyFont="1" applyFill="1" applyBorder="1" applyAlignment="1"/>
    <xf numFmtId="0" fontId="59" fillId="4" borderId="63" xfId="1" applyFont="1" applyFill="1" applyBorder="1" applyAlignment="1"/>
    <xf numFmtId="0" fontId="37" fillId="4" borderId="52" xfId="1" applyFont="1" applyFill="1" applyBorder="1"/>
    <xf numFmtId="0" fontId="60" fillId="4" borderId="17" xfId="1" applyNumberFormat="1" applyFont="1" applyFill="1" applyBorder="1" applyAlignment="1"/>
    <xf numFmtId="0" fontId="60" fillId="4" borderId="61" xfId="1" applyNumberFormat="1" applyFont="1" applyFill="1" applyBorder="1" applyAlignment="1"/>
    <xf numFmtId="0" fontId="60" fillId="4" borderId="62" xfId="1" applyNumberFormat="1" applyFont="1" applyFill="1" applyBorder="1" applyAlignment="1"/>
    <xf numFmtId="0" fontId="37" fillId="4" borderId="1" xfId="1" applyNumberFormat="1" applyFont="1" applyFill="1" applyBorder="1" applyAlignment="1"/>
    <xf numFmtId="0" fontId="37" fillId="0" borderId="1" xfId="1" applyNumberFormat="1" applyFont="1" applyFill="1" applyBorder="1" applyAlignment="1"/>
    <xf numFmtId="0" fontId="32" fillId="6" borderId="1" xfId="1" applyNumberFormat="1" applyFont="1" applyFill="1" applyBorder="1" applyAlignment="1"/>
    <xf numFmtId="0" fontId="32" fillId="24" borderId="1" xfId="1" applyNumberFormat="1" applyFont="1" applyFill="1" applyBorder="1" applyAlignment="1"/>
    <xf numFmtId="0" fontId="32" fillId="24" borderId="1" xfId="1" applyFont="1" applyFill="1" applyBorder="1"/>
    <xf numFmtId="167" fontId="25" fillId="0" borderId="0" xfId="6" applyNumberFormat="1" applyFont="1" applyFill="1" applyBorder="1" applyAlignment="1">
      <alignment horizontal="left"/>
    </xf>
    <xf numFmtId="0" fontId="0" fillId="0" borderId="1" xfId="0" quotePrefix="1" applyFont="1" applyBorder="1" applyAlignment="1">
      <alignment horizontal="center"/>
    </xf>
    <xf numFmtId="0" fontId="17" fillId="0" borderId="17" xfId="1" applyNumberFormat="1" applyFill="1" applyBorder="1" applyAlignment="1"/>
    <xf numFmtId="49" fontId="25" fillId="9" borderId="0" xfId="0" quotePrefix="1" applyNumberFormat="1" applyFont="1" applyFill="1" applyAlignment="1">
      <alignment horizontal="center" vertical="center"/>
    </xf>
    <xf numFmtId="0" fontId="0" fillId="0" borderId="0" xfId="0" applyFont="1" applyAlignment="1"/>
    <xf numFmtId="0" fontId="58" fillId="0" borderId="1" xfId="1" applyNumberFormat="1" applyFont="1" applyFill="1" applyBorder="1" applyAlignment="1"/>
    <xf numFmtId="0" fontId="0" fillId="0" borderId="0" xfId="0" applyFont="1" applyAlignment="1">
      <alignment horizontal="center"/>
    </xf>
    <xf numFmtId="0" fontId="25" fillId="0" borderId="0" xfId="0" applyFont="1" applyAlignment="1">
      <alignment horizontal="center"/>
    </xf>
    <xf numFmtId="0" fontId="0" fillId="0" borderId="1" xfId="0" applyFont="1" applyBorder="1" applyAlignment="1"/>
    <xf numFmtId="49" fontId="0" fillId="0" borderId="0" xfId="0" quotePrefix="1" applyNumberFormat="1" applyFont="1" applyAlignment="1">
      <alignment horizontal="center" vertical="center"/>
    </xf>
    <xf numFmtId="0" fontId="0" fillId="0" borderId="0" xfId="0" applyFont="1" applyAlignment="1">
      <alignment vertical="center"/>
    </xf>
    <xf numFmtId="49" fontId="25" fillId="0" borderId="0" xfId="0" quotePrefix="1" applyNumberFormat="1" applyFont="1" applyAlignment="1">
      <alignment horizontal="center" vertical="center"/>
    </xf>
    <xf numFmtId="16" fontId="0" fillId="0" borderId="0" xfId="0" quotePrefix="1" applyNumberFormat="1" applyFont="1" applyAlignment="1">
      <alignment horizontal="center" vertical="center"/>
    </xf>
    <xf numFmtId="0" fontId="33" fillId="0" borderId="0" xfId="0" applyFont="1" applyAlignment="1">
      <alignment horizontal="right"/>
    </xf>
    <xf numFmtId="0" fontId="25" fillId="0" borderId="1" xfId="0" applyFont="1" applyBorder="1" applyAlignment="1">
      <alignmen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28"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61" fillId="0" borderId="0" xfId="0" applyFont="1"/>
    <xf numFmtId="0" fontId="26" fillId="0" borderId="0" xfId="0" applyFont="1"/>
    <xf numFmtId="0" fontId="62" fillId="0" borderId="0" xfId="0" applyFont="1"/>
    <xf numFmtId="0" fontId="56" fillId="0" borderId="0" xfId="16" applyFont="1"/>
    <xf numFmtId="0" fontId="0" fillId="29" borderId="1" xfId="0" applyFont="1" applyFill="1" applyBorder="1" applyAlignment="1">
      <alignment horizontal="center" vertical="center"/>
    </xf>
    <xf numFmtId="0" fontId="0" fillId="29" borderId="1" xfId="0" applyNumberFormat="1" applyFont="1" applyFill="1" applyBorder="1" applyAlignment="1">
      <alignment horizontal="center" vertical="center"/>
    </xf>
    <xf numFmtId="49" fontId="63" fillId="0" borderId="0" xfId="6" applyNumberFormat="1" applyFont="1" applyBorder="1" applyAlignment="1">
      <alignment horizontal="center"/>
    </xf>
    <xf numFmtId="49" fontId="63" fillId="0" borderId="0" xfId="6" applyNumberFormat="1" applyFont="1" applyFill="1" applyBorder="1" applyAlignment="1">
      <alignment horizontal="center"/>
    </xf>
    <xf numFmtId="49" fontId="0" fillId="9" borderId="1" xfId="0" applyNumberFormat="1" applyFont="1" applyFill="1" applyBorder="1" applyAlignment="1">
      <alignment horizontal="center" vertical="center"/>
    </xf>
    <xf numFmtId="0" fontId="33" fillId="0" borderId="0" xfId="0" applyFont="1"/>
    <xf numFmtId="0" fontId="33" fillId="0" borderId="0" xfId="16" applyFont="1"/>
    <xf numFmtId="49" fontId="3" fillId="0" borderId="0" xfId="6" applyNumberFormat="1" applyFont="1" applyFill="1" applyBorder="1" applyAlignment="1"/>
    <xf numFmtId="0" fontId="0" fillId="0" borderId="1" xfId="0" quotePrefix="1" applyFont="1" applyFill="1" applyBorder="1" applyAlignment="1">
      <alignment horizontal="center" vertical="center"/>
    </xf>
    <xf numFmtId="49" fontId="0" fillId="28" borderId="1" xfId="0" quotePrefix="1" applyNumberFormat="1" applyFont="1" applyFill="1" applyBorder="1" applyAlignment="1">
      <alignment horizontal="center" vertical="center"/>
    </xf>
    <xf numFmtId="0" fontId="16" fillId="0" borderId="21" xfId="14" applyFont="1" applyFill="1" applyBorder="1" applyAlignment="1">
      <alignment horizontal="center"/>
    </xf>
    <xf numFmtId="0" fontId="16" fillId="5" borderId="21" xfId="14" applyFont="1" applyFill="1" applyBorder="1" applyAlignment="1">
      <alignment horizontal="center"/>
    </xf>
    <xf numFmtId="0" fontId="16" fillId="0" borderId="21" xfId="9" applyFont="1" applyBorder="1" applyAlignment="1">
      <alignment horizontal="center"/>
    </xf>
    <xf numFmtId="0" fontId="16" fillId="0" borderId="70" xfId="9" applyFont="1" applyFill="1" applyBorder="1" applyAlignment="1">
      <alignment horizontal="left"/>
    </xf>
    <xf numFmtId="0" fontId="16" fillId="5" borderId="62" xfId="14" applyFont="1" applyFill="1" applyBorder="1" applyAlignment="1">
      <alignment horizontal="center"/>
    </xf>
    <xf numFmtId="0" fontId="16" fillId="0" borderId="62" xfId="14" applyFont="1" applyFill="1" applyBorder="1" applyAlignment="1">
      <alignment horizontal="center"/>
    </xf>
    <xf numFmtId="0" fontId="16" fillId="5" borderId="61" xfId="14" applyFont="1" applyFill="1" applyBorder="1" applyAlignment="1">
      <alignment horizontal="center"/>
    </xf>
    <xf numFmtId="0" fontId="16" fillId="5" borderId="71" xfId="14" applyFont="1" applyFill="1" applyBorder="1" applyAlignment="1">
      <alignment horizontal="center"/>
    </xf>
    <xf numFmtId="0" fontId="16" fillId="5" borderId="62" xfId="9" applyFont="1" applyFill="1" applyBorder="1" applyAlignment="1">
      <alignment horizontal="center"/>
    </xf>
    <xf numFmtId="0" fontId="16" fillId="0" borderId="62" xfId="9" applyFont="1" applyBorder="1" applyAlignment="1">
      <alignment horizontal="center"/>
    </xf>
    <xf numFmtId="0" fontId="16" fillId="0" borderId="71" xfId="14" applyFont="1" applyFill="1" applyBorder="1" applyAlignment="1">
      <alignment horizontal="center"/>
    </xf>
    <xf numFmtId="0" fontId="16" fillId="0" borderId="35" xfId="9" applyFont="1" applyBorder="1" applyAlignment="1">
      <alignment horizontal="center"/>
    </xf>
    <xf numFmtId="0" fontId="16" fillId="5" borderId="32" xfId="14" applyFont="1" applyFill="1" applyBorder="1" applyAlignment="1">
      <alignment horizontal="center"/>
    </xf>
    <xf numFmtId="0" fontId="16" fillId="5" borderId="64" xfId="14" applyFont="1" applyFill="1" applyBorder="1" applyAlignment="1">
      <alignment horizontal="center"/>
    </xf>
    <xf numFmtId="0" fontId="16" fillId="0" borderId="64" xfId="14" applyFont="1" applyFill="1" applyBorder="1" applyAlignment="1">
      <alignment horizontal="center"/>
    </xf>
    <xf numFmtId="0" fontId="16" fillId="5" borderId="65" xfId="14" applyFont="1" applyFill="1" applyBorder="1" applyAlignment="1">
      <alignment horizontal="center"/>
    </xf>
    <xf numFmtId="0" fontId="16" fillId="0" borderId="64" xfId="9" applyFont="1" applyBorder="1" applyAlignment="1">
      <alignment horizontal="center"/>
    </xf>
    <xf numFmtId="0" fontId="16" fillId="0" borderId="65" xfId="9" applyFont="1" applyBorder="1" applyAlignment="1">
      <alignment horizontal="center"/>
    </xf>
    <xf numFmtId="0" fontId="16" fillId="0" borderId="32" xfId="9" applyFont="1" applyBorder="1" applyAlignment="1">
      <alignment horizontal="center"/>
    </xf>
    <xf numFmtId="0" fontId="16" fillId="0" borderId="29" xfId="14" applyFont="1" applyFill="1" applyBorder="1" applyAlignment="1">
      <alignment horizontal="center"/>
    </xf>
    <xf numFmtId="0" fontId="16" fillId="0" borderId="7" xfId="14" applyFont="1" applyFill="1" applyBorder="1" applyAlignment="1">
      <alignment horizontal="center"/>
    </xf>
    <xf numFmtId="0" fontId="16" fillId="5" borderId="7" xfId="14" applyFont="1" applyFill="1" applyBorder="1" applyAlignment="1">
      <alignment horizontal="center"/>
    </xf>
    <xf numFmtId="0" fontId="16" fillId="0" borderId="10" xfId="14" applyFont="1" applyFill="1" applyBorder="1" applyAlignment="1">
      <alignment horizontal="center"/>
    </xf>
    <xf numFmtId="0" fontId="16" fillId="5" borderId="10" xfId="9" applyFont="1" applyFill="1" applyBorder="1" applyAlignment="1">
      <alignment horizontal="center"/>
    </xf>
    <xf numFmtId="0" fontId="16" fillId="0" borderId="7" xfId="9" applyFont="1" applyBorder="1" applyAlignment="1">
      <alignment horizontal="center"/>
    </xf>
    <xf numFmtId="0" fontId="16" fillId="0" borderId="33" xfId="9" applyFont="1" applyBorder="1" applyAlignment="1">
      <alignment horizontal="center"/>
    </xf>
    <xf numFmtId="0" fontId="16" fillId="0" borderId="72" xfId="9" applyFont="1" applyBorder="1" applyAlignment="1">
      <alignment horizontal="center"/>
    </xf>
    <xf numFmtId="0" fontId="16" fillId="5" borderId="69" xfId="14" applyFont="1" applyFill="1" applyBorder="1" applyAlignment="1">
      <alignment horizontal="center"/>
    </xf>
    <xf numFmtId="0" fontId="16" fillId="0" borderId="69" xfId="14" applyFont="1" applyFill="1" applyBorder="1" applyAlignment="1">
      <alignment horizontal="center"/>
    </xf>
    <xf numFmtId="0" fontId="16" fillId="5" borderId="69" xfId="9" applyFont="1" applyFill="1" applyBorder="1" applyAlignment="1">
      <alignment horizontal="center"/>
    </xf>
    <xf numFmtId="0" fontId="16" fillId="0" borderId="69" xfId="9" applyFont="1" applyBorder="1" applyAlignment="1">
      <alignment horizontal="center"/>
    </xf>
    <xf numFmtId="0" fontId="16" fillId="0" borderId="21" xfId="9" applyFont="1" applyFill="1" applyBorder="1" applyAlignment="1"/>
    <xf numFmtId="0" fontId="16" fillId="5" borderId="21" xfId="14" applyFont="1" applyFill="1" applyBorder="1" applyAlignment="1"/>
    <xf numFmtId="0" fontId="16" fillId="0" borderId="65" xfId="14" applyFont="1" applyFill="1" applyBorder="1" applyAlignment="1">
      <alignment horizontal="center"/>
    </xf>
    <xf numFmtId="0" fontId="16" fillId="5" borderId="70" xfId="14" applyFont="1" applyFill="1" applyBorder="1" applyAlignment="1"/>
    <xf numFmtId="0" fontId="16" fillId="5" borderId="21" xfId="9" applyFont="1" applyFill="1" applyBorder="1" applyAlignment="1">
      <alignment horizontal="center"/>
    </xf>
    <xf numFmtId="0" fontId="16" fillId="0" borderId="63" xfId="14" applyFont="1" applyFill="1" applyBorder="1" applyAlignment="1">
      <alignment horizontal="center"/>
    </xf>
    <xf numFmtId="0" fontId="16" fillId="5" borderId="35" xfId="14" applyFont="1" applyFill="1" applyBorder="1" applyAlignment="1">
      <alignment horizontal="center"/>
    </xf>
    <xf numFmtId="0" fontId="16" fillId="5" borderId="61" xfId="9" applyFont="1" applyFill="1" applyBorder="1" applyAlignment="1">
      <alignment horizontal="center"/>
    </xf>
    <xf numFmtId="0" fontId="16" fillId="0" borderId="61" xfId="9" applyFont="1" applyBorder="1" applyAlignment="1">
      <alignment horizontal="center"/>
    </xf>
    <xf numFmtId="0" fontId="16" fillId="5" borderId="64" xfId="9" applyFont="1" applyFill="1" applyBorder="1" applyAlignment="1">
      <alignment horizontal="center"/>
    </xf>
    <xf numFmtId="0" fontId="16" fillId="5" borderId="32" xfId="9" applyFont="1" applyFill="1" applyBorder="1" applyAlignment="1">
      <alignment horizontal="center"/>
    </xf>
    <xf numFmtId="0" fontId="16" fillId="5" borderId="10" xfId="14" applyFont="1" applyFill="1" applyBorder="1" applyAlignment="1">
      <alignment horizontal="center"/>
    </xf>
    <xf numFmtId="0" fontId="16" fillId="5" borderId="72" xfId="14" applyFont="1" applyFill="1" applyBorder="1" applyAlignment="1">
      <alignment horizontal="center"/>
    </xf>
    <xf numFmtId="0" fontId="16" fillId="0" borderId="29" xfId="9" applyFont="1" applyBorder="1" applyAlignment="1">
      <alignment horizontal="center"/>
    </xf>
    <xf numFmtId="0" fontId="16" fillId="5" borderId="6" xfId="9" applyFont="1" applyFill="1" applyBorder="1" applyAlignment="1">
      <alignment horizontal="center"/>
    </xf>
    <xf numFmtId="0" fontId="16" fillId="0" borderId="10" xfId="9" applyFont="1" applyBorder="1" applyAlignment="1">
      <alignment horizontal="center"/>
    </xf>
    <xf numFmtId="0" fontId="16" fillId="5" borderId="7" xfId="9" applyFont="1" applyFill="1" applyBorder="1" applyAlignment="1">
      <alignment horizontal="center"/>
    </xf>
    <xf numFmtId="0" fontId="16" fillId="5" borderId="29" xfId="9" applyFont="1" applyFill="1" applyBorder="1" applyAlignment="1">
      <alignment horizontal="center"/>
    </xf>
    <xf numFmtId="0" fontId="16" fillId="0" borderId="73" xfId="9" applyFont="1" applyBorder="1" applyAlignment="1">
      <alignment horizontal="center"/>
    </xf>
    <xf numFmtId="0" fontId="2" fillId="0" borderId="74" xfId="13" applyFont="1" applyFill="1" applyBorder="1" applyAlignment="1"/>
    <xf numFmtId="0" fontId="2" fillId="0" borderId="75" xfId="13" applyFont="1" applyFill="1" applyBorder="1" applyAlignment="1"/>
    <xf numFmtId="0" fontId="2" fillId="0" borderId="75" xfId="17" applyFont="1" applyFill="1" applyBorder="1" applyAlignment="1"/>
    <xf numFmtId="0" fontId="2" fillId="0" borderId="76" xfId="13" applyFont="1" applyFill="1" applyBorder="1" applyAlignment="1"/>
    <xf numFmtId="0" fontId="30" fillId="30" borderId="5" xfId="13" applyFont="1" applyFill="1" applyBorder="1" applyAlignment="1"/>
    <xf numFmtId="0" fontId="30" fillId="30" borderId="6" xfId="13" applyFont="1" applyFill="1" applyBorder="1" applyAlignment="1"/>
    <xf numFmtId="0" fontId="2" fillId="30" borderId="7" xfId="13" applyFont="1" applyFill="1" applyBorder="1" applyAlignment="1"/>
    <xf numFmtId="164" fontId="40" fillId="30" borderId="1" xfId="13" applyNumberFormat="1" applyFont="1" applyFill="1" applyBorder="1" applyAlignment="1">
      <alignment horizontal="center"/>
    </xf>
    <xf numFmtId="165" fontId="40" fillId="30" borderId="1" xfId="13" applyNumberFormat="1" applyFont="1" applyFill="1" applyBorder="1" applyAlignment="1">
      <alignment horizontal="center"/>
    </xf>
    <xf numFmtId="0" fontId="31" fillId="0" borderId="0" xfId="0" applyFont="1" applyAlignment="1">
      <alignment horizontal="center"/>
    </xf>
    <xf numFmtId="0" fontId="0" fillId="28" borderId="1" xfId="0" applyFont="1" applyFill="1" applyBorder="1" applyAlignment="1"/>
    <xf numFmtId="0" fontId="56" fillId="0" borderId="0" xfId="0" applyFont="1" applyAlignment="1">
      <alignment horizontal="center"/>
    </xf>
    <xf numFmtId="0" fontId="25" fillId="5" borderId="74" xfId="19" applyFont="1" applyFill="1" applyBorder="1" applyAlignment="1"/>
    <xf numFmtId="0" fontId="25" fillId="5" borderId="75" xfId="0" applyFont="1" applyFill="1" applyBorder="1" applyAlignment="1">
      <alignment horizontal="center"/>
    </xf>
    <xf numFmtId="0" fontId="25" fillId="5" borderId="76" xfId="19" applyFont="1" applyFill="1" applyBorder="1" applyAlignment="1">
      <alignment horizontal="center"/>
    </xf>
    <xf numFmtId="0" fontId="0" fillId="10" borderId="1" xfId="0" applyFont="1" applyFill="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quotePrefix="1" applyFont="1" applyBorder="1" applyAlignment="1">
      <alignment horizontal="center" vertical="center"/>
    </xf>
  </cellXfs>
  <cellStyles count="23">
    <cellStyle name="Hyperlink" xfId="1" builtinId="8"/>
    <cellStyle name="Hyperlink 2" xfId="2"/>
    <cellStyle name="Hyperlink 2 2" xfId="3"/>
    <cellStyle name="Hyperlink 3" xfId="4"/>
    <cellStyle name="Hyperlink 3 2" xfId="5"/>
    <cellStyle name="Normal" xfId="0" builtinId="0"/>
    <cellStyle name="Normal 2" xfId="6"/>
    <cellStyle name="Normal 2 2" xfId="7"/>
    <cellStyle name="Normal 2 2 2" xfId="8"/>
    <cellStyle name="Normal 2 2 2 2" xfId="9"/>
    <cellStyle name="Normal 2 2 3" xfId="10"/>
    <cellStyle name="Normal 2 3" xfId="11"/>
    <cellStyle name="Normal 2 4" xfId="12"/>
    <cellStyle name="Normal 3" xfId="13"/>
    <cellStyle name="Normal 3 2" xfId="14"/>
    <cellStyle name="Normal 4" xfId="15"/>
    <cellStyle name="Normal 5" xfId="16"/>
    <cellStyle name="Normal 6" xfId="17"/>
    <cellStyle name="Normal 6 2" xfId="18"/>
    <cellStyle name="Normal 7" xfId="19"/>
    <cellStyle name="Normal 8" xfId="20"/>
    <cellStyle name="Normal 9" xfId="21"/>
    <cellStyle name="WinCalendar_BlankCells_35" xfId="22"/>
  </cellStyles>
  <dxfs count="329">
    <dxf>
      <font>
        <color rgb="FF0070C0"/>
      </font>
    </dxf>
    <dxf>
      <font>
        <color rgb="FF0070C0"/>
      </font>
    </dxf>
    <dxf>
      <font>
        <b/>
        <i val="0"/>
      </font>
    </dxf>
    <dxf>
      <font>
        <b/>
        <i val="0"/>
        <color rgb="FFCC0000"/>
      </font>
    </dxf>
    <dxf>
      <font>
        <b/>
        <i val="0"/>
      </font>
    </dxf>
    <dxf>
      <font>
        <b/>
        <i val="0"/>
      </font>
    </dxf>
    <dxf>
      <font>
        <b/>
        <i val="0"/>
      </font>
    </dxf>
    <dxf>
      <font>
        <color rgb="FF9C0006"/>
      </font>
      <fill>
        <patternFill>
          <bgColor rgb="FFFFC7CE"/>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ont>
        <b/>
        <i val="0"/>
      </font>
    </dxf>
    <dxf>
      <font>
        <b/>
        <i val="0"/>
        <color rgb="FFCC0000"/>
      </font>
    </dxf>
    <dxf>
      <font>
        <b/>
        <i val="0"/>
      </font>
    </dxf>
    <dxf>
      <font>
        <b/>
        <i val="0"/>
      </font>
    </dxf>
    <dxf>
      <font>
        <b/>
        <i val="0"/>
      </font>
    </dxf>
    <dxf>
      <font>
        <color rgb="FF9C0006"/>
      </font>
      <fill>
        <patternFill>
          <bgColor rgb="FFFFC7CE"/>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color rgb="FFCC0000"/>
      </font>
    </dxf>
    <dxf>
      <font>
        <b/>
        <i val="0"/>
      </font>
    </dxf>
    <dxf>
      <font>
        <b/>
        <i val="0"/>
      </font>
    </dxf>
    <dxf>
      <font>
        <b/>
        <i val="0"/>
      </font>
    </dxf>
    <dxf>
      <font>
        <color rgb="FF9C0006"/>
      </font>
      <fill>
        <patternFill>
          <bgColor rgb="FFFFC7CE"/>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theme="9" tint="0.39994506668294322"/>
      </font>
    </dxf>
    <dxf>
      <font>
        <color theme="9" tint="0.39994506668294322"/>
      </font>
    </dxf>
    <dxf>
      <font>
        <color theme="9" tint="0.39994506668294322"/>
      </font>
    </dxf>
    <dxf>
      <font>
        <color theme="9" tint="0.39994506668294322"/>
      </font>
    </dxf>
    <dxf>
      <font>
        <color theme="9" tint="0.39994506668294322"/>
      </font>
    </dxf>
    <dxf>
      <font>
        <b/>
        <i val="0"/>
        <color rgb="FFCC0000"/>
      </font>
    </dxf>
    <dxf>
      <font>
        <b/>
        <i val="0"/>
      </font>
    </dxf>
    <dxf>
      <font>
        <b/>
        <i val="0"/>
      </font>
    </dxf>
    <dxf>
      <font>
        <b/>
        <i val="0"/>
      </font>
    </dxf>
    <dxf>
      <font>
        <color theme="9" tint="0.39994506668294322"/>
      </font>
    </dxf>
    <dxf>
      <font>
        <color rgb="FF9C0006"/>
      </font>
      <fill>
        <patternFill>
          <bgColor rgb="FFFFC7CE"/>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theme="9" tint="0.39994506668294322"/>
      </font>
    </dxf>
    <dxf>
      <fill>
        <patternFill>
          <bgColor rgb="FF92D050"/>
        </patternFill>
      </fill>
    </dxf>
    <dxf>
      <fill>
        <patternFill>
          <bgColor rgb="FFFF0000"/>
        </patternFill>
      </fill>
    </dxf>
    <dxf>
      <fill>
        <patternFill>
          <bgColor rgb="FF92D050"/>
        </patternFill>
      </fill>
    </dxf>
    <dxf>
      <fill>
        <patternFill>
          <bgColor rgb="FFFF0000"/>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b/>
        <i val="0"/>
      </font>
    </dxf>
    <dxf>
      <font>
        <b/>
        <i val="0"/>
      </font>
    </dxf>
    <dxf>
      <font>
        <b/>
        <i val="0"/>
      </font>
    </dxf>
    <dxf>
      <font>
        <b/>
        <i val="0"/>
      </font>
    </dxf>
    <dxf>
      <font>
        <color rgb="FFFF0000"/>
      </font>
    </dxf>
    <dxf>
      <font>
        <b/>
        <i val="0"/>
      </font>
    </dxf>
    <dxf>
      <font>
        <color rgb="FFFF000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color rgb="FFCC0000"/>
      </font>
    </dxf>
    <dxf>
      <font>
        <b/>
        <i val="0"/>
      </font>
    </dxf>
    <dxf>
      <font>
        <b/>
        <i val="0"/>
      </font>
    </dxf>
    <dxf>
      <font>
        <b/>
        <i val="0"/>
      </font>
    </dxf>
    <dxf>
      <font>
        <color rgb="FF9C0006"/>
      </font>
      <fill>
        <patternFill>
          <bgColor rgb="FFFFC7CE"/>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ont>
        <b/>
        <i val="0"/>
      </font>
    </dxf>
    <dxf>
      <font>
        <b/>
        <i val="0"/>
        <color rgb="FFCC0000"/>
      </font>
    </dxf>
    <dxf>
      <font>
        <b/>
        <i val="0"/>
      </font>
    </dxf>
    <dxf>
      <font>
        <b/>
        <i val="0"/>
      </font>
    </dxf>
    <dxf>
      <font>
        <b/>
        <i val="0"/>
      </font>
    </dxf>
    <dxf>
      <font>
        <color rgb="FF9C0006"/>
      </font>
      <fill>
        <patternFill>
          <bgColor rgb="FFFFC7CE"/>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ont>
        <b/>
        <i val="0"/>
      </font>
    </dxf>
    <dxf>
      <font>
        <b/>
        <i val="0"/>
        <color rgb="FFCC0000"/>
      </font>
    </dxf>
    <dxf>
      <font>
        <b/>
        <i val="0"/>
      </font>
    </dxf>
    <dxf>
      <font>
        <b/>
        <i val="0"/>
      </font>
    </dxf>
    <dxf>
      <font>
        <b/>
        <i val="0"/>
      </font>
    </dxf>
    <dxf>
      <font>
        <color rgb="FF9C0006"/>
      </font>
      <fill>
        <patternFill>
          <bgColor rgb="FFFFC7CE"/>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FF0000"/>
      </font>
    </dxf>
  </dxfs>
  <tableStyles count="0" defaultTableStyle="TableStyleMedium2" defaultPivotStyle="PivotStyleLight16"/>
  <colors>
    <mruColors>
      <color rgb="FF66FF66"/>
      <color rgb="FFCC0000"/>
      <color rgb="FFCCFF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387760</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2" name="Group 39"/>
        <xdr:cNvGrpSpPr>
          <a:grpSpLocks noChangeAspect="1"/>
        </xdr:cNvGrpSpPr>
      </xdr:nvGrpSpPr>
      <xdr:grpSpPr bwMode="auto">
        <a:xfrm>
          <a:off x="1504950" y="904875"/>
          <a:ext cx="590550" cy="647700"/>
          <a:chOff x="1571625" y="533400"/>
          <a:chExt cx="847725" cy="923925"/>
        </a:xfrm>
      </xdr:grpSpPr>
      <xdr:sp macro="" textlink="">
        <xdr:nvSpPr>
          <xdr:cNvPr id="3"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4"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5" name="Group 42"/>
        <xdr:cNvGrpSpPr>
          <a:grpSpLocks noChangeAspect="1"/>
        </xdr:cNvGrpSpPr>
      </xdr:nvGrpSpPr>
      <xdr:grpSpPr bwMode="auto">
        <a:xfrm>
          <a:off x="3028950" y="904875"/>
          <a:ext cx="590550" cy="647700"/>
          <a:chOff x="4391025" y="533400"/>
          <a:chExt cx="847725" cy="923925"/>
        </a:xfrm>
      </xdr:grpSpPr>
      <xdr:sp macro="" textlink="">
        <xdr:nvSpPr>
          <xdr:cNvPr id="6"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7"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8"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9"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0" name="Group 47"/>
        <xdr:cNvGrpSpPr>
          <a:grpSpLocks noChangeAspect="1"/>
        </xdr:cNvGrpSpPr>
      </xdr:nvGrpSpPr>
      <xdr:grpSpPr bwMode="auto">
        <a:xfrm>
          <a:off x="3790950" y="904875"/>
          <a:ext cx="590550" cy="647700"/>
          <a:chOff x="5810250" y="523875"/>
          <a:chExt cx="847725" cy="923925"/>
        </a:xfrm>
      </xdr:grpSpPr>
      <xdr:sp macro="" textlink="">
        <xdr:nvSpPr>
          <xdr:cNvPr id="11"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2"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3"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4" name="Group 51"/>
        <xdr:cNvGrpSpPr>
          <a:grpSpLocks noChangeAspect="1"/>
        </xdr:cNvGrpSpPr>
      </xdr:nvGrpSpPr>
      <xdr:grpSpPr bwMode="auto">
        <a:xfrm>
          <a:off x="4552950" y="904875"/>
          <a:ext cx="600075" cy="647700"/>
          <a:chOff x="7219950" y="533400"/>
          <a:chExt cx="847725" cy="923925"/>
        </a:xfrm>
      </xdr:grpSpPr>
      <xdr:sp macro="" textlink="">
        <xdr:nvSpPr>
          <xdr:cNvPr id="15"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6"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7" name="Group 58"/>
        <xdr:cNvGrpSpPr>
          <a:grpSpLocks noChangeAspect="1"/>
        </xdr:cNvGrpSpPr>
      </xdr:nvGrpSpPr>
      <xdr:grpSpPr bwMode="auto">
        <a:xfrm>
          <a:off x="2266950" y="904875"/>
          <a:ext cx="600075" cy="647700"/>
          <a:chOff x="2990850" y="533400"/>
          <a:chExt cx="847725" cy="923925"/>
        </a:xfrm>
      </xdr:grpSpPr>
      <xdr:sp macro="" textlink="">
        <xdr:nvSpPr>
          <xdr:cNvPr id="18"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9"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20"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2" name="Group 39"/>
        <xdr:cNvGrpSpPr>
          <a:grpSpLocks noChangeAspect="1"/>
        </xdr:cNvGrpSpPr>
      </xdr:nvGrpSpPr>
      <xdr:grpSpPr bwMode="auto">
        <a:xfrm>
          <a:off x="1504950" y="904875"/>
          <a:ext cx="590550" cy="647700"/>
          <a:chOff x="1571625" y="533400"/>
          <a:chExt cx="847725" cy="923925"/>
        </a:xfrm>
      </xdr:grpSpPr>
      <xdr:sp macro="" textlink="">
        <xdr:nvSpPr>
          <xdr:cNvPr id="3"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4"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5" name="Group 42"/>
        <xdr:cNvGrpSpPr>
          <a:grpSpLocks noChangeAspect="1"/>
        </xdr:cNvGrpSpPr>
      </xdr:nvGrpSpPr>
      <xdr:grpSpPr bwMode="auto">
        <a:xfrm>
          <a:off x="3028950" y="904875"/>
          <a:ext cx="590550" cy="647700"/>
          <a:chOff x="4391025" y="533400"/>
          <a:chExt cx="847725" cy="923925"/>
        </a:xfrm>
      </xdr:grpSpPr>
      <xdr:sp macro="" textlink="">
        <xdr:nvSpPr>
          <xdr:cNvPr id="6"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7"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8"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9"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0" name="Group 47"/>
        <xdr:cNvGrpSpPr>
          <a:grpSpLocks noChangeAspect="1"/>
        </xdr:cNvGrpSpPr>
      </xdr:nvGrpSpPr>
      <xdr:grpSpPr bwMode="auto">
        <a:xfrm>
          <a:off x="3790950" y="904875"/>
          <a:ext cx="590550" cy="647700"/>
          <a:chOff x="5810250" y="523875"/>
          <a:chExt cx="847725" cy="923925"/>
        </a:xfrm>
      </xdr:grpSpPr>
      <xdr:sp macro="" textlink="">
        <xdr:nvSpPr>
          <xdr:cNvPr id="11"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2"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3"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4" name="Group 51"/>
        <xdr:cNvGrpSpPr>
          <a:grpSpLocks noChangeAspect="1"/>
        </xdr:cNvGrpSpPr>
      </xdr:nvGrpSpPr>
      <xdr:grpSpPr bwMode="auto">
        <a:xfrm>
          <a:off x="4552950" y="904875"/>
          <a:ext cx="600075" cy="647700"/>
          <a:chOff x="7219950" y="533400"/>
          <a:chExt cx="847725" cy="923925"/>
        </a:xfrm>
      </xdr:grpSpPr>
      <xdr:sp macro="" textlink="">
        <xdr:nvSpPr>
          <xdr:cNvPr id="15"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6"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7" name="Group 58"/>
        <xdr:cNvGrpSpPr>
          <a:grpSpLocks noChangeAspect="1"/>
        </xdr:cNvGrpSpPr>
      </xdr:nvGrpSpPr>
      <xdr:grpSpPr bwMode="auto">
        <a:xfrm>
          <a:off x="2266950" y="904875"/>
          <a:ext cx="600075" cy="647700"/>
          <a:chOff x="2990850" y="533400"/>
          <a:chExt cx="847725" cy="923925"/>
        </a:xfrm>
      </xdr:grpSpPr>
      <xdr:sp macro="" textlink="">
        <xdr:nvSpPr>
          <xdr:cNvPr id="18"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9"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20"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76200</xdr:colOff>
      <xdr:row>0</xdr:row>
      <xdr:rowOff>9525</xdr:rowOff>
    </xdr:from>
    <xdr:to>
      <xdr:col>5</xdr:col>
      <xdr:colOff>171450</xdr:colOff>
      <xdr:row>2</xdr:row>
      <xdr:rowOff>4803</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0" y="9525"/>
          <a:ext cx="466725" cy="3191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3</xdr:col>
      <xdr:colOff>121060</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39"/>
  <sheetViews>
    <sheetView showGridLines="0" showRowColHeaders="0" workbookViewId="0">
      <pane ySplit="4" topLeftCell="A5" activePane="bottomLeft" state="frozen"/>
      <selection activeCell="I1" sqref="I1"/>
      <selection pane="bottomLeft" activeCell="K1" sqref="K1"/>
    </sheetView>
  </sheetViews>
  <sheetFormatPr defaultRowHeight="12.75" x14ac:dyDescent="0.2"/>
  <cols>
    <col min="1" max="1" width="12.5703125" style="287" customWidth="1"/>
    <col min="2" max="2" width="5.7109375" style="287" customWidth="1"/>
    <col min="3" max="3" width="39.7109375" style="287" customWidth="1"/>
    <col min="4" max="4" width="17.42578125" style="287" customWidth="1"/>
    <col min="5" max="5" width="4.42578125" style="287" customWidth="1"/>
    <col min="6" max="6" width="4" style="287" customWidth="1"/>
    <col min="7" max="7" width="2.7109375" style="287" customWidth="1"/>
    <col min="8" max="8" width="32.42578125" style="287" customWidth="1"/>
    <col min="9" max="9" width="12.7109375" style="287" customWidth="1"/>
    <col min="10" max="10" width="4.5703125" style="287" customWidth="1"/>
    <col min="11" max="11" width="5" style="287" bestFit="1" customWidth="1"/>
    <col min="12" max="16384" width="9.140625" style="287"/>
  </cols>
  <sheetData>
    <row r="1" spans="1:12" x14ac:dyDescent="0.2">
      <c r="B1" s="286" t="s">
        <v>596</v>
      </c>
      <c r="H1" s="804" t="s">
        <v>1065</v>
      </c>
    </row>
    <row r="2" spans="1:12" x14ac:dyDescent="0.2">
      <c r="A2" s="286"/>
      <c r="C2" s="915"/>
      <c r="H2" s="415"/>
    </row>
    <row r="4" spans="1:12" x14ac:dyDescent="0.2">
      <c r="A4" s="288" t="s">
        <v>574</v>
      </c>
      <c r="B4" s="288" t="s">
        <v>575</v>
      </c>
      <c r="C4" s="288" t="s">
        <v>576</v>
      </c>
      <c r="D4" s="288" t="s">
        <v>577</v>
      </c>
      <c r="E4" s="288" t="s">
        <v>578</v>
      </c>
      <c r="F4" s="288"/>
      <c r="G4" s="288"/>
      <c r="H4" s="288" t="s">
        <v>579</v>
      </c>
      <c r="I4" s="288" t="s">
        <v>580</v>
      </c>
      <c r="J4" s="288" t="s">
        <v>581</v>
      </c>
      <c r="K4" s="288" t="s">
        <v>582</v>
      </c>
    </row>
    <row r="5" spans="1:12" x14ac:dyDescent="0.2">
      <c r="A5" s="623" t="s">
        <v>583</v>
      </c>
      <c r="B5" s="624"/>
      <c r="J5" s="289"/>
    </row>
    <row r="6" spans="1:12" x14ac:dyDescent="0.2">
      <c r="A6" s="970" t="s">
        <v>597</v>
      </c>
      <c r="B6" s="971" t="s">
        <v>584</v>
      </c>
      <c r="C6" s="1006" t="str">
        <f>HYPERLINK("http://www.petanque.ee/index.php?id=103738&amp;cid=416","Eesti reitinguvõistlus")</f>
        <v>Eesti reitinguvõistlus</v>
      </c>
      <c r="D6" s="972" t="s">
        <v>587</v>
      </c>
      <c r="E6" s="973" t="str">
        <f>HYPERLINK("#1!G1","1")</f>
        <v>1</v>
      </c>
      <c r="F6" s="974"/>
      <c r="G6" s="975"/>
      <c r="H6" s="976" t="str">
        <f>HYPERLINK("http://kaart.delfi.ee//?bookmark=02a763eb5e2ccd81dd84675ce47ef3f0","Jüri, Laste 3")</f>
        <v>Jüri, Laste 3</v>
      </c>
      <c r="I6" s="972" t="s">
        <v>613</v>
      </c>
      <c r="J6" s="977">
        <v>8</v>
      </c>
      <c r="K6" s="978">
        <f>Mehed!G128</f>
        <v>19</v>
      </c>
    </row>
    <row r="7" spans="1:12" x14ac:dyDescent="0.2">
      <c r="A7" s="970" t="s">
        <v>598</v>
      </c>
      <c r="B7" s="971" t="s">
        <v>590</v>
      </c>
      <c r="C7" s="1006" t="str">
        <f>HYPERLINK("http://www.petanque.ee/index.php?id=103738&amp;cid=417","Eesti reitinguvõistlus, Maestro karikas 2016")</f>
        <v>Eesti reitinguvõistlus, Maestro karikas 2016</v>
      </c>
      <c r="D7" s="972" t="s">
        <v>586</v>
      </c>
      <c r="E7" s="979" t="str">
        <f>HYPERLINK("#2!I1","2")</f>
        <v>2</v>
      </c>
      <c r="F7" s="980"/>
      <c r="G7" s="981"/>
      <c r="H7" s="976" t="str">
        <f>HYPERLINK("http://kaart.delfi.ee//?bookmark=02a763eb5e2ccd81dd84675ce47ef3f0","Jüri, Laste 3")</f>
        <v>Jüri, Laste 3</v>
      </c>
      <c r="I7" s="970" t="s">
        <v>613</v>
      </c>
      <c r="J7" s="977">
        <v>8</v>
      </c>
      <c r="K7" s="978">
        <f>Mehed!H128</f>
        <v>17</v>
      </c>
    </row>
    <row r="8" spans="1:12" x14ac:dyDescent="0.2">
      <c r="A8" s="922" t="s">
        <v>1168</v>
      </c>
      <c r="B8" s="923" t="s">
        <v>584</v>
      </c>
      <c r="C8" s="1015" t="str">
        <f>HYPERLINK("http://www.petanque.ee/index.php?id=103738&amp;cid=418","EM katsevõistlus - naised - 1. etapp")</f>
        <v>EM katsevõistlus - naised - 1. etapp</v>
      </c>
      <c r="D8" s="912" t="s">
        <v>587</v>
      </c>
      <c r="E8" s="1012" t="str">
        <f>HYPERLINK("#'KV-1'!H1","KV-1")</f>
        <v>KV-1</v>
      </c>
      <c r="F8" s="954"/>
      <c r="G8" s="954"/>
      <c r="H8" s="924" t="s">
        <v>1169</v>
      </c>
      <c r="I8" s="912" t="s">
        <v>588</v>
      </c>
      <c r="J8" s="913">
        <v>30</v>
      </c>
      <c r="K8" s="914">
        <v>15</v>
      </c>
    </row>
    <row r="9" spans="1:12" x14ac:dyDescent="0.2">
      <c r="A9" s="982" t="s">
        <v>599</v>
      </c>
      <c r="B9" s="983" t="s">
        <v>590</v>
      </c>
      <c r="C9" s="1005" t="str">
        <f>HYPERLINK("http://www.petanque.ee/index.php?id=103738&amp;cid=420","26. Eesti MV")</f>
        <v>26. Eesti MV</v>
      </c>
      <c r="D9" s="982" t="s">
        <v>585</v>
      </c>
      <c r="E9" s="984" t="str">
        <f>HYPERLINK("#3M!H1","3M")</f>
        <v>3M</v>
      </c>
      <c r="F9" s="985" t="str">
        <f>HYPERLINK("#3N!H1","3N")</f>
        <v>3N</v>
      </c>
      <c r="G9" s="985" t="str">
        <f>HYPERLINK("#3J!H1","3J")</f>
        <v>3J</v>
      </c>
      <c r="H9" s="986" t="str">
        <f>HYPERLINK("http://kaart.delfi.ee/?bookmark=fe8345aadbbb857f009aae03c00eea11","Tallinn, Kadrioru park")</f>
        <v>Tallinn, Kadrioru park</v>
      </c>
      <c r="I9" s="987" t="s">
        <v>588</v>
      </c>
      <c r="J9" s="988">
        <v>10</v>
      </c>
      <c r="K9" s="989">
        <f>Mehed!I128</f>
        <v>30</v>
      </c>
      <c r="L9" s="916"/>
    </row>
    <row r="10" spans="1:12" s="291" customFormat="1" x14ac:dyDescent="0.2">
      <c r="A10" s="990" t="s">
        <v>600</v>
      </c>
      <c r="B10" s="991" t="s">
        <v>590</v>
      </c>
      <c r="C10" s="1006" t="str">
        <f>HYPERLINK("http://www.petanque.ee/index.php?id=103738&amp;cid=421","Eesti reitinguvõistlus")</f>
        <v>Eesti reitinguvõistlus</v>
      </c>
      <c r="D10" s="970" t="s">
        <v>587</v>
      </c>
      <c r="E10" s="973" t="str">
        <f>HYPERLINK("#4!G1","4")</f>
        <v>4</v>
      </c>
      <c r="F10" s="974"/>
      <c r="G10" s="975"/>
      <c r="H10" s="992" t="str">
        <f>HYPERLINK("http://kaart.delfi.ee//?bookmark=36ee67ba7cba151859305c222805d114","Saku, Teaduse 2")</f>
        <v>Saku, Teaduse 2</v>
      </c>
      <c r="I10" s="993" t="s">
        <v>588</v>
      </c>
      <c r="J10" s="977">
        <v>8</v>
      </c>
      <c r="K10" s="978">
        <f>Mehed!J128</f>
        <v>21</v>
      </c>
    </row>
    <row r="11" spans="1:12" x14ac:dyDescent="0.2">
      <c r="A11" s="863" t="s">
        <v>605</v>
      </c>
      <c r="B11" s="864" t="s">
        <v>584</v>
      </c>
      <c r="C11" s="1008" t="str">
        <f>HYPERLINK("http://www.petanque.ee/index.php?id=103738&amp;cid=465","ESL veteranide (35+) MV")</f>
        <v>ESL veteranide (35+) MV</v>
      </c>
      <c r="D11" s="863" t="s">
        <v>585</v>
      </c>
      <c r="E11" s="944" t="str">
        <f>HYPERLINK("http://web.zone.ee/petankt/tabelid/esl-2016xls","esl")</f>
        <v>esl</v>
      </c>
      <c r="F11" s="956"/>
      <c r="G11" s="945"/>
      <c r="H11" s="865" t="str">
        <f>HYPERLINK("http://kaart.delfi.ee//?bookmark=2a5ec780031a77057ec1ba6937023e5b","Valga, Pärna pst 17a")</f>
        <v>Valga, Pärna pst 17a</v>
      </c>
      <c r="I11" s="863" t="s">
        <v>616</v>
      </c>
      <c r="J11" s="866">
        <v>7</v>
      </c>
      <c r="K11" s="867">
        <v>80</v>
      </c>
      <c r="L11" s="291"/>
    </row>
    <row r="12" spans="1:12" x14ac:dyDescent="0.2">
      <c r="A12" s="918" t="s">
        <v>1165</v>
      </c>
      <c r="B12" s="864" t="s">
        <v>590</v>
      </c>
      <c r="C12" s="1009" t="str">
        <f>HYPERLINK("http://www.petanque.ee/index.php?id=103738&amp;cid=422","EMSL Jõud meistrivõistlused")</f>
        <v>EMSL Jõud meistrivõistlused</v>
      </c>
      <c r="D12" s="919" t="s">
        <v>1167</v>
      </c>
      <c r="E12" s="946"/>
      <c r="F12" s="957"/>
      <c r="G12" s="947"/>
      <c r="H12" s="865" t="str">
        <f>HYPERLINK("http://kaart.delfi.ee//?bookmark=2a5ec780031a77057ec1ba6937023e5b","Valga, Pärna pst 17a")</f>
        <v>Valga, Pärna pst 17a</v>
      </c>
      <c r="I12" s="918" t="s">
        <v>1166</v>
      </c>
      <c r="J12" s="921" t="s">
        <v>8</v>
      </c>
      <c r="K12" s="920">
        <v>57</v>
      </c>
      <c r="L12" s="291"/>
    </row>
    <row r="13" spans="1:12" x14ac:dyDescent="0.2">
      <c r="A13" s="623" t="s">
        <v>589</v>
      </c>
      <c r="B13" s="624"/>
      <c r="E13" s="948"/>
      <c r="F13" s="948"/>
      <c r="G13" s="948"/>
      <c r="J13" s="289"/>
      <c r="K13" s="292"/>
      <c r="L13" s="291"/>
    </row>
    <row r="14" spans="1:12" x14ac:dyDescent="0.2">
      <c r="A14" s="970" t="s">
        <v>601</v>
      </c>
      <c r="B14" s="971" t="s">
        <v>584</v>
      </c>
      <c r="C14" s="1006" t="str">
        <f>HYPERLINK("http://www.petanque.ee/index.php?id=103738&amp;cid=423","Eesti reitinguvõistlus")</f>
        <v>Eesti reitinguvõistlus</v>
      </c>
      <c r="D14" s="972" t="s">
        <v>586</v>
      </c>
      <c r="E14" s="979" t="str">
        <f>HYPERLINK("#5!H1","5")</f>
        <v>5</v>
      </c>
      <c r="F14" s="980"/>
      <c r="G14" s="981"/>
      <c r="H14" s="994" t="str">
        <f>HYPERLINK("http://kaart.delfi.ee/?bookmark=a13a9530590da153a95a150c883f6040","Viljandi, Järve 9")</f>
        <v>Viljandi, Järve 9</v>
      </c>
      <c r="I14" s="970" t="s">
        <v>614</v>
      </c>
      <c r="J14" s="977">
        <v>8</v>
      </c>
      <c r="K14" s="978">
        <f>Mehed!K128</f>
        <v>37</v>
      </c>
      <c r="L14" s="291"/>
    </row>
    <row r="15" spans="1:12" s="291" customFormat="1" x14ac:dyDescent="0.2">
      <c r="A15" s="970" t="s">
        <v>602</v>
      </c>
      <c r="B15" s="971" t="s">
        <v>590</v>
      </c>
      <c r="C15" s="1006" t="str">
        <f>HYPERLINK("http://www.petanque.ee/index.php?id=103738&amp;cid=424","Eesti reitinguvõistlus, Hansaturniir")</f>
        <v>Eesti reitinguvõistlus, Hansaturniir</v>
      </c>
      <c r="D15" s="970" t="s">
        <v>587</v>
      </c>
      <c r="E15" s="973" t="str">
        <f>HYPERLINK("#6!G1","6")</f>
        <v>6</v>
      </c>
      <c r="F15" s="974"/>
      <c r="G15" s="975"/>
      <c r="H15" s="994" t="str">
        <f>HYPERLINK("http://kaart.delfi.ee/?bookmark=a13a9530590da153a95a150c883f6040","Viljandi, Järve 9")</f>
        <v>Viljandi, Järve 9</v>
      </c>
      <c r="I15" s="970" t="s">
        <v>614</v>
      </c>
      <c r="J15" s="977">
        <v>8</v>
      </c>
      <c r="K15" s="978">
        <f>Mehed!L128</f>
        <v>40</v>
      </c>
    </row>
    <row r="16" spans="1:12" s="291" customFormat="1" x14ac:dyDescent="0.2">
      <c r="A16" s="922" t="s">
        <v>1170</v>
      </c>
      <c r="B16" s="923" t="s">
        <v>590</v>
      </c>
      <c r="C16" s="1015" t="str">
        <f>HYPERLINK("http://www.petanque.ee/index.php?id=103738&amp;cid=469","EM katsevõistlus - mehed")</f>
        <v>EM katsevõistlus - mehed</v>
      </c>
      <c r="D16" s="909" t="s">
        <v>585</v>
      </c>
      <c r="E16" s="1012" t="str">
        <f>HYPERLINK("#'KV-M'!H1","KV-M")</f>
        <v>KV-M</v>
      </c>
      <c r="F16" s="955"/>
      <c r="G16" s="955"/>
      <c r="H16" s="968" t="s">
        <v>1179</v>
      </c>
      <c r="I16" s="909" t="s">
        <v>588</v>
      </c>
      <c r="J16" s="913"/>
      <c r="K16" s="914"/>
    </row>
    <row r="17" spans="1:12" x14ac:dyDescent="0.2">
      <c r="A17" s="922" t="s">
        <v>1170</v>
      </c>
      <c r="B17" s="923" t="s">
        <v>590</v>
      </c>
      <c r="C17" s="1015" t="str">
        <f>HYPERLINK("http://www.petanque.ee/index.php?id=103738&amp;cid=425","EM katsevõistlus - naised - 2. etapp")</f>
        <v>EM katsevõistlus - naised - 2. etapp</v>
      </c>
      <c r="D17" s="912" t="s">
        <v>587</v>
      </c>
      <c r="E17" s="1012" t="str">
        <f>HYPERLINK("#'KV-2'!H1","KV-2")</f>
        <v>KV-2</v>
      </c>
      <c r="F17" s="954"/>
      <c r="G17" s="954"/>
      <c r="H17" s="969" t="str">
        <f>HYPERLINK("http://kaart.delfi.ee/?bookmark=fe8345aadbbb857f009aae03c00eea11","Tallinn, Kadrioru park")</f>
        <v>Tallinn, Kadrioru park</v>
      </c>
      <c r="I17" s="912" t="s">
        <v>588</v>
      </c>
      <c r="J17" s="913"/>
      <c r="K17" s="914"/>
    </row>
    <row r="18" spans="1:12" x14ac:dyDescent="0.2">
      <c r="A18" s="922" t="s">
        <v>1171</v>
      </c>
      <c r="B18" s="923" t="s">
        <v>584</v>
      </c>
      <c r="C18" s="1015" t="str">
        <f>HYPERLINK("http://www.petanque.ee/index.php?id=103738&amp;cid=426","EM katsevõistlus - naised, veteranid - finaal")</f>
        <v>EM katsevõistlus - naised, veteranid - finaal</v>
      </c>
      <c r="D18" s="912" t="s">
        <v>587</v>
      </c>
      <c r="E18" s="1012" t="str">
        <f>HYPERLINK("#'KV-F'!H1","KV-F")</f>
        <v>KV-F</v>
      </c>
      <c r="F18" s="954"/>
      <c r="G18" s="954"/>
      <c r="H18" s="924"/>
      <c r="I18" s="912" t="s">
        <v>588</v>
      </c>
      <c r="J18" s="913"/>
      <c r="K18" s="914">
        <v>15</v>
      </c>
    </row>
    <row r="19" spans="1:12" s="291" customFormat="1" x14ac:dyDescent="0.2">
      <c r="A19" s="987" t="s">
        <v>603</v>
      </c>
      <c r="B19" s="995" t="s">
        <v>584</v>
      </c>
      <c r="C19" s="1005" t="str">
        <f>HYPERLINK("http://www.petanque.ee/index.php?id=103738&amp;cid=427","11. Eesti MV")</f>
        <v>11. Eesti MV</v>
      </c>
      <c r="D19" s="987" t="s">
        <v>658</v>
      </c>
      <c r="E19" s="996" t="str">
        <f>HYPERLINK("#7!G1","7")</f>
        <v>7</v>
      </c>
      <c r="F19" s="997"/>
      <c r="G19" s="998"/>
      <c r="H19" s="999" t="str">
        <f>HYPERLINK("http://kaart.delfi.ee/?bookmark=c3bc2d791932456b66ad8adb604010c1","Uuskalda (Läänemaa, Kärbla küla)")</f>
        <v>Uuskalda (Läänemaa, Kärbla küla)</v>
      </c>
      <c r="I19" s="987" t="s">
        <v>615</v>
      </c>
      <c r="J19" s="988">
        <v>10</v>
      </c>
      <c r="K19" s="989">
        <f>Mehed!M128</f>
        <v>18</v>
      </c>
    </row>
    <row r="20" spans="1:12" x14ac:dyDescent="0.2">
      <c r="A20" s="970" t="s">
        <v>604</v>
      </c>
      <c r="B20" s="991" t="s">
        <v>590</v>
      </c>
      <c r="C20" s="1006" t="str">
        <f>HYPERLINK("http://www.petanque.ee/index.php?id=103738&amp;cid=428","Eesti reitinguvõistlus")</f>
        <v>Eesti reitinguvõistlus</v>
      </c>
      <c r="D20" s="970" t="s">
        <v>586</v>
      </c>
      <c r="E20" s="973" t="str">
        <f>HYPERLINK("#8!G1","8")</f>
        <v>8</v>
      </c>
      <c r="F20" s="974"/>
      <c r="G20" s="975"/>
      <c r="H20" s="994" t="str">
        <f>HYPERLINK("http://kaart.delfi.ee/?bookmark=c3bc2d791932456b66ad8adb604010c1","Uuskalda (Läänemaa, Kärbla küla)")</f>
        <v>Uuskalda (Läänemaa, Kärbla küla)</v>
      </c>
      <c r="I20" s="970" t="s">
        <v>615</v>
      </c>
      <c r="J20" s="977">
        <v>8</v>
      </c>
      <c r="K20" s="978">
        <f>Mehed!N128</f>
        <v>23</v>
      </c>
      <c r="L20" s="291"/>
    </row>
    <row r="21" spans="1:12" s="291" customFormat="1" hidden="1" x14ac:dyDescent="0.2">
      <c r="A21" s="296"/>
      <c r="B21" s="297"/>
      <c r="C21" s="296"/>
      <c r="D21" s="296"/>
      <c r="E21" s="942"/>
      <c r="F21" s="955"/>
      <c r="G21" s="943"/>
      <c r="H21" s="300"/>
      <c r="I21" s="296"/>
      <c r="J21" s="301"/>
      <c r="K21" s="302"/>
    </row>
    <row r="22" spans="1:12" x14ac:dyDescent="0.2">
      <c r="A22" s="623" t="s">
        <v>591</v>
      </c>
      <c r="B22" s="624"/>
      <c r="C22" s="293"/>
      <c r="D22" s="293"/>
      <c r="E22" s="294"/>
      <c r="F22" s="294"/>
      <c r="G22" s="294"/>
      <c r="H22" s="293"/>
      <c r="I22" s="293"/>
      <c r="J22" s="295"/>
      <c r="K22" s="292"/>
      <c r="L22" s="291"/>
    </row>
    <row r="23" spans="1:12" x14ac:dyDescent="0.2">
      <c r="A23" s="982" t="s">
        <v>606</v>
      </c>
      <c r="B23" s="983" t="s">
        <v>584</v>
      </c>
      <c r="C23" s="1005" t="str">
        <f>HYPERLINK("http://www.petanque.ee/index.php?id=103738&amp;cid=432","19. Eesti MV")</f>
        <v>19. Eesti MV</v>
      </c>
      <c r="D23" s="982" t="s">
        <v>659</v>
      </c>
      <c r="E23" s="996" t="str">
        <f>HYPERLINK("#9!G1","9")</f>
        <v>9</v>
      </c>
      <c r="F23" s="997"/>
      <c r="G23" s="998"/>
      <c r="H23" s="999" t="str">
        <f>HYPERLINK("http://kaart.delfi.ee/?bookmark=037591353bf9698628b723dab6c5e799","Valga, Metsa")</f>
        <v>Valga, Metsa</v>
      </c>
      <c r="I23" s="982" t="s">
        <v>616</v>
      </c>
      <c r="J23" s="988">
        <v>10</v>
      </c>
      <c r="K23" s="989">
        <f>Mehed!O128</f>
        <v>16</v>
      </c>
      <c r="L23" s="291"/>
    </row>
    <row r="24" spans="1:12" s="291" customFormat="1" x14ac:dyDescent="0.2">
      <c r="A24" s="970" t="s">
        <v>607</v>
      </c>
      <c r="B24" s="971" t="s">
        <v>590</v>
      </c>
      <c r="C24" s="1006" t="str">
        <f>HYPERLINK("http://www.petanque.ee/index.php?id=103738&amp;cid=433","Eesti reitinguvõistlus")</f>
        <v>Eesti reitinguvõistlus</v>
      </c>
      <c r="D24" s="972" t="s">
        <v>587</v>
      </c>
      <c r="E24" s="979" t="str">
        <f>HYPERLINK("#10!G1","10")</f>
        <v>10</v>
      </c>
      <c r="F24" s="980"/>
      <c r="G24" s="981"/>
      <c r="H24" s="994" t="str">
        <f>HYPERLINK("http://kaart.delfi.ee/?bookmark=037591353bf9698628b723dab6c5e799","Valga, Metsa")</f>
        <v>Valga, Metsa</v>
      </c>
      <c r="I24" s="970" t="s">
        <v>616</v>
      </c>
      <c r="J24" s="977">
        <v>8</v>
      </c>
      <c r="K24" s="978">
        <f>Mehed!P128</f>
        <v>36</v>
      </c>
    </row>
    <row r="25" spans="1:12" s="291" customFormat="1" x14ac:dyDescent="0.2">
      <c r="A25" s="982" t="s">
        <v>608</v>
      </c>
      <c r="B25" s="983" t="s">
        <v>751</v>
      </c>
      <c r="C25" s="1005" t="str">
        <f>HYPERLINK("http://www.petanque.ee/index.php?id=103738&amp;cid=434","26. Eesti MV")</f>
        <v>26. Eesti MV</v>
      </c>
      <c r="D25" s="982" t="s">
        <v>586</v>
      </c>
      <c r="E25" s="996" t="str">
        <f>HYPERLINK("#11!G1","11")</f>
        <v>11</v>
      </c>
      <c r="F25" s="997"/>
      <c r="G25" s="998"/>
      <c r="H25" s="999" t="str">
        <f>HYPERLINK("http://kaart.delfi.ee/?bookmark=0eb4bf4e7fb4b30009b7d7543818abd1","Kärdla, Nuutri 21 ")</f>
        <v xml:space="preserve">Kärdla, Nuutri 21 </v>
      </c>
      <c r="I25" s="987" t="s">
        <v>617</v>
      </c>
      <c r="J25" s="988">
        <v>10</v>
      </c>
      <c r="K25" s="989">
        <f>Mehed!Q128</f>
        <v>24</v>
      </c>
    </row>
    <row r="26" spans="1:12" s="291" customFormat="1" x14ac:dyDescent="0.2">
      <c r="A26" s="970" t="s">
        <v>609</v>
      </c>
      <c r="B26" s="971" t="s">
        <v>752</v>
      </c>
      <c r="C26" s="1006" t="str">
        <f>HYPERLINK("http://www.petanque.ee/index.php?id=103738&amp;cid=435","Eesti reitinguvõistlus")</f>
        <v>Eesti reitinguvõistlus</v>
      </c>
      <c r="D26" s="972" t="s">
        <v>587</v>
      </c>
      <c r="E26" s="979" t="str">
        <f>HYPERLINK("#12!G1","12")</f>
        <v>12</v>
      </c>
      <c r="F26" s="980"/>
      <c r="G26" s="981"/>
      <c r="H26" s="994" t="str">
        <f>HYPERLINK("http://kaart.delfi.ee/?bookmark=0eb4bf4e7fb4b30009b7d7543818abd1","Kärdla, Nuutri 21 ")</f>
        <v xml:space="preserve">Kärdla, Nuutri 21 </v>
      </c>
      <c r="I26" s="970" t="s">
        <v>617</v>
      </c>
      <c r="J26" s="977">
        <v>8</v>
      </c>
      <c r="K26" s="978">
        <f>Mehed!R128</f>
        <v>28</v>
      </c>
    </row>
    <row r="27" spans="1:12" s="291" customFormat="1" x14ac:dyDescent="0.2">
      <c r="A27" s="982" t="s">
        <v>611</v>
      </c>
      <c r="B27" s="983" t="s">
        <v>751</v>
      </c>
      <c r="C27" s="1005" t="str">
        <f>HYPERLINK("http://www.petanque.ee/index.php?id=103738&amp;cid=437","16. Eesti MV")</f>
        <v>16. Eesti MV</v>
      </c>
      <c r="D27" s="982" t="s">
        <v>610</v>
      </c>
      <c r="E27" s="984" t="str">
        <f>HYPERLINK("#'13M'!W1","13M")</f>
        <v>13M</v>
      </c>
      <c r="F27" s="985" t="str">
        <f>HYPERLINK("#'13N'!W1","13N")</f>
        <v>13N</v>
      </c>
      <c r="G27" s="1000"/>
      <c r="H27" s="1001" t="str">
        <f>HYPERLINK("http://kaart.delfi.ee/?bookmark=0807568cf7d8a03cedbb545921254497","Tallinna, Algi 38, petangihalli ees")</f>
        <v>Tallinna, Algi 38, petangihalli ees</v>
      </c>
      <c r="I27" s="987" t="s">
        <v>588</v>
      </c>
      <c r="J27" s="988">
        <v>10</v>
      </c>
      <c r="K27" s="989">
        <f>Mehed!S128</f>
        <v>18</v>
      </c>
    </row>
    <row r="28" spans="1:12" s="291" customFormat="1" hidden="1" x14ac:dyDescent="0.2">
      <c r="A28" s="296"/>
      <c r="B28" s="297"/>
      <c r="C28" s="296"/>
      <c r="D28" s="296"/>
      <c r="E28" s="942"/>
      <c r="F28" s="958"/>
      <c r="G28" s="949"/>
      <c r="H28" s="445"/>
      <c r="I28" s="622"/>
      <c r="J28" s="301"/>
      <c r="K28" s="302"/>
    </row>
    <row r="29" spans="1:12" x14ac:dyDescent="0.2">
      <c r="A29" s="623" t="s">
        <v>592</v>
      </c>
      <c r="B29" s="624"/>
      <c r="E29" s="948"/>
      <c r="F29" s="948"/>
      <c r="G29" s="948"/>
      <c r="J29" s="289"/>
      <c r="K29" s="292"/>
      <c r="L29" s="291"/>
    </row>
    <row r="30" spans="1:12" x14ac:dyDescent="0.2">
      <c r="A30" s="970" t="s">
        <v>612</v>
      </c>
      <c r="B30" s="971" t="s">
        <v>590</v>
      </c>
      <c r="C30" s="1006" t="str">
        <f>HYPERLINK("http://www.petanque.ee/index.php?id=103738&amp;cid=442","Eesti reitinguvõistlus")</f>
        <v>Eesti reitinguvõistlus</v>
      </c>
      <c r="D30" s="972" t="s">
        <v>586</v>
      </c>
      <c r="E30" s="979" t="str">
        <f>HYPERLINK("#14!G1","14")</f>
        <v>14</v>
      </c>
      <c r="F30" s="980"/>
      <c r="G30" s="981"/>
      <c r="H30" s="994" t="str">
        <f>HYPERLINK("http://kaart.delfi.ee/?bookmark=c3bc2d791932456b66ad8adb604010c1","Uuskalda (Läänemaa, Kärbla küla)")</f>
        <v>Uuskalda (Läänemaa, Kärbla küla)</v>
      </c>
      <c r="I30" s="970" t="s">
        <v>615</v>
      </c>
      <c r="J30" s="977">
        <v>8</v>
      </c>
      <c r="K30" s="978">
        <f>Mehed!T128</f>
        <v>36</v>
      </c>
      <c r="L30" s="291"/>
    </row>
    <row r="31" spans="1:12" x14ac:dyDescent="0.2">
      <c r="A31" s="982" t="s">
        <v>593</v>
      </c>
      <c r="B31" s="983" t="s">
        <v>751</v>
      </c>
      <c r="C31" s="1005" t="str">
        <f>HYPERLINK("http://www.petanque.ee/index.php?id=103738&amp;cid=443","25. Eesti MV")</f>
        <v>25. Eesti MV</v>
      </c>
      <c r="D31" s="982" t="s">
        <v>587</v>
      </c>
      <c r="E31" s="1002" t="str">
        <f>HYPERLINK("#15!G1","15")</f>
        <v>15</v>
      </c>
      <c r="F31" s="1003"/>
      <c r="G31" s="1004"/>
      <c r="H31" s="999" t="str">
        <f>HYPERLINK("http://kaart.delfi.ee/?bookmark=521b80d6ceeefbe3e5d227267242b576","Kohtla-Järve, Järveküla tee 44")</f>
        <v>Kohtla-Järve, Järveküla tee 44</v>
      </c>
      <c r="I31" s="987" t="s">
        <v>1180</v>
      </c>
      <c r="J31" s="988">
        <v>10</v>
      </c>
      <c r="K31" s="978">
        <f>Mehed!U128</f>
        <v>22</v>
      </c>
      <c r="L31" s="291"/>
    </row>
    <row r="32" spans="1:12" x14ac:dyDescent="0.2">
      <c r="A32" s="970" t="s">
        <v>594</v>
      </c>
      <c r="B32" s="991" t="s">
        <v>590</v>
      </c>
      <c r="C32" s="1006" t="str">
        <f>HYPERLINK("http://www.petanque.ee/index.php?id=103738&amp;cid=444","Eesti reitinguvõistlus, 3. Viru karikas")</f>
        <v>Eesti reitinguvõistlus, 3. Viru karikas</v>
      </c>
      <c r="D32" s="970" t="s">
        <v>586</v>
      </c>
      <c r="E32" s="979" t="str">
        <f>HYPERLINK("#16!G1","16")</f>
        <v>16</v>
      </c>
      <c r="F32" s="980"/>
      <c r="G32" s="981"/>
      <c r="H32" s="976" t="str">
        <f>HYPERLINK("http://kaart.delfi.ee/?bookmark=521b80d6ceeefbe3e5d227267242b576","Kohtla-Järve, Järveküla tee 44")</f>
        <v>Kohtla-Järve, Järveküla tee 44</v>
      </c>
      <c r="I32" s="972" t="s">
        <v>1180</v>
      </c>
      <c r="J32" s="977">
        <v>8</v>
      </c>
      <c r="K32" s="978">
        <f>Mehed!V128</f>
        <v>23</v>
      </c>
      <c r="L32" s="291"/>
    </row>
    <row r="33" spans="1:12" hidden="1" x14ac:dyDescent="0.2">
      <c r="A33" s="296"/>
      <c r="B33" s="297"/>
      <c r="C33" s="296"/>
      <c r="D33" s="296"/>
      <c r="E33" s="942"/>
      <c r="F33" s="955"/>
      <c r="G33" s="943"/>
      <c r="H33" s="46"/>
      <c r="I33" s="622"/>
      <c r="J33" s="301"/>
      <c r="K33" s="302"/>
      <c r="L33" s="291"/>
    </row>
    <row r="34" spans="1:12" x14ac:dyDescent="0.2">
      <c r="A34" s="748" t="s">
        <v>902</v>
      </c>
      <c r="B34" s="743" t="s">
        <v>751</v>
      </c>
      <c r="C34" s="1007" t="str">
        <f>HYPERLINK("http://www.petanque.ee/index.php?id=103738&amp;cid=449","13. Klubide karikas (alagrupid)")</f>
        <v>13. Klubide karikas (alagrupid)</v>
      </c>
      <c r="D34" s="748" t="s">
        <v>1004</v>
      </c>
      <c r="E34" s="950" t="str">
        <f>HYPERLINK("#'KK-Ala'!J1","KK-Ala")</f>
        <v>KK-Ala</v>
      </c>
      <c r="F34" s="959"/>
      <c r="G34" s="951"/>
      <c r="H34" s="744" t="str">
        <f>HYPERLINK("http://kaart.delfi.ee//?bookmark=36ee67ba7cba151859305c222805d114","Saku, Teaduse 2")</f>
        <v>Saku, Teaduse 2</v>
      </c>
      <c r="I34" s="745" t="s">
        <v>588</v>
      </c>
      <c r="J34" s="746"/>
      <c r="K34" s="784">
        <v>41</v>
      </c>
      <c r="L34" s="291"/>
    </row>
    <row r="35" spans="1:12" x14ac:dyDescent="0.2">
      <c r="A35" s="748" t="s">
        <v>903</v>
      </c>
      <c r="B35" s="743" t="s">
        <v>590</v>
      </c>
      <c r="C35" s="1007" t="str">
        <f>HYPERLINK("http://www.petanque.ee/index.php?id=103738&amp;cid=450","13. Klubide karikas (poolfinaal, finaal)")</f>
        <v>13. Klubide karikas (poolfinaal, finaal)</v>
      </c>
      <c r="D35" s="748" t="s">
        <v>1004</v>
      </c>
      <c r="E35" s="950" t="str">
        <f>HYPERLINK("#'KK-Fin'!J1","KK-Fin")</f>
        <v>KK-Fin</v>
      </c>
      <c r="F35" s="959"/>
      <c r="G35" s="951"/>
      <c r="H35" s="744" t="str">
        <f>HYPERLINK("http://kaart.delfi.ee//?bookmark=36ee67ba7cba151859305c222805d114","Saku, Teaduse 2")</f>
        <v>Saku, Teaduse 2</v>
      </c>
      <c r="I35" s="745" t="s">
        <v>588</v>
      </c>
      <c r="J35" s="746"/>
      <c r="K35" s="747"/>
      <c r="L35" s="291"/>
    </row>
    <row r="36" spans="1:12" x14ac:dyDescent="0.2">
      <c r="A36" s="909" t="s">
        <v>1043</v>
      </c>
      <c r="B36" s="910" t="s">
        <v>751</v>
      </c>
      <c r="C36" s="917" t="str">
        <f>HYPERLINK("http://www.petanque.ee/index.php?id=103738&amp;cid=451","23. Eesti-Soome maavõistlus")</f>
        <v>23. Eesti-Soome maavõistlus</v>
      </c>
      <c r="D36" s="909" t="s">
        <v>1215</v>
      </c>
      <c r="E36" s="952" t="str">
        <f>HYPERLINK("#'Ee-So'!J1","Ee-So")</f>
        <v>Ee-So</v>
      </c>
      <c r="F36" s="960"/>
      <c r="G36" s="953"/>
      <c r="H36" s="911" t="str">
        <f>HYPERLINK("https://www.google.com/maps/dir/60.1955816,24.9359298/60.1948296,24.9330223/@60.1958625,24.9317434,401m/am=t/data=!3m2!1e3!4b1!4m2!4m1!3e0?hl=en","Helsingi, Pasila petangihall")</f>
        <v>Helsingi, Pasila petangihall</v>
      </c>
      <c r="I36" s="912" t="s">
        <v>1044</v>
      </c>
      <c r="J36" s="913"/>
      <c r="K36" s="914">
        <v>40</v>
      </c>
      <c r="L36" s="291"/>
    </row>
    <row r="38" spans="1:12" s="291" customFormat="1" x14ac:dyDescent="0.2">
      <c r="A38" s="1010" t="s">
        <v>1066</v>
      </c>
      <c r="B38" s="305"/>
      <c r="C38" s="305"/>
      <c r="J38" s="298"/>
    </row>
    <row r="39" spans="1:12" x14ac:dyDescent="0.2">
      <c r="A39" s="299" t="s">
        <v>595</v>
      </c>
      <c r="K39" s="873" t="s">
        <v>1158</v>
      </c>
    </row>
  </sheetData>
  <autoFilter ref="A4:J35"/>
  <conditionalFormatting sqref="K6:K7 K14:K16 K9:K10 K19:K32">
    <cfRule type="top10" dxfId="328" priority="12391" stopIfTrue="1" rank="1"/>
  </conditionalFormatting>
  <printOptions horizontalCentered="1"/>
  <pageMargins left="0.39370078740157483" right="0.39370078740157483" top="0.98425196850393704" bottom="0.39370078740157483" header="0.78740157480314965" footer="0"/>
  <pageSetup paperSize="9" fitToHeight="0" orientation="landscape" horizontalDpi="180" verticalDpi="180" r:id="rId1"/>
  <headerFooter>
    <oddHeader>&amp;R&amp;"Arial,Regular"&amp;9Page &amp;P of &amp;N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Z178"/>
  <sheetViews>
    <sheetView showGridLines="0" showRowColHeaders="0" tabSelected="1" zoomScaleNormal="100" workbookViewId="0">
      <pane ySplit="8" topLeftCell="A9" activePane="bottomLeft" state="frozen"/>
      <selection pane="bottomLeft" activeCell="I1" sqref="I1"/>
    </sheetView>
  </sheetViews>
  <sheetFormatPr defaultRowHeight="12.75" x14ac:dyDescent="0.2"/>
  <cols>
    <col min="1" max="1" width="6" style="4" customWidth="1"/>
    <col min="2" max="2" width="19.85546875" style="4" customWidth="1"/>
    <col min="3" max="3" width="7" style="2" bestFit="1" customWidth="1"/>
    <col min="4" max="4" width="2.28515625" style="4" hidden="1" customWidth="1"/>
    <col min="5" max="5" width="1.85546875" style="4" hidden="1" customWidth="1"/>
    <col min="6" max="6" width="4.85546875" style="4" bestFit="1" customWidth="1"/>
    <col min="7" max="12" width="5.42578125" style="3" customWidth="1"/>
    <col min="13" max="14" width="5.42578125" style="4" customWidth="1"/>
    <col min="15" max="16" width="5.42578125" style="3" customWidth="1"/>
    <col min="17" max="22" width="5.42578125" style="4" customWidth="1"/>
    <col min="23" max="23" width="3" style="4" customWidth="1"/>
    <col min="24" max="24" width="3.85546875" style="4" customWidth="1"/>
    <col min="25" max="25" width="3.42578125" style="4" customWidth="1"/>
    <col min="26" max="26" width="5" style="4" customWidth="1"/>
    <col min="27" max="16384" width="9.140625" style="4"/>
  </cols>
  <sheetData>
    <row r="1" spans="1:26" x14ac:dyDescent="0.2">
      <c r="B1" s="1" t="s">
        <v>0</v>
      </c>
      <c r="C1" s="1"/>
      <c r="D1" s="2"/>
      <c r="E1" s="2"/>
      <c r="F1" s="2"/>
      <c r="J1" s="4"/>
      <c r="N1" s="165" t="s">
        <v>1</v>
      </c>
      <c r="P1" s="159" t="s">
        <v>1075</v>
      </c>
      <c r="R1" s="161" t="s">
        <v>1076</v>
      </c>
      <c r="T1" s="162" t="s">
        <v>1077</v>
      </c>
      <c r="U1" s="164"/>
      <c r="V1" s="854" t="s">
        <v>1078</v>
      </c>
      <c r="W1" s="6"/>
      <c r="X1" s="7" t="s">
        <v>4</v>
      </c>
      <c r="Y1" s="7"/>
    </row>
    <row r="2" spans="1:26" x14ac:dyDescent="0.2">
      <c r="B2" s="8" t="s">
        <v>1066</v>
      </c>
      <c r="C2" s="1"/>
      <c r="D2" s="2"/>
      <c r="E2" s="2"/>
      <c r="F2" s="2"/>
      <c r="G2" s="9"/>
      <c r="H2" s="9"/>
      <c r="I2" s="9"/>
      <c r="J2" s="10"/>
      <c r="K2" s="10"/>
      <c r="L2" s="10"/>
      <c r="M2" s="2"/>
      <c r="N2" s="2"/>
      <c r="O2" s="1093" t="s">
        <v>1214</v>
      </c>
      <c r="P2" s="1094"/>
      <c r="Q2" s="1094"/>
      <c r="R2" s="1095"/>
      <c r="S2" s="1094"/>
      <c r="T2" s="1094"/>
      <c r="U2" s="1094"/>
      <c r="V2" s="1096"/>
      <c r="W2" s="6"/>
      <c r="X2" s="11" t="s">
        <v>6</v>
      </c>
      <c r="Y2" s="11"/>
    </row>
    <row r="3" spans="1:26" x14ac:dyDescent="0.2">
      <c r="A3" s="2"/>
      <c r="B3" s="399" t="s">
        <v>900</v>
      </c>
      <c r="C3" s="874"/>
      <c r="D3" s="875"/>
      <c r="E3" s="876"/>
      <c r="F3" s="876"/>
      <c r="G3" s="10"/>
      <c r="H3" s="10"/>
      <c r="I3" s="10"/>
      <c r="J3" s="10"/>
      <c r="K3" s="10"/>
      <c r="L3" s="10"/>
      <c r="M3" s="2"/>
      <c r="N3" s="2"/>
      <c r="O3" s="10"/>
      <c r="P3" s="10"/>
      <c r="Q3" s="2"/>
      <c r="R3" s="2"/>
      <c r="S3" s="2"/>
      <c r="T3" s="2"/>
      <c r="U3" s="2"/>
      <c r="V3" s="2"/>
      <c r="W3" s="6"/>
      <c r="X3" s="12" t="s">
        <v>7</v>
      </c>
      <c r="Y3" s="12"/>
    </row>
    <row r="4" spans="1:26" x14ac:dyDescent="0.2">
      <c r="A4" s="601" t="s">
        <v>8</v>
      </c>
      <c r="B4" s="14"/>
      <c r="C4" s="15" t="s">
        <v>8</v>
      </c>
      <c r="D4" s="15"/>
      <c r="E4" s="15"/>
      <c r="F4" s="1097" t="s">
        <v>8</v>
      </c>
      <c r="G4" s="46" t="str">
        <f>HYPERLINK("http://kaart.delfi.ee//?bookmark=02a763eb5e2ccd81dd84675ce47ef3f0","Jüri")</f>
        <v>Jüri</v>
      </c>
      <c r="H4" s="46" t="str">
        <f>HYPERLINK("http://kaart.delfi.ee//?bookmark=02a763eb5e2ccd81dd84675ce47ef3f0","Jüri")</f>
        <v>Jüri</v>
      </c>
      <c r="I4" s="140" t="str">
        <f>HYPERLINK("http://kaart.delfi.ee/?bookmark=fe8345aadbbb857f009aae03c00eea11","Tallinn")</f>
        <v>Tallinn</v>
      </c>
      <c r="J4" s="46" t="str">
        <f>HYPERLINK("http://kaart.delfi.ee//?bookmark=36ee67ba7cba151859305c222805d114","Saku")</f>
        <v>Saku</v>
      </c>
      <c r="K4" s="50" t="str">
        <f>HYPERLINK("http://kaart.delfi.ee/?bookmark=a13a9530590da153a95a150c883f6040","Viljandi")</f>
        <v>Viljandi</v>
      </c>
      <c r="L4" s="50" t="str">
        <f>HYPERLINK("http://kaart.delfi.ee/?bookmark=a13a9530590da153a95a150c883f6040","Viljandi")</f>
        <v>Viljandi</v>
      </c>
      <c r="M4" s="513" t="s">
        <v>785</v>
      </c>
      <c r="N4" s="601" t="s">
        <v>785</v>
      </c>
      <c r="O4" s="47" t="str">
        <f>HYPERLINK("http://kaart.delfi.ee/?bookmark=037591353bf9698628b723dab6c5e799","Valga")</f>
        <v>Valga</v>
      </c>
      <c r="P4" s="50" t="str">
        <f>HYPERLINK("http://kaart.delfi.ee/?bookmark=037591353bf9698628b723dab6c5e799","Valga")</f>
        <v>Valga</v>
      </c>
      <c r="Q4" s="47" t="str">
        <f>HYPERLINK("http://kaart.delfi.ee/?bookmark=0eb4bf4e7fb4b30009b7d7543818abd1","Kärdla")</f>
        <v>Kärdla</v>
      </c>
      <c r="R4" s="50" t="str">
        <f>HYPERLINK("http://kaart.delfi.ee/?bookmark=0eb4bf4e7fb4b30009b7d7543818abd1","Kärdla")</f>
        <v>Kärdla</v>
      </c>
      <c r="S4" s="51" t="s">
        <v>9</v>
      </c>
      <c r="T4" s="601" t="s">
        <v>785</v>
      </c>
      <c r="U4" s="47" t="str">
        <f>HYPERLINK("http://kaart.delfi.ee/?bookmark=521b80d6ceeefbe3e5d227267242b576","K-Järve")</f>
        <v>K-Järve</v>
      </c>
      <c r="V4" s="46" t="str">
        <f>HYPERLINK("http://kaart.delfi.ee/?bookmark=521b80d6ceeefbe3e5d227267242b576","K-Järve")</f>
        <v>K-Järve</v>
      </c>
      <c r="W4" s="16" t="s">
        <v>10</v>
      </c>
      <c r="X4" s="17"/>
      <c r="Y4" s="18"/>
      <c r="Z4" s="19"/>
    </row>
    <row r="5" spans="1:26" ht="13.5" thickBot="1" x14ac:dyDescent="0.25">
      <c r="A5" s="601" t="s">
        <v>8</v>
      </c>
      <c r="B5" s="616" t="s">
        <v>1071</v>
      </c>
      <c r="C5" s="15" t="s">
        <v>8</v>
      </c>
      <c r="D5" s="15"/>
      <c r="E5" s="15"/>
      <c r="F5" s="1098" t="s">
        <v>11</v>
      </c>
      <c r="G5" s="333" t="s">
        <v>3</v>
      </c>
      <c r="H5" s="333" t="s">
        <v>1067</v>
      </c>
      <c r="I5" s="848" t="s">
        <v>2</v>
      </c>
      <c r="J5" s="849" t="s">
        <v>3</v>
      </c>
      <c r="K5" s="333" t="s">
        <v>3</v>
      </c>
      <c r="L5" s="333" t="s">
        <v>1068</v>
      </c>
      <c r="M5" s="848" t="s">
        <v>2</v>
      </c>
      <c r="N5" s="849" t="s">
        <v>3</v>
      </c>
      <c r="O5" s="626" t="s">
        <v>2</v>
      </c>
      <c r="P5" s="333" t="s">
        <v>3</v>
      </c>
      <c r="Q5" s="848" t="s">
        <v>2</v>
      </c>
      <c r="R5" s="849" t="s">
        <v>3</v>
      </c>
      <c r="S5" s="626" t="s">
        <v>2</v>
      </c>
      <c r="T5" s="849" t="s">
        <v>3</v>
      </c>
      <c r="U5" s="626" t="s">
        <v>2</v>
      </c>
      <c r="V5" s="333" t="s">
        <v>1069</v>
      </c>
      <c r="W5" s="20" t="s">
        <v>8</v>
      </c>
      <c r="X5" s="16" t="s">
        <v>12</v>
      </c>
      <c r="Y5" s="18"/>
      <c r="Z5" s="21" t="s">
        <v>13</v>
      </c>
    </row>
    <row r="6" spans="1:26" x14ac:dyDescent="0.2">
      <c r="A6" s="67"/>
      <c r="B6" s="15" t="s">
        <v>8</v>
      </c>
      <c r="C6" s="15" t="s">
        <v>8</v>
      </c>
      <c r="D6" s="15"/>
      <c r="E6" s="15"/>
      <c r="F6" s="1098" t="s">
        <v>14</v>
      </c>
      <c r="G6" s="290" t="str">
        <f>HYPERLINK("http://www.petanque.ee/index.php?id=103738&amp;cid=416",MID(Kalend!A6,4,5))</f>
        <v>07.05</v>
      </c>
      <c r="H6" s="290" t="str">
        <f>HYPERLINK("http://www.petanque.ee/index.php?id=103738&amp;cid=417",MID(Kalend!A7,4,5))</f>
        <v>08.05</v>
      </c>
      <c r="I6" s="850" t="str">
        <f>HYPERLINK("http://www.petanque.ee/index.php?id=103738&amp;cid=420",MID(Kalend!A9,4,5))</f>
        <v>21.05</v>
      </c>
      <c r="J6" s="851" t="str">
        <f>HYPERLINK("http://www.petanque.ee/index.php?id=103738&amp;cid=421",MID(Kalend!A10,4,5))</f>
        <v>22.05</v>
      </c>
      <c r="K6" s="290" t="str">
        <f>HYPERLINK("http://www.petanque.ee/index.php?id=103738&amp;cid=423",MID(Kalend!A14,4,5))</f>
        <v>04.06</v>
      </c>
      <c r="L6" s="290" t="str">
        <f>HYPERLINK("http://www.petanque.ee/index.php?id=103738&amp;cid=424",MID(Kalend!A15,4,5))</f>
        <v>05.06</v>
      </c>
      <c r="M6" s="850" t="str">
        <f>HYPERLINK("http://www.petanque.ee/index.php?id=103738&amp;cid=427",MID(Kalend!A19,4,5))</f>
        <v>18.06</v>
      </c>
      <c r="N6" s="851" t="str">
        <f>HYPERLINK("http://www.petanque.ee/index.php?id=103738&amp;cid=428",MID(Kalend!A20,4,5))</f>
        <v>19.06</v>
      </c>
      <c r="O6" s="48" t="str">
        <f>HYPERLINK("http://www.petanque.ee/index.php?id=103738&amp;cid=432",MID(Kalend!A23,4,5))</f>
        <v>09.07</v>
      </c>
      <c r="P6" s="290" t="str">
        <f>HYPERLINK("http://www.petanque.ee/index.php?id=103738&amp;cid=433",MID(Kalend!A24,4,5))</f>
        <v>10.07</v>
      </c>
      <c r="Q6" s="850" t="str">
        <f>HYPERLINK("http://www.petanque.ee/index.php?id=103738&amp;cid=434",MID(Kalend!A25,4,5))</f>
        <v>16.07</v>
      </c>
      <c r="R6" s="851" t="str">
        <f>HYPERLINK("http://www.petanque.ee/index.php?id=103738&amp;cid=435",MID(Kalend!A26,4,5))</f>
        <v>17.07</v>
      </c>
      <c r="S6" s="48" t="str">
        <f>HYPERLINK("http://www.petanque.ee/index.php?id=103738&amp;cid=437",MID(Kalend!A27,4,5))</f>
        <v>24.07</v>
      </c>
      <c r="T6" s="851" t="str">
        <f>HYPERLINK("http://www.petanque.ee/index.php?id=103738&amp;cid=442",MID(Kalend!A30,4,5))</f>
        <v>07.08</v>
      </c>
      <c r="U6" s="846" t="str">
        <f>HYPERLINK("http://www.petanque.ee/index.php?id=103738&amp;cid=443",MID(Kalend!A31,4,5))</f>
        <v>13.08</v>
      </c>
      <c r="V6" s="847" t="str">
        <f>HYPERLINK("http://www.petanque.ee/index.php?id=103738&amp;cid=444",MID(Kalend!A32,4,5))</f>
        <v>14.08</v>
      </c>
      <c r="W6" s="23"/>
      <c r="X6" s="20" t="s">
        <v>15</v>
      </c>
      <c r="Y6" s="24" t="s">
        <v>16</v>
      </c>
      <c r="Z6" s="21" t="s">
        <v>17</v>
      </c>
    </row>
    <row r="7" spans="1:26" x14ac:dyDescent="0.2">
      <c r="A7" s="872" t="s">
        <v>28</v>
      </c>
      <c r="B7" s="15" t="s">
        <v>8</v>
      </c>
      <c r="C7" s="871" t="s">
        <v>30</v>
      </c>
      <c r="D7" s="73" t="s">
        <v>31</v>
      </c>
      <c r="E7" s="73" t="s">
        <v>32</v>
      </c>
      <c r="F7" s="1098" t="s">
        <v>18</v>
      </c>
      <c r="G7" s="25" t="s">
        <v>19</v>
      </c>
      <c r="H7" s="25" t="s">
        <v>20</v>
      </c>
      <c r="I7" s="805" t="s">
        <v>21</v>
      </c>
      <c r="J7" s="806" t="s">
        <v>19</v>
      </c>
      <c r="K7" s="25" t="s">
        <v>20</v>
      </c>
      <c r="L7" s="25" t="s">
        <v>19</v>
      </c>
      <c r="M7" s="805" t="s">
        <v>22</v>
      </c>
      <c r="N7" s="806" t="s">
        <v>20</v>
      </c>
      <c r="O7" s="26" t="s">
        <v>23</v>
      </c>
      <c r="P7" s="25" t="s">
        <v>19</v>
      </c>
      <c r="Q7" s="807" t="s">
        <v>20</v>
      </c>
      <c r="R7" s="806" t="s">
        <v>19</v>
      </c>
      <c r="S7" s="26" t="s">
        <v>24</v>
      </c>
      <c r="T7" s="806" t="s">
        <v>20</v>
      </c>
      <c r="U7" s="26" t="s">
        <v>19</v>
      </c>
      <c r="V7" s="25" t="s">
        <v>20</v>
      </c>
      <c r="W7" s="23"/>
      <c r="X7" s="20"/>
      <c r="Y7" s="20" t="s">
        <v>25</v>
      </c>
      <c r="Z7" s="21" t="s">
        <v>26</v>
      </c>
    </row>
    <row r="8" spans="1:26" x14ac:dyDescent="0.2">
      <c r="A8" s="809" t="s">
        <v>741</v>
      </c>
      <c r="B8" s="14" t="s">
        <v>29</v>
      </c>
      <c r="C8" s="871" t="s">
        <v>741</v>
      </c>
      <c r="D8" s="73"/>
      <c r="E8" s="73"/>
      <c r="F8" s="1099" t="s">
        <v>8</v>
      </c>
      <c r="G8" s="628" t="str">
        <f>HYPERLINK("#1!G1"," 1 ")</f>
        <v xml:space="preserve"> 1 </v>
      </c>
      <c r="H8" s="628" t="str">
        <f>HYPERLINK("#2!I1"," 2 ")</f>
        <v xml:space="preserve"> 2 </v>
      </c>
      <c r="I8" s="48" t="str">
        <f>HYPERLINK("#'3M'!K1"," 3 ")</f>
        <v xml:space="preserve"> 3 </v>
      </c>
      <c r="J8" s="628" t="str">
        <f>HYPERLINK("#4!G1"," 4 ")</f>
        <v xml:space="preserve"> 4 </v>
      </c>
      <c r="K8" s="628" t="str">
        <f>HYPERLINK("#5!G1"," 5 ")</f>
        <v xml:space="preserve"> 5 </v>
      </c>
      <c r="L8" s="628" t="str">
        <f>HYPERLINK("#6!G1"," 6 ")</f>
        <v xml:space="preserve"> 6 </v>
      </c>
      <c r="M8" s="627" t="str">
        <f>HYPERLINK("#7!G1"," 7 ")</f>
        <v xml:space="preserve"> 7 </v>
      </c>
      <c r="N8" s="628" t="str">
        <f>HYPERLINK("#8!G1"," 8 ")</f>
        <v xml:space="preserve"> 8 </v>
      </c>
      <c r="O8" s="627" t="str">
        <f>HYPERLINK("#9!G1"," 9 ")</f>
        <v xml:space="preserve"> 9 </v>
      </c>
      <c r="P8" s="45" t="str">
        <f>HYPERLINK("#10!G1","10 ")</f>
        <v xml:space="preserve">10 </v>
      </c>
      <c r="Q8" s="627" t="str">
        <f>HYPERLINK("#11!G1","11 ")</f>
        <v xml:space="preserve">11 </v>
      </c>
      <c r="R8" s="628" t="str">
        <f>HYPERLINK("#12!G1","12 ")</f>
        <v xml:space="preserve">12 </v>
      </c>
      <c r="S8" s="48" t="str">
        <f>HYPERLINK("#'13M'!G1","13 ")</f>
        <v xml:space="preserve">13 </v>
      </c>
      <c r="T8" s="628" t="str">
        <f>HYPERLINK("#14!G1","14 ")</f>
        <v xml:space="preserve">14 </v>
      </c>
      <c r="U8" s="627" t="str">
        <f>HYPERLINK("#15!G1","15 ")</f>
        <v xml:space="preserve">15 </v>
      </c>
      <c r="V8" s="628" t="str">
        <f>HYPERLINK("#16!G1","16 ")</f>
        <v xml:space="preserve">16 </v>
      </c>
      <c r="W8" s="28"/>
      <c r="X8" s="29"/>
      <c r="Y8" s="29"/>
      <c r="Z8" s="30"/>
    </row>
    <row r="9" spans="1:26" x14ac:dyDescent="0.2">
      <c r="A9" s="139">
        <v>1</v>
      </c>
      <c r="B9" s="601" t="s">
        <v>36</v>
      </c>
      <c r="C9" s="139">
        <v>1426</v>
      </c>
      <c r="D9" s="64"/>
      <c r="E9" s="64"/>
      <c r="F9" s="1100">
        <v>31</v>
      </c>
      <c r="G9" s="575" t="s">
        <v>397</v>
      </c>
      <c r="H9" s="575" t="s">
        <v>397</v>
      </c>
      <c r="I9" s="575">
        <v>65</v>
      </c>
      <c r="J9" s="575" t="s">
        <v>397</v>
      </c>
      <c r="K9" s="15">
        <v>79</v>
      </c>
      <c r="L9" s="15">
        <v>74</v>
      </c>
      <c r="M9" s="32">
        <v>158</v>
      </c>
      <c r="N9" s="15">
        <v>115</v>
      </c>
      <c r="O9" s="15">
        <v>126</v>
      </c>
      <c r="P9" s="15">
        <v>115</v>
      </c>
      <c r="Q9" s="15">
        <v>78</v>
      </c>
      <c r="R9" s="15">
        <v>84</v>
      </c>
      <c r="S9" s="15">
        <v>173</v>
      </c>
      <c r="T9" s="15">
        <v>115</v>
      </c>
      <c r="U9" s="15">
        <v>173</v>
      </c>
      <c r="V9" s="15">
        <v>105</v>
      </c>
      <c r="W9" s="31">
        <f>COUNTIF(G9:V9,"&gt;=0")</f>
        <v>13</v>
      </c>
      <c r="X9" s="439">
        <f t="shared" ref="X9:X40" si="0">COUNTIF(G9:H9,"&gt;=97")+COUNTIF(J9:L9,"&gt;=97")+COUNTIF(N9,"&gt;=97")+COUNTIF(P9,"&gt;=97")+COUNTIF(R9,"&gt;=97")+COUNTIF(T9,"&gt;=97")+COUNTIF(V9,"&gt;=97")+COUNTIF(I9,"&gt;=146")+COUNTIF(M9,"&gt;=146")+COUNTIF(O9,"&gt;=146")+COUNTIF(Q9,"&gt;=146")+COUNTIF(S9,"&gt;=146")+COUNTIF(U9,"&gt;=146")+IF((D9="n"),(COUNTIF(I9,"=83")+COUNTIF(I9,"=93")+COUNTIF(I9,"=105")+COUNTIF(S9,"=83")+COUNTIF(S9,"=93")+COUNTIF(S9,"=105")))+IF((E9="j"),(COUNTIF(I9,"=33")+COUNTIF(I9,"=42")+COUNTIF(I9,"=53")+COUNTIF(S9,"=33")+COUNTIF(S9,"=42")+COUNTIF(S9,"=53")))</f>
        <v>7</v>
      </c>
      <c r="Y9" s="510">
        <f>COUNTIF(G9:H9,"=115")+COUNTIF(J9:L9,"=115")+COUNTIF(N9,"=115")+COUNTIF(P9,"=115")+COUNTIF(R9,"=115")+COUNTIF(T9,"=115")+COUNTIF(V9,"=115")+COUNTIF(G9:V9,"=173")+IF((D9="n"),(COUNTIF(I9,"=105")+IF((D9="n"),(COUNTIF(S9,"=105")))))</f>
        <v>5</v>
      </c>
      <c r="Z9" s="511">
        <f>COUNTIF(G9:V9,"=173")+IF((D9="n"),(COUNTIF(I9,"=105")+IF((D9="n"),(COUNTIF(S9,"=105")))))</f>
        <v>2</v>
      </c>
    </row>
    <row r="10" spans="1:26" x14ac:dyDescent="0.2">
      <c r="A10" s="139">
        <v>2</v>
      </c>
      <c r="B10" s="54" t="s">
        <v>41</v>
      </c>
      <c r="C10" s="870">
        <v>1418</v>
      </c>
      <c r="D10" s="64"/>
      <c r="E10" s="64"/>
      <c r="F10" s="1100">
        <v>105</v>
      </c>
      <c r="G10" s="575">
        <v>79</v>
      </c>
      <c r="H10" s="15">
        <v>115</v>
      </c>
      <c r="I10" s="15">
        <v>135</v>
      </c>
      <c r="J10" s="15">
        <v>90</v>
      </c>
      <c r="K10" s="575" t="s">
        <v>397</v>
      </c>
      <c r="L10" s="15">
        <v>84</v>
      </c>
      <c r="M10" s="32">
        <v>146</v>
      </c>
      <c r="N10" s="15">
        <v>90</v>
      </c>
      <c r="O10" s="15">
        <v>96</v>
      </c>
      <c r="P10" s="15">
        <v>84</v>
      </c>
      <c r="Q10" s="430">
        <v>135</v>
      </c>
      <c r="R10" s="15">
        <v>97</v>
      </c>
      <c r="S10" s="575">
        <v>71.5</v>
      </c>
      <c r="T10" s="575">
        <v>79</v>
      </c>
      <c r="U10" s="15">
        <v>126</v>
      </c>
      <c r="V10" s="15">
        <v>115</v>
      </c>
      <c r="W10" s="33">
        <f t="shared" ref="W10:W73" si="1">COUNTIF(G10:V10,"&gt;=0")</f>
        <v>15</v>
      </c>
      <c r="X10" s="440">
        <f t="shared" si="0"/>
        <v>4</v>
      </c>
      <c r="Y10" s="441">
        <f t="shared" ref="Y10:Y73" si="2">COUNTIF(G10:H10,"=115")+COUNTIF(J10:L10,"=115")+COUNTIF(N10,"=115")+COUNTIF(P10,"=115")+COUNTIF(R10,"=115")+COUNTIF(T10,"=115")+COUNTIF(V10,"=115")+COUNTIF(G10:V10,"=173")+IF((D10="n"),(COUNTIF(I10,"=105")+IF((D10="n"),(COUNTIF(S10,"=105")))))</f>
        <v>2</v>
      </c>
      <c r="Z10" s="34">
        <f t="shared" ref="Z10:Z73" si="3">COUNTIF(G10:V10,"=173")+IF((D10="n"),(COUNTIF(I10,"=105")+IF((D10="n"),(COUNTIF(S10,"=105")))))</f>
        <v>0</v>
      </c>
    </row>
    <row r="11" spans="1:26" x14ac:dyDescent="0.2">
      <c r="A11" s="139">
        <v>3</v>
      </c>
      <c r="B11" s="601" t="s">
        <v>33</v>
      </c>
      <c r="C11" s="139">
        <v>1258</v>
      </c>
      <c r="D11" s="64"/>
      <c r="E11" s="64"/>
      <c r="F11" s="1100">
        <v>52</v>
      </c>
      <c r="G11" s="15">
        <v>105</v>
      </c>
      <c r="H11" s="575">
        <v>64</v>
      </c>
      <c r="I11" s="15">
        <v>119</v>
      </c>
      <c r="J11" s="15">
        <v>115</v>
      </c>
      <c r="K11" s="15">
        <v>64</v>
      </c>
      <c r="L11" s="575">
        <v>60</v>
      </c>
      <c r="M11" s="15">
        <v>111</v>
      </c>
      <c r="N11" s="15">
        <v>84</v>
      </c>
      <c r="O11" s="15">
        <v>84</v>
      </c>
      <c r="P11" s="15">
        <v>84</v>
      </c>
      <c r="Q11" s="575">
        <v>74</v>
      </c>
      <c r="R11" s="15">
        <v>64</v>
      </c>
      <c r="S11" s="15">
        <v>146</v>
      </c>
      <c r="T11" s="15">
        <v>84</v>
      </c>
      <c r="U11" s="15">
        <v>146</v>
      </c>
      <c r="V11" s="575">
        <v>60</v>
      </c>
      <c r="W11" s="33">
        <f t="shared" si="1"/>
        <v>16</v>
      </c>
      <c r="X11" s="440">
        <f t="shared" si="0"/>
        <v>4</v>
      </c>
      <c r="Y11" s="441">
        <f t="shared" si="2"/>
        <v>1</v>
      </c>
      <c r="Z11" s="34">
        <f t="shared" si="3"/>
        <v>0</v>
      </c>
    </row>
    <row r="12" spans="1:26" x14ac:dyDescent="0.2">
      <c r="A12" s="139">
        <v>4</v>
      </c>
      <c r="B12" s="601" t="s">
        <v>38</v>
      </c>
      <c r="C12" s="139">
        <v>1216</v>
      </c>
      <c r="D12" s="64"/>
      <c r="E12" s="64"/>
      <c r="F12" s="1100">
        <v>97</v>
      </c>
      <c r="G12" s="15">
        <v>79</v>
      </c>
      <c r="H12" s="15">
        <v>115</v>
      </c>
      <c r="I12" s="15">
        <v>47</v>
      </c>
      <c r="J12" s="15">
        <v>90</v>
      </c>
      <c r="K12" s="15">
        <v>74</v>
      </c>
      <c r="L12" s="15">
        <v>84</v>
      </c>
      <c r="M12" s="32">
        <v>146</v>
      </c>
      <c r="N12" s="15">
        <v>90</v>
      </c>
      <c r="O12" s="575" t="s">
        <v>397</v>
      </c>
      <c r="P12" s="575" t="s">
        <v>397</v>
      </c>
      <c r="Q12" s="15">
        <v>74</v>
      </c>
      <c r="R12" s="575">
        <v>64</v>
      </c>
      <c r="S12" s="15">
        <v>111</v>
      </c>
      <c r="T12" s="15">
        <v>105</v>
      </c>
      <c r="U12" s="15">
        <v>104</v>
      </c>
      <c r="V12" s="575">
        <v>56</v>
      </c>
      <c r="W12" s="33">
        <f t="shared" si="1"/>
        <v>14</v>
      </c>
      <c r="X12" s="440">
        <f t="shared" si="0"/>
        <v>3</v>
      </c>
      <c r="Y12" s="441">
        <f t="shared" si="2"/>
        <v>1</v>
      </c>
      <c r="Z12" s="34">
        <f t="shared" si="3"/>
        <v>0</v>
      </c>
    </row>
    <row r="13" spans="1:26" x14ac:dyDescent="0.2">
      <c r="A13" s="139">
        <v>5</v>
      </c>
      <c r="B13" s="67" t="s">
        <v>68</v>
      </c>
      <c r="C13" s="870">
        <v>1152</v>
      </c>
      <c r="D13" s="64"/>
      <c r="E13" s="64"/>
      <c r="F13" s="1100">
        <v>84</v>
      </c>
      <c r="G13" s="575" t="s">
        <v>397</v>
      </c>
      <c r="H13" s="575" t="s">
        <v>397</v>
      </c>
      <c r="I13" s="15">
        <v>38</v>
      </c>
      <c r="J13" s="15">
        <v>97</v>
      </c>
      <c r="K13" s="15">
        <v>79</v>
      </c>
      <c r="L13" s="15">
        <v>115</v>
      </c>
      <c r="M13" s="15">
        <v>126</v>
      </c>
      <c r="N13" s="15">
        <v>105</v>
      </c>
      <c r="O13" s="575" t="s">
        <v>397</v>
      </c>
      <c r="P13" s="15">
        <v>79</v>
      </c>
      <c r="Q13" s="15"/>
      <c r="R13" s="575" t="s">
        <v>397</v>
      </c>
      <c r="S13" s="15">
        <v>158</v>
      </c>
      <c r="T13" s="15">
        <v>97</v>
      </c>
      <c r="U13" s="15">
        <v>90</v>
      </c>
      <c r="V13" s="15">
        <v>84</v>
      </c>
      <c r="W13" s="33">
        <f t="shared" si="1"/>
        <v>11</v>
      </c>
      <c r="X13" s="440">
        <f t="shared" si="0"/>
        <v>5</v>
      </c>
      <c r="Y13" s="441">
        <f t="shared" si="2"/>
        <v>1</v>
      </c>
      <c r="Z13" s="34">
        <f t="shared" si="3"/>
        <v>0</v>
      </c>
    </row>
    <row r="14" spans="1:26" x14ac:dyDescent="0.2">
      <c r="A14" s="139">
        <v>6</v>
      </c>
      <c r="B14" s="601" t="s">
        <v>47</v>
      </c>
      <c r="C14" s="139">
        <v>1136.5</v>
      </c>
      <c r="D14" s="64"/>
      <c r="E14" s="64"/>
      <c r="F14" s="1100">
        <v>12</v>
      </c>
      <c r="G14" s="15">
        <v>105</v>
      </c>
      <c r="H14" s="15">
        <v>90</v>
      </c>
      <c r="I14" s="15">
        <v>60</v>
      </c>
      <c r="J14" s="15">
        <v>115</v>
      </c>
      <c r="K14" s="575">
        <v>64</v>
      </c>
      <c r="L14" s="575">
        <v>60</v>
      </c>
      <c r="M14" s="32">
        <v>111</v>
      </c>
      <c r="N14" s="15">
        <v>84</v>
      </c>
      <c r="O14" s="15">
        <v>84</v>
      </c>
      <c r="P14" s="15">
        <v>84</v>
      </c>
      <c r="Q14" s="575" t="s">
        <v>397</v>
      </c>
      <c r="R14" s="575" t="s">
        <v>397</v>
      </c>
      <c r="S14" s="15">
        <v>71.5</v>
      </c>
      <c r="T14" s="15">
        <v>84</v>
      </c>
      <c r="U14" s="15">
        <v>146</v>
      </c>
      <c r="V14" s="15">
        <v>90</v>
      </c>
      <c r="W14" s="33">
        <f t="shared" si="1"/>
        <v>14</v>
      </c>
      <c r="X14" s="440">
        <f t="shared" si="0"/>
        <v>3</v>
      </c>
      <c r="Y14" s="441">
        <f t="shared" si="2"/>
        <v>1</v>
      </c>
      <c r="Z14" s="34">
        <f t="shared" si="3"/>
        <v>0</v>
      </c>
    </row>
    <row r="15" spans="1:26" x14ac:dyDescent="0.2">
      <c r="A15" s="139">
        <v>7</v>
      </c>
      <c r="B15" s="629" t="s">
        <v>553</v>
      </c>
      <c r="C15" s="139">
        <v>1111</v>
      </c>
      <c r="D15" s="64"/>
      <c r="E15" s="64"/>
      <c r="F15" s="1100"/>
      <c r="G15" s="575" t="s">
        <v>397</v>
      </c>
      <c r="H15" s="575" t="s">
        <v>397</v>
      </c>
      <c r="I15" s="575" t="s">
        <v>397</v>
      </c>
      <c r="J15" s="575" t="s">
        <v>397</v>
      </c>
      <c r="K15" s="15"/>
      <c r="L15" s="15"/>
      <c r="M15" s="15">
        <v>158</v>
      </c>
      <c r="N15" s="15">
        <v>115</v>
      </c>
      <c r="O15" s="15">
        <v>90</v>
      </c>
      <c r="P15" s="15">
        <v>115</v>
      </c>
      <c r="Q15" s="15">
        <v>78</v>
      </c>
      <c r="R15" s="15">
        <v>84</v>
      </c>
      <c r="S15" s="15">
        <v>135</v>
      </c>
      <c r="T15" s="15">
        <v>79</v>
      </c>
      <c r="U15" s="15">
        <v>173</v>
      </c>
      <c r="V15" s="15">
        <v>84</v>
      </c>
      <c r="W15" s="33">
        <f t="shared" si="1"/>
        <v>10</v>
      </c>
      <c r="X15" s="440">
        <f t="shared" si="0"/>
        <v>4</v>
      </c>
      <c r="Y15" s="441">
        <f t="shared" si="2"/>
        <v>3</v>
      </c>
      <c r="Z15" s="34">
        <f t="shared" si="3"/>
        <v>1</v>
      </c>
    </row>
    <row r="16" spans="1:26" x14ac:dyDescent="0.2">
      <c r="A16" s="139">
        <v>8</v>
      </c>
      <c r="B16" s="68" t="s">
        <v>52</v>
      </c>
      <c r="C16" s="870">
        <v>1085</v>
      </c>
      <c r="D16" s="64" t="s">
        <v>35</v>
      </c>
      <c r="E16" s="64"/>
      <c r="F16" s="1100">
        <v>79</v>
      </c>
      <c r="G16" s="15">
        <v>97</v>
      </c>
      <c r="H16" s="15">
        <v>56</v>
      </c>
      <c r="I16" s="575" t="s">
        <v>397</v>
      </c>
      <c r="J16" s="575" t="s">
        <v>397</v>
      </c>
      <c r="K16" s="575" t="s">
        <v>397</v>
      </c>
      <c r="L16" s="575">
        <v>40</v>
      </c>
      <c r="M16" s="32">
        <v>146</v>
      </c>
      <c r="N16" s="15">
        <v>49</v>
      </c>
      <c r="O16" s="15">
        <v>96</v>
      </c>
      <c r="P16" s="15">
        <v>43</v>
      </c>
      <c r="Q16" s="15">
        <v>135</v>
      </c>
      <c r="R16" s="15">
        <v>97</v>
      </c>
      <c r="S16" s="15">
        <v>65</v>
      </c>
      <c r="T16" s="15">
        <v>56</v>
      </c>
      <c r="U16" s="15">
        <v>126</v>
      </c>
      <c r="V16" s="15">
        <v>40</v>
      </c>
      <c r="W16" s="33">
        <f t="shared" si="1"/>
        <v>13</v>
      </c>
      <c r="X16" s="440">
        <f t="shared" si="0"/>
        <v>3</v>
      </c>
      <c r="Y16" s="441">
        <f t="shared" si="2"/>
        <v>0</v>
      </c>
      <c r="Z16" s="34">
        <f t="shared" si="3"/>
        <v>0</v>
      </c>
    </row>
    <row r="17" spans="1:26" x14ac:dyDescent="0.2">
      <c r="A17" s="139">
        <v>9</v>
      </c>
      <c r="B17" s="69" t="s">
        <v>45</v>
      </c>
      <c r="C17" s="139">
        <v>1073</v>
      </c>
      <c r="D17" s="64" t="s">
        <v>35</v>
      </c>
      <c r="E17" s="64"/>
      <c r="F17" s="1100">
        <v>56</v>
      </c>
      <c r="G17" s="15">
        <v>97</v>
      </c>
      <c r="H17" s="15">
        <v>69</v>
      </c>
      <c r="I17" s="15">
        <v>65</v>
      </c>
      <c r="J17" s="15">
        <v>69</v>
      </c>
      <c r="K17" s="15">
        <v>74</v>
      </c>
      <c r="L17" s="575">
        <v>40</v>
      </c>
      <c r="M17" s="15">
        <v>135</v>
      </c>
      <c r="N17" s="575">
        <v>49</v>
      </c>
      <c r="O17" s="575" t="s">
        <v>397</v>
      </c>
      <c r="P17" s="575" t="s">
        <v>397</v>
      </c>
      <c r="Q17" s="15">
        <v>74</v>
      </c>
      <c r="R17" s="15">
        <v>64</v>
      </c>
      <c r="S17" s="15">
        <v>105</v>
      </c>
      <c r="T17" s="15">
        <v>105</v>
      </c>
      <c r="U17" s="15">
        <v>104</v>
      </c>
      <c r="V17" s="430">
        <v>56</v>
      </c>
      <c r="W17" s="33">
        <f t="shared" si="1"/>
        <v>14</v>
      </c>
      <c r="X17" s="440">
        <f t="shared" si="0"/>
        <v>3</v>
      </c>
      <c r="Y17" s="441">
        <f t="shared" si="2"/>
        <v>1</v>
      </c>
      <c r="Z17" s="34">
        <f t="shared" si="3"/>
        <v>1</v>
      </c>
    </row>
    <row r="18" spans="1:26" x14ac:dyDescent="0.2">
      <c r="A18" s="139">
        <v>10</v>
      </c>
      <c r="B18" s="67" t="s">
        <v>66</v>
      </c>
      <c r="C18" s="870">
        <v>1046</v>
      </c>
      <c r="D18" s="64"/>
      <c r="E18" s="64"/>
      <c r="F18" s="1100">
        <v>69</v>
      </c>
      <c r="G18" s="575" t="s">
        <v>397</v>
      </c>
      <c r="H18" s="15">
        <v>69</v>
      </c>
      <c r="I18" s="15">
        <v>42</v>
      </c>
      <c r="J18" s="15">
        <v>105</v>
      </c>
      <c r="K18" s="575" t="s">
        <v>397</v>
      </c>
      <c r="L18" s="15">
        <v>79</v>
      </c>
      <c r="M18" s="32">
        <v>135</v>
      </c>
      <c r="N18" s="575">
        <v>46</v>
      </c>
      <c r="O18" s="575" t="s">
        <v>397</v>
      </c>
      <c r="P18" s="15">
        <v>97</v>
      </c>
      <c r="Q18" s="15">
        <v>96</v>
      </c>
      <c r="R18" s="15">
        <v>74</v>
      </c>
      <c r="S18" s="15"/>
      <c r="T18" s="15">
        <v>97</v>
      </c>
      <c r="U18" s="15">
        <v>119</v>
      </c>
      <c r="V18" s="15">
        <v>64</v>
      </c>
      <c r="W18" s="33">
        <f t="shared" si="1"/>
        <v>12</v>
      </c>
      <c r="X18" s="440">
        <f t="shared" si="0"/>
        <v>3</v>
      </c>
      <c r="Y18" s="441">
        <f t="shared" si="2"/>
        <v>0</v>
      </c>
      <c r="Z18" s="34">
        <f t="shared" si="3"/>
        <v>0</v>
      </c>
    </row>
    <row r="19" spans="1:26" x14ac:dyDescent="0.2">
      <c r="A19" s="139">
        <v>11</v>
      </c>
      <c r="B19" s="601" t="s">
        <v>71</v>
      </c>
      <c r="C19" s="139">
        <v>1011</v>
      </c>
      <c r="D19" s="64"/>
      <c r="E19" s="64"/>
      <c r="F19" s="1100">
        <v>1</v>
      </c>
      <c r="G19" s="15">
        <v>115</v>
      </c>
      <c r="H19" s="575" t="s">
        <v>397</v>
      </c>
      <c r="I19" s="15">
        <v>126</v>
      </c>
      <c r="J19" s="15">
        <v>84</v>
      </c>
      <c r="K19" s="15">
        <v>37</v>
      </c>
      <c r="L19" s="15">
        <v>105</v>
      </c>
      <c r="M19" s="15">
        <v>173</v>
      </c>
      <c r="N19" s="575" t="s">
        <v>397</v>
      </c>
      <c r="O19" s="575" t="s">
        <v>397</v>
      </c>
      <c r="P19" s="575" t="s">
        <v>397</v>
      </c>
      <c r="Q19" s="15">
        <v>146</v>
      </c>
      <c r="R19" s="15">
        <v>105</v>
      </c>
      <c r="S19" s="15">
        <v>119</v>
      </c>
      <c r="T19" s="15"/>
      <c r="U19" s="15"/>
      <c r="V19" s="15"/>
      <c r="W19" s="33">
        <f t="shared" si="1"/>
        <v>9</v>
      </c>
      <c r="X19" s="440">
        <f t="shared" si="0"/>
        <v>5</v>
      </c>
      <c r="Y19" s="441">
        <f t="shared" si="2"/>
        <v>2</v>
      </c>
      <c r="Z19" s="34">
        <f t="shared" si="3"/>
        <v>1</v>
      </c>
    </row>
    <row r="20" spans="1:26" x14ac:dyDescent="0.2">
      <c r="A20" s="139">
        <v>12</v>
      </c>
      <c r="B20" s="67" t="s">
        <v>51</v>
      </c>
      <c r="C20" s="870">
        <v>990.5</v>
      </c>
      <c r="D20" s="64"/>
      <c r="E20" s="64"/>
      <c r="F20" s="1100">
        <v>1</v>
      </c>
      <c r="G20" s="15">
        <v>64</v>
      </c>
      <c r="H20" s="15">
        <v>79</v>
      </c>
      <c r="I20" s="15">
        <v>78</v>
      </c>
      <c r="J20" s="15">
        <v>64</v>
      </c>
      <c r="K20" s="15">
        <v>69</v>
      </c>
      <c r="L20" s="15">
        <v>79</v>
      </c>
      <c r="M20" s="15">
        <v>96</v>
      </c>
      <c r="N20" s="575">
        <v>60</v>
      </c>
      <c r="O20" s="575" t="s">
        <v>397</v>
      </c>
      <c r="P20" s="15">
        <v>97</v>
      </c>
      <c r="Q20" s="15">
        <v>69</v>
      </c>
      <c r="R20" s="15">
        <v>74</v>
      </c>
      <c r="S20" s="15">
        <v>62.5</v>
      </c>
      <c r="T20" s="575">
        <v>52</v>
      </c>
      <c r="U20" s="15">
        <v>158</v>
      </c>
      <c r="V20" s="575">
        <v>49</v>
      </c>
      <c r="W20" s="33">
        <f t="shared" si="1"/>
        <v>15</v>
      </c>
      <c r="X20" s="440">
        <f t="shared" si="0"/>
        <v>2</v>
      </c>
      <c r="Y20" s="441">
        <f t="shared" si="2"/>
        <v>0</v>
      </c>
      <c r="Z20" s="34">
        <f t="shared" si="3"/>
        <v>0</v>
      </c>
    </row>
    <row r="21" spans="1:26" x14ac:dyDescent="0.2">
      <c r="A21" s="139">
        <v>13</v>
      </c>
      <c r="B21" s="601" t="s">
        <v>44</v>
      </c>
      <c r="C21" s="139">
        <v>969</v>
      </c>
      <c r="D21" s="64"/>
      <c r="E21" s="64"/>
      <c r="F21" s="1100">
        <v>1</v>
      </c>
      <c r="G21" s="575" t="s">
        <v>397</v>
      </c>
      <c r="H21" s="15">
        <v>84</v>
      </c>
      <c r="I21" s="15">
        <v>84</v>
      </c>
      <c r="J21" s="575" t="s">
        <v>397</v>
      </c>
      <c r="K21" s="575" t="s">
        <v>397</v>
      </c>
      <c r="L21" s="15">
        <v>74</v>
      </c>
      <c r="M21" s="575" t="s">
        <v>397</v>
      </c>
      <c r="N21" s="15"/>
      <c r="O21" s="15">
        <v>173</v>
      </c>
      <c r="P21" s="15">
        <v>64</v>
      </c>
      <c r="Q21" s="15"/>
      <c r="R21" s="15"/>
      <c r="S21" s="15">
        <v>96</v>
      </c>
      <c r="T21" s="15">
        <v>115</v>
      </c>
      <c r="U21" s="15">
        <v>173</v>
      </c>
      <c r="V21" s="15">
        <v>105</v>
      </c>
      <c r="W21" s="33">
        <f t="shared" si="1"/>
        <v>9</v>
      </c>
      <c r="X21" s="440">
        <f t="shared" si="0"/>
        <v>4</v>
      </c>
      <c r="Y21" s="441">
        <f t="shared" si="2"/>
        <v>3</v>
      </c>
      <c r="Z21" s="34">
        <f t="shared" si="3"/>
        <v>2</v>
      </c>
    </row>
    <row r="22" spans="1:26" x14ac:dyDescent="0.2">
      <c r="A22" s="139">
        <v>14</v>
      </c>
      <c r="B22" s="601" t="s">
        <v>40</v>
      </c>
      <c r="C22" s="139">
        <v>914</v>
      </c>
      <c r="D22" s="64"/>
      <c r="E22" s="64"/>
      <c r="F22" s="1100">
        <v>40</v>
      </c>
      <c r="G22" s="15">
        <v>105</v>
      </c>
      <c r="H22" s="15">
        <v>64</v>
      </c>
      <c r="I22" s="15">
        <v>90</v>
      </c>
      <c r="J22" s="15">
        <v>115</v>
      </c>
      <c r="K22" s="15">
        <v>105</v>
      </c>
      <c r="L22" s="15">
        <v>69</v>
      </c>
      <c r="M22" s="575" t="s">
        <v>397</v>
      </c>
      <c r="N22" s="575" t="s">
        <v>397</v>
      </c>
      <c r="O22" s="15"/>
      <c r="P22" s="575" t="s">
        <v>397</v>
      </c>
      <c r="Q22" s="15"/>
      <c r="R22" s="575" t="s">
        <v>397</v>
      </c>
      <c r="S22" s="15">
        <v>90</v>
      </c>
      <c r="T22" s="15"/>
      <c r="U22" s="15">
        <v>146</v>
      </c>
      <c r="V22" s="15">
        <v>90</v>
      </c>
      <c r="W22" s="33">
        <f t="shared" si="1"/>
        <v>9</v>
      </c>
      <c r="X22" s="440">
        <f t="shared" si="0"/>
        <v>4</v>
      </c>
      <c r="Y22" s="441">
        <f t="shared" si="2"/>
        <v>1</v>
      </c>
      <c r="Z22" s="34">
        <f t="shared" si="3"/>
        <v>0</v>
      </c>
    </row>
    <row r="23" spans="1:26" x14ac:dyDescent="0.2">
      <c r="A23" s="139">
        <v>15</v>
      </c>
      <c r="B23" s="71" t="s">
        <v>49</v>
      </c>
      <c r="C23" s="870">
        <v>906</v>
      </c>
      <c r="D23" s="64"/>
      <c r="E23" s="64" t="s">
        <v>50</v>
      </c>
      <c r="F23" s="1100">
        <v>1</v>
      </c>
      <c r="G23" s="15">
        <v>64</v>
      </c>
      <c r="H23" s="15">
        <v>79</v>
      </c>
      <c r="I23" s="62">
        <v>42</v>
      </c>
      <c r="J23" s="15">
        <v>64</v>
      </c>
      <c r="K23" s="15">
        <v>69</v>
      </c>
      <c r="L23" s="15">
        <v>79</v>
      </c>
      <c r="M23" s="15">
        <v>96</v>
      </c>
      <c r="N23" s="15">
        <v>60</v>
      </c>
      <c r="O23" s="575" t="s">
        <v>397</v>
      </c>
      <c r="P23" s="575">
        <v>40</v>
      </c>
      <c r="Q23" s="15">
        <v>69</v>
      </c>
      <c r="R23" s="15">
        <v>74</v>
      </c>
      <c r="S23" s="15">
        <v>51</v>
      </c>
      <c r="T23" s="575">
        <v>56</v>
      </c>
      <c r="U23" s="15">
        <v>158</v>
      </c>
      <c r="V23" s="575">
        <v>46</v>
      </c>
      <c r="W23" s="33">
        <f t="shared" si="1"/>
        <v>15</v>
      </c>
      <c r="X23" s="440">
        <f t="shared" si="0"/>
        <v>2</v>
      </c>
      <c r="Y23" s="441">
        <f t="shared" si="2"/>
        <v>0</v>
      </c>
      <c r="Z23" s="34">
        <f t="shared" si="3"/>
        <v>0</v>
      </c>
    </row>
    <row r="24" spans="1:26" x14ac:dyDescent="0.2">
      <c r="A24" s="139">
        <v>16</v>
      </c>
      <c r="B24" s="67" t="s">
        <v>60</v>
      </c>
      <c r="C24" s="870">
        <v>906</v>
      </c>
      <c r="D24" s="64"/>
      <c r="E24" s="64"/>
      <c r="F24" s="1100">
        <v>64</v>
      </c>
      <c r="G24" s="15">
        <v>79</v>
      </c>
      <c r="H24" s="575" t="s">
        <v>397</v>
      </c>
      <c r="I24" s="575" t="s">
        <v>397</v>
      </c>
      <c r="J24" s="15">
        <v>90</v>
      </c>
      <c r="K24" s="575" t="s">
        <v>397</v>
      </c>
      <c r="L24" s="15">
        <v>84</v>
      </c>
      <c r="M24" s="32">
        <v>135</v>
      </c>
      <c r="N24" s="15">
        <v>46</v>
      </c>
      <c r="O24" s="15"/>
      <c r="P24" s="575" t="s">
        <v>397</v>
      </c>
      <c r="Q24" s="15">
        <v>96</v>
      </c>
      <c r="R24" s="15">
        <v>97</v>
      </c>
      <c r="S24" s="15"/>
      <c r="T24" s="15">
        <v>25</v>
      </c>
      <c r="U24" s="15">
        <v>126</v>
      </c>
      <c r="V24" s="15">
        <v>64</v>
      </c>
      <c r="W24" s="33">
        <f t="shared" si="1"/>
        <v>10</v>
      </c>
      <c r="X24" s="440">
        <f t="shared" si="0"/>
        <v>1</v>
      </c>
      <c r="Y24" s="441">
        <f t="shared" si="2"/>
        <v>0</v>
      </c>
      <c r="Z24" s="34">
        <f t="shared" si="3"/>
        <v>0</v>
      </c>
    </row>
    <row r="25" spans="1:26" x14ac:dyDescent="0.2">
      <c r="A25" s="139">
        <v>17</v>
      </c>
      <c r="B25" s="166" t="s">
        <v>345</v>
      </c>
      <c r="C25" s="139">
        <v>861</v>
      </c>
      <c r="D25" s="64"/>
      <c r="E25" s="64" t="s">
        <v>50</v>
      </c>
      <c r="F25" s="1100"/>
      <c r="G25" s="15">
        <v>74</v>
      </c>
      <c r="H25" s="575" t="s">
        <v>397</v>
      </c>
      <c r="I25" s="575">
        <v>27</v>
      </c>
      <c r="J25" s="575" t="s">
        <v>397</v>
      </c>
      <c r="K25" s="575">
        <v>16</v>
      </c>
      <c r="L25" s="15">
        <v>43</v>
      </c>
      <c r="M25" s="15">
        <v>90</v>
      </c>
      <c r="N25" s="15">
        <v>52</v>
      </c>
      <c r="O25" s="15">
        <v>78</v>
      </c>
      <c r="P25" s="15">
        <v>43</v>
      </c>
      <c r="Q25" s="15">
        <v>84</v>
      </c>
      <c r="R25" s="15">
        <v>64</v>
      </c>
      <c r="S25" s="15">
        <v>78</v>
      </c>
      <c r="T25" s="15">
        <v>90</v>
      </c>
      <c r="U25" s="15">
        <v>119</v>
      </c>
      <c r="V25" s="15">
        <v>46</v>
      </c>
      <c r="W25" s="33">
        <f t="shared" si="1"/>
        <v>14</v>
      </c>
      <c r="X25" s="440">
        <f t="shared" si="0"/>
        <v>0</v>
      </c>
      <c r="Y25" s="441">
        <f t="shared" si="2"/>
        <v>0</v>
      </c>
      <c r="Z25" s="34">
        <f t="shared" si="3"/>
        <v>0</v>
      </c>
    </row>
    <row r="26" spans="1:26" x14ac:dyDescent="0.2">
      <c r="A26" s="139">
        <v>18</v>
      </c>
      <c r="B26" s="601" t="s">
        <v>61</v>
      </c>
      <c r="C26" s="139">
        <v>843</v>
      </c>
      <c r="D26" s="64"/>
      <c r="E26" s="64"/>
      <c r="F26" s="1100">
        <v>115</v>
      </c>
      <c r="G26" s="575" t="s">
        <v>397</v>
      </c>
      <c r="H26" s="575" t="s">
        <v>397</v>
      </c>
      <c r="I26" s="15">
        <v>96</v>
      </c>
      <c r="J26" s="15">
        <v>97</v>
      </c>
      <c r="K26" s="575" t="s">
        <v>397</v>
      </c>
      <c r="L26" s="15"/>
      <c r="M26" s="575" t="s">
        <v>397</v>
      </c>
      <c r="N26" s="15"/>
      <c r="O26" s="15">
        <v>104</v>
      </c>
      <c r="P26" s="15">
        <v>79</v>
      </c>
      <c r="Q26" s="430">
        <v>119</v>
      </c>
      <c r="R26" s="15">
        <v>69</v>
      </c>
      <c r="S26" s="15"/>
      <c r="T26" s="15"/>
      <c r="U26" s="15">
        <v>90</v>
      </c>
      <c r="V26" s="15">
        <v>74</v>
      </c>
      <c r="W26" s="33">
        <f t="shared" si="1"/>
        <v>8</v>
      </c>
      <c r="X26" s="440">
        <f t="shared" si="0"/>
        <v>1</v>
      </c>
      <c r="Y26" s="441">
        <f t="shared" si="2"/>
        <v>0</v>
      </c>
      <c r="Z26" s="34">
        <f t="shared" si="3"/>
        <v>0</v>
      </c>
    </row>
    <row r="27" spans="1:26" x14ac:dyDescent="0.2">
      <c r="A27" s="139">
        <v>19</v>
      </c>
      <c r="B27" s="65" t="s">
        <v>37</v>
      </c>
      <c r="C27" s="139">
        <v>837</v>
      </c>
      <c r="D27" s="64" t="s">
        <v>35</v>
      </c>
      <c r="E27" s="64"/>
      <c r="F27" s="1100">
        <v>43</v>
      </c>
      <c r="G27" s="15">
        <v>84</v>
      </c>
      <c r="H27" s="575" t="s">
        <v>397</v>
      </c>
      <c r="I27" s="15">
        <v>105</v>
      </c>
      <c r="J27" s="575" t="s">
        <v>397</v>
      </c>
      <c r="K27" s="15">
        <v>115</v>
      </c>
      <c r="L27" s="15">
        <v>97</v>
      </c>
      <c r="M27" s="575" t="s">
        <v>397</v>
      </c>
      <c r="N27" s="575" t="s">
        <v>397</v>
      </c>
      <c r="O27" s="15"/>
      <c r="P27" s="15"/>
      <c r="Q27" s="15">
        <v>158</v>
      </c>
      <c r="R27" s="15">
        <v>79</v>
      </c>
      <c r="S27" s="15"/>
      <c r="T27" s="15"/>
      <c r="U27" s="15">
        <v>96</v>
      </c>
      <c r="V27" s="15">
        <v>60</v>
      </c>
      <c r="W27" s="33">
        <f t="shared" si="1"/>
        <v>8</v>
      </c>
      <c r="X27" s="440">
        <f t="shared" si="0"/>
        <v>4</v>
      </c>
      <c r="Y27" s="441">
        <f t="shared" si="2"/>
        <v>2</v>
      </c>
      <c r="Z27" s="34">
        <f t="shared" si="3"/>
        <v>1</v>
      </c>
    </row>
    <row r="28" spans="1:26" x14ac:dyDescent="0.2">
      <c r="A28" s="139">
        <v>20</v>
      </c>
      <c r="B28" s="67" t="s">
        <v>436</v>
      </c>
      <c r="C28" s="870">
        <v>810</v>
      </c>
      <c r="D28" s="64"/>
      <c r="E28" s="64"/>
      <c r="F28" s="1100"/>
      <c r="G28" s="575" t="s">
        <v>397</v>
      </c>
      <c r="H28" s="575" t="s">
        <v>397</v>
      </c>
      <c r="I28" s="575" t="s">
        <v>397</v>
      </c>
      <c r="J28" s="15">
        <v>105</v>
      </c>
      <c r="K28" s="15">
        <v>60</v>
      </c>
      <c r="L28" s="15">
        <v>115</v>
      </c>
      <c r="M28" s="15">
        <v>126</v>
      </c>
      <c r="N28" s="15">
        <v>105</v>
      </c>
      <c r="O28" s="15">
        <v>135</v>
      </c>
      <c r="P28" s="575" t="s">
        <v>397</v>
      </c>
      <c r="Q28" s="15">
        <v>104</v>
      </c>
      <c r="R28" s="15">
        <v>60</v>
      </c>
      <c r="S28" s="15"/>
      <c r="T28" s="15"/>
      <c r="U28" s="15"/>
      <c r="V28" s="15"/>
      <c r="W28" s="33">
        <f t="shared" si="1"/>
        <v>8</v>
      </c>
      <c r="X28" s="440">
        <f t="shared" si="0"/>
        <v>3</v>
      </c>
      <c r="Y28" s="441">
        <f t="shared" si="2"/>
        <v>1</v>
      </c>
      <c r="Z28" s="34">
        <f t="shared" si="3"/>
        <v>0</v>
      </c>
    </row>
    <row r="29" spans="1:26" x14ac:dyDescent="0.2">
      <c r="A29" s="139">
        <v>20</v>
      </c>
      <c r="B29" s="68" t="s">
        <v>435</v>
      </c>
      <c r="C29" s="870">
        <v>810</v>
      </c>
      <c r="D29" s="64" t="s">
        <v>35</v>
      </c>
      <c r="E29" s="64"/>
      <c r="F29" s="1100"/>
      <c r="G29" s="575" t="s">
        <v>397</v>
      </c>
      <c r="H29" s="575" t="s">
        <v>397</v>
      </c>
      <c r="I29" s="575" t="s">
        <v>397</v>
      </c>
      <c r="J29" s="15">
        <v>105</v>
      </c>
      <c r="K29" s="15">
        <v>60</v>
      </c>
      <c r="L29" s="15">
        <v>115</v>
      </c>
      <c r="M29" s="15">
        <v>126</v>
      </c>
      <c r="N29" s="15">
        <v>105</v>
      </c>
      <c r="O29" s="15">
        <v>135</v>
      </c>
      <c r="P29" s="575" t="s">
        <v>397</v>
      </c>
      <c r="Q29" s="15">
        <v>104</v>
      </c>
      <c r="R29" s="15">
        <v>60</v>
      </c>
      <c r="S29" s="15"/>
      <c r="T29" s="15"/>
      <c r="U29" s="15"/>
      <c r="V29" s="15"/>
      <c r="W29" s="33">
        <f t="shared" si="1"/>
        <v>8</v>
      </c>
      <c r="X29" s="440">
        <f t="shared" si="0"/>
        <v>3</v>
      </c>
      <c r="Y29" s="441">
        <f t="shared" si="2"/>
        <v>1</v>
      </c>
      <c r="Z29" s="34">
        <f t="shared" si="3"/>
        <v>0</v>
      </c>
    </row>
    <row r="30" spans="1:26" x14ac:dyDescent="0.2">
      <c r="A30" s="139">
        <v>22</v>
      </c>
      <c r="B30" s="65" t="s">
        <v>48</v>
      </c>
      <c r="C30" s="139">
        <v>786</v>
      </c>
      <c r="D30" s="64" t="s">
        <v>35</v>
      </c>
      <c r="E30" s="64"/>
      <c r="F30" s="1100">
        <v>14</v>
      </c>
      <c r="G30" s="15">
        <v>84</v>
      </c>
      <c r="H30" s="15">
        <v>74</v>
      </c>
      <c r="I30" s="575" t="s">
        <v>397</v>
      </c>
      <c r="J30" s="575" t="s">
        <v>397</v>
      </c>
      <c r="K30" s="15">
        <v>90</v>
      </c>
      <c r="L30" s="15">
        <v>97</v>
      </c>
      <c r="M30" s="32"/>
      <c r="N30" s="575" t="s">
        <v>397</v>
      </c>
      <c r="O30" s="15"/>
      <c r="P30" s="575" t="s">
        <v>397</v>
      </c>
      <c r="Q30" s="15">
        <v>90</v>
      </c>
      <c r="R30" s="15">
        <v>79</v>
      </c>
      <c r="S30" s="15">
        <v>93</v>
      </c>
      <c r="T30" s="15"/>
      <c r="U30" s="15">
        <v>96</v>
      </c>
      <c r="V30" s="15">
        <v>69</v>
      </c>
      <c r="W30" s="33">
        <f t="shared" si="1"/>
        <v>9</v>
      </c>
      <c r="X30" s="440">
        <f t="shared" si="0"/>
        <v>2</v>
      </c>
      <c r="Y30" s="441">
        <f t="shared" si="2"/>
        <v>0</v>
      </c>
      <c r="Z30" s="34">
        <f t="shared" si="3"/>
        <v>0</v>
      </c>
    </row>
    <row r="31" spans="1:26" x14ac:dyDescent="0.2">
      <c r="A31" s="139">
        <v>23</v>
      </c>
      <c r="B31" s="65" t="s">
        <v>56</v>
      </c>
      <c r="C31" s="139">
        <v>783</v>
      </c>
      <c r="D31" s="64" t="s">
        <v>35</v>
      </c>
      <c r="E31" s="64"/>
      <c r="F31" s="1100">
        <v>1</v>
      </c>
      <c r="G31" s="15">
        <v>97</v>
      </c>
      <c r="H31" s="15">
        <v>56</v>
      </c>
      <c r="I31" s="15">
        <v>57</v>
      </c>
      <c r="J31" s="15">
        <v>69</v>
      </c>
      <c r="K31" s="15">
        <v>52</v>
      </c>
      <c r="L31" s="575">
        <v>40</v>
      </c>
      <c r="M31" s="575" t="s">
        <v>397</v>
      </c>
      <c r="N31" s="575" t="s">
        <v>397</v>
      </c>
      <c r="O31" s="15">
        <v>84</v>
      </c>
      <c r="P31" s="15">
        <v>43</v>
      </c>
      <c r="Q31" s="15">
        <v>60</v>
      </c>
      <c r="R31" s="15">
        <v>52</v>
      </c>
      <c r="S31" s="15">
        <v>50</v>
      </c>
      <c r="T31" s="15">
        <v>43</v>
      </c>
      <c r="U31" s="15">
        <v>119</v>
      </c>
      <c r="V31" s="575">
        <v>40</v>
      </c>
      <c r="W31" s="33">
        <f t="shared" si="1"/>
        <v>14</v>
      </c>
      <c r="X31" s="440">
        <f t="shared" si="0"/>
        <v>1</v>
      </c>
      <c r="Y31" s="441">
        <f t="shared" si="2"/>
        <v>0</v>
      </c>
      <c r="Z31" s="34">
        <f t="shared" si="3"/>
        <v>0</v>
      </c>
    </row>
    <row r="32" spans="1:26" x14ac:dyDescent="0.2">
      <c r="A32" s="139">
        <v>24</v>
      </c>
      <c r="B32" s="65" t="s">
        <v>54</v>
      </c>
      <c r="C32" s="139">
        <v>750</v>
      </c>
      <c r="D32" s="64" t="s">
        <v>35</v>
      </c>
      <c r="E32" s="64"/>
      <c r="F32" s="1100">
        <v>90</v>
      </c>
      <c r="G32" s="575" t="s">
        <v>397</v>
      </c>
      <c r="H32" s="575" t="s">
        <v>397</v>
      </c>
      <c r="I32" s="15">
        <v>50</v>
      </c>
      <c r="J32" s="15">
        <v>60</v>
      </c>
      <c r="K32" s="575" t="s">
        <v>397</v>
      </c>
      <c r="L32" s="15"/>
      <c r="M32" s="575" t="s">
        <v>397</v>
      </c>
      <c r="N32" s="15"/>
      <c r="O32" s="15">
        <v>104</v>
      </c>
      <c r="P32" s="15">
        <v>79</v>
      </c>
      <c r="Q32" s="15">
        <v>119</v>
      </c>
      <c r="R32" s="15">
        <v>84</v>
      </c>
      <c r="S32" s="15"/>
      <c r="T32" s="15"/>
      <c r="U32" s="15">
        <v>90</v>
      </c>
      <c r="V32" s="15">
        <v>74</v>
      </c>
      <c r="W32" s="33">
        <f t="shared" si="1"/>
        <v>8</v>
      </c>
      <c r="X32" s="440">
        <f t="shared" si="0"/>
        <v>0</v>
      </c>
      <c r="Y32" s="441">
        <f t="shared" si="2"/>
        <v>0</v>
      </c>
      <c r="Z32" s="34">
        <f t="shared" si="3"/>
        <v>0</v>
      </c>
    </row>
    <row r="33" spans="1:26" x14ac:dyDescent="0.2">
      <c r="A33" s="139">
        <v>25</v>
      </c>
      <c r="B33" s="69" t="s">
        <v>63</v>
      </c>
      <c r="C33" s="139">
        <v>748</v>
      </c>
      <c r="D33" s="64" t="s">
        <v>35</v>
      </c>
      <c r="E33" s="64"/>
      <c r="F33" s="1100">
        <v>8</v>
      </c>
      <c r="G33" s="15">
        <v>97</v>
      </c>
      <c r="H33" s="15">
        <v>97</v>
      </c>
      <c r="I33" s="15">
        <v>74</v>
      </c>
      <c r="J33" s="15">
        <v>69</v>
      </c>
      <c r="K33" s="15">
        <v>19</v>
      </c>
      <c r="L33" s="15">
        <v>40</v>
      </c>
      <c r="M33" s="15">
        <v>158</v>
      </c>
      <c r="N33" s="15">
        <v>69</v>
      </c>
      <c r="O33" s="575" t="s">
        <v>397</v>
      </c>
      <c r="P33" s="575" t="s">
        <v>397</v>
      </c>
      <c r="Q33" s="15"/>
      <c r="R33" s="575" t="s">
        <v>397</v>
      </c>
      <c r="S33" s="15">
        <v>57</v>
      </c>
      <c r="T33" s="15">
        <v>60</v>
      </c>
      <c r="U33" s="15"/>
      <c r="V33" s="575" t="s">
        <v>397</v>
      </c>
      <c r="W33" s="33">
        <f t="shared" si="1"/>
        <v>10</v>
      </c>
      <c r="X33" s="440">
        <f t="shared" si="0"/>
        <v>3</v>
      </c>
      <c r="Y33" s="441">
        <f t="shared" si="2"/>
        <v>0</v>
      </c>
      <c r="Z33" s="34">
        <f t="shared" si="3"/>
        <v>0</v>
      </c>
    </row>
    <row r="34" spans="1:26" x14ac:dyDescent="0.2">
      <c r="A34" s="139">
        <v>26</v>
      </c>
      <c r="B34" s="65" t="s">
        <v>59</v>
      </c>
      <c r="C34" s="139">
        <v>729</v>
      </c>
      <c r="D34" s="64" t="s">
        <v>35</v>
      </c>
      <c r="E34" s="64"/>
      <c r="F34" s="1100">
        <v>22</v>
      </c>
      <c r="G34" s="15">
        <v>90</v>
      </c>
      <c r="H34" s="15">
        <v>105</v>
      </c>
      <c r="I34" s="575" t="s">
        <v>397</v>
      </c>
      <c r="J34" s="575" t="s">
        <v>397</v>
      </c>
      <c r="K34" s="15">
        <v>25</v>
      </c>
      <c r="L34" s="15">
        <v>56</v>
      </c>
      <c r="M34" s="32">
        <v>119</v>
      </c>
      <c r="N34" s="15">
        <v>43</v>
      </c>
      <c r="O34" s="15">
        <v>90</v>
      </c>
      <c r="P34" s="15">
        <v>105</v>
      </c>
      <c r="Q34" s="15"/>
      <c r="R34" s="575" t="s">
        <v>397</v>
      </c>
      <c r="S34" s="15"/>
      <c r="T34" s="15">
        <v>74</v>
      </c>
      <c r="U34" s="15"/>
      <c r="V34" s="575" t="s">
        <v>397</v>
      </c>
      <c r="W34" s="33">
        <f t="shared" si="1"/>
        <v>9</v>
      </c>
      <c r="X34" s="440">
        <f t="shared" si="0"/>
        <v>2</v>
      </c>
      <c r="Y34" s="441">
        <f t="shared" si="2"/>
        <v>0</v>
      </c>
      <c r="Z34" s="34">
        <f t="shared" si="3"/>
        <v>0</v>
      </c>
    </row>
    <row r="35" spans="1:26" x14ac:dyDescent="0.2">
      <c r="A35" s="139">
        <v>27</v>
      </c>
      <c r="B35" s="601" t="s">
        <v>77</v>
      </c>
      <c r="C35" s="139">
        <v>715</v>
      </c>
      <c r="D35" s="64"/>
      <c r="E35" s="64"/>
      <c r="F35" s="1100">
        <v>74</v>
      </c>
      <c r="G35" s="15">
        <v>90</v>
      </c>
      <c r="H35" s="15">
        <v>90</v>
      </c>
      <c r="I35" s="575" t="s">
        <v>397</v>
      </c>
      <c r="J35" s="575" t="s">
        <v>397</v>
      </c>
      <c r="K35" s="15">
        <v>84</v>
      </c>
      <c r="L35" s="575" t="s">
        <v>397</v>
      </c>
      <c r="M35" s="32">
        <v>119</v>
      </c>
      <c r="N35" s="15">
        <v>74</v>
      </c>
      <c r="O35" s="15"/>
      <c r="P35" s="575" t="s">
        <v>397</v>
      </c>
      <c r="Q35" s="15"/>
      <c r="R35" s="15"/>
      <c r="S35" s="15"/>
      <c r="T35" s="15">
        <v>49</v>
      </c>
      <c r="U35" s="15">
        <v>135</v>
      </c>
      <c r="V35" s="15"/>
      <c r="W35" s="33">
        <f t="shared" si="1"/>
        <v>7</v>
      </c>
      <c r="X35" s="440">
        <f t="shared" si="0"/>
        <v>0</v>
      </c>
      <c r="Y35" s="441">
        <f t="shared" si="2"/>
        <v>0</v>
      </c>
      <c r="Z35" s="34">
        <f t="shared" si="3"/>
        <v>0</v>
      </c>
    </row>
    <row r="36" spans="1:26" x14ac:dyDescent="0.2">
      <c r="A36" s="139">
        <v>28</v>
      </c>
      <c r="B36" s="65" t="s">
        <v>43</v>
      </c>
      <c r="C36" s="139">
        <v>689</v>
      </c>
      <c r="D36" s="64" t="s">
        <v>35</v>
      </c>
      <c r="E36" s="64"/>
      <c r="F36" s="1100">
        <v>10</v>
      </c>
      <c r="G36" s="15">
        <v>84</v>
      </c>
      <c r="H36" s="15">
        <v>74</v>
      </c>
      <c r="I36" s="575" t="s">
        <v>397</v>
      </c>
      <c r="J36" s="575" t="s">
        <v>397</v>
      </c>
      <c r="K36" s="15">
        <v>90</v>
      </c>
      <c r="L36" s="15">
        <v>97</v>
      </c>
      <c r="M36" s="15"/>
      <c r="N36" s="575" t="s">
        <v>397</v>
      </c>
      <c r="O36" s="15"/>
      <c r="P36" s="575" t="s">
        <v>397</v>
      </c>
      <c r="Q36" s="15">
        <v>90</v>
      </c>
      <c r="R36" s="15">
        <v>79</v>
      </c>
      <c r="S36" s="15"/>
      <c r="T36" s="15"/>
      <c r="U36" s="15">
        <v>96</v>
      </c>
      <c r="V36" s="15">
        <v>69</v>
      </c>
      <c r="W36" s="33">
        <f t="shared" si="1"/>
        <v>8</v>
      </c>
      <c r="X36" s="440">
        <f t="shared" si="0"/>
        <v>1</v>
      </c>
      <c r="Y36" s="441">
        <f t="shared" si="2"/>
        <v>0</v>
      </c>
      <c r="Z36" s="34">
        <f t="shared" si="3"/>
        <v>0</v>
      </c>
    </row>
    <row r="37" spans="1:26" x14ac:dyDescent="0.2">
      <c r="A37" s="139">
        <v>29</v>
      </c>
      <c r="B37" s="65" t="s">
        <v>67</v>
      </c>
      <c r="C37" s="139">
        <v>663</v>
      </c>
      <c r="D37" s="64" t="s">
        <v>35</v>
      </c>
      <c r="E37" s="64"/>
      <c r="F37" s="1100">
        <v>37</v>
      </c>
      <c r="G37" s="15">
        <v>90</v>
      </c>
      <c r="H37" s="15">
        <v>105</v>
      </c>
      <c r="I37" s="575" t="s">
        <v>397</v>
      </c>
      <c r="J37" s="15">
        <v>60</v>
      </c>
      <c r="K37" s="15">
        <v>25</v>
      </c>
      <c r="L37" s="575" t="s">
        <v>397</v>
      </c>
      <c r="M37" s="32">
        <v>119</v>
      </c>
      <c r="N37" s="15">
        <v>43</v>
      </c>
      <c r="O37" s="15"/>
      <c r="P37" s="575" t="s">
        <v>397</v>
      </c>
      <c r="Q37" s="15"/>
      <c r="R37" s="575" t="s">
        <v>397</v>
      </c>
      <c r="S37" s="15"/>
      <c r="T37" s="15">
        <v>49</v>
      </c>
      <c r="U37" s="15">
        <v>135</v>
      </c>
      <c r="V37" s="15"/>
      <c r="W37" s="33">
        <f t="shared" si="1"/>
        <v>8</v>
      </c>
      <c r="X37" s="440">
        <f t="shared" si="0"/>
        <v>1</v>
      </c>
      <c r="Y37" s="441">
        <f t="shared" si="2"/>
        <v>0</v>
      </c>
      <c r="Z37" s="34">
        <f t="shared" si="3"/>
        <v>0</v>
      </c>
    </row>
    <row r="38" spans="1:26" x14ac:dyDescent="0.2">
      <c r="A38" s="139">
        <v>30</v>
      </c>
      <c r="B38" s="601" t="s">
        <v>80</v>
      </c>
      <c r="C38" s="139">
        <v>655</v>
      </c>
      <c r="D38" s="64"/>
      <c r="E38" s="64"/>
      <c r="F38" s="1100">
        <v>1</v>
      </c>
      <c r="G38" s="575" t="s">
        <v>397</v>
      </c>
      <c r="H38" s="575" t="s">
        <v>397</v>
      </c>
      <c r="I38" s="15">
        <v>51</v>
      </c>
      <c r="J38" s="15">
        <v>84</v>
      </c>
      <c r="K38" s="575" t="s">
        <v>397</v>
      </c>
      <c r="L38" s="15">
        <v>105</v>
      </c>
      <c r="M38" s="575" t="s">
        <v>397</v>
      </c>
      <c r="N38" s="15">
        <v>79</v>
      </c>
      <c r="O38" s="15"/>
      <c r="P38" s="15"/>
      <c r="Q38" s="15">
        <v>146</v>
      </c>
      <c r="R38" s="15">
        <v>105</v>
      </c>
      <c r="S38" s="15">
        <v>84</v>
      </c>
      <c r="T38" s="15"/>
      <c r="U38" s="15"/>
      <c r="V38" s="15"/>
      <c r="W38" s="33">
        <f t="shared" si="1"/>
        <v>7</v>
      </c>
      <c r="X38" s="440">
        <f t="shared" si="0"/>
        <v>3</v>
      </c>
      <c r="Y38" s="441">
        <f t="shared" si="2"/>
        <v>0</v>
      </c>
      <c r="Z38" s="34">
        <f t="shared" si="3"/>
        <v>0</v>
      </c>
    </row>
    <row r="39" spans="1:26" x14ac:dyDescent="0.2">
      <c r="A39" s="139">
        <v>31</v>
      </c>
      <c r="B39" s="55" t="s">
        <v>1156</v>
      </c>
      <c r="C39" s="877">
        <v>620</v>
      </c>
      <c r="D39" s="64"/>
      <c r="E39" s="64"/>
      <c r="F39" s="1100">
        <v>5</v>
      </c>
      <c r="G39" s="575" t="s">
        <v>397</v>
      </c>
      <c r="H39" s="15">
        <v>97</v>
      </c>
      <c r="I39" s="575" t="s">
        <v>397</v>
      </c>
      <c r="J39" s="575" t="s">
        <v>397</v>
      </c>
      <c r="K39" s="15">
        <v>37</v>
      </c>
      <c r="L39" s="15">
        <v>105</v>
      </c>
      <c r="M39" s="15"/>
      <c r="N39" s="15">
        <v>79</v>
      </c>
      <c r="O39" s="15"/>
      <c r="P39" s="575" t="s">
        <v>397</v>
      </c>
      <c r="Q39" s="15">
        <v>158</v>
      </c>
      <c r="R39" s="15">
        <v>105</v>
      </c>
      <c r="S39" s="15"/>
      <c r="T39" s="15">
        <v>34</v>
      </c>
      <c r="U39" s="15"/>
      <c r="V39" s="15"/>
      <c r="W39" s="33">
        <f t="shared" si="1"/>
        <v>7</v>
      </c>
      <c r="X39" s="440">
        <f t="shared" si="0"/>
        <v>4</v>
      </c>
      <c r="Y39" s="441">
        <f t="shared" si="2"/>
        <v>0</v>
      </c>
      <c r="Z39" s="34">
        <f t="shared" si="3"/>
        <v>0</v>
      </c>
    </row>
    <row r="40" spans="1:26" x14ac:dyDescent="0.2">
      <c r="A40" s="139">
        <v>32</v>
      </c>
      <c r="B40" s="67" t="s">
        <v>64</v>
      </c>
      <c r="C40" s="870">
        <v>600</v>
      </c>
      <c r="D40" s="64"/>
      <c r="E40" s="64"/>
      <c r="F40" s="1100">
        <v>1</v>
      </c>
      <c r="G40" s="15">
        <v>64</v>
      </c>
      <c r="H40" s="575" t="s">
        <v>397</v>
      </c>
      <c r="I40" s="15">
        <v>111</v>
      </c>
      <c r="J40" s="15">
        <v>64</v>
      </c>
      <c r="K40" s="15">
        <v>105</v>
      </c>
      <c r="L40" s="575" t="s">
        <v>397</v>
      </c>
      <c r="M40" s="575" t="s">
        <v>397</v>
      </c>
      <c r="N40" s="575" t="s">
        <v>397</v>
      </c>
      <c r="O40" s="15"/>
      <c r="P40" s="15"/>
      <c r="Q40" s="15"/>
      <c r="R40" s="15"/>
      <c r="S40" s="15"/>
      <c r="T40" s="15"/>
      <c r="U40" s="15">
        <v>158</v>
      </c>
      <c r="V40" s="15">
        <v>97</v>
      </c>
      <c r="W40" s="33">
        <f t="shared" si="1"/>
        <v>6</v>
      </c>
      <c r="X40" s="440">
        <f t="shared" si="0"/>
        <v>3</v>
      </c>
      <c r="Y40" s="441">
        <f t="shared" si="2"/>
        <v>0</v>
      </c>
      <c r="Z40" s="34">
        <f t="shared" si="3"/>
        <v>0</v>
      </c>
    </row>
    <row r="41" spans="1:26" x14ac:dyDescent="0.2">
      <c r="A41" s="139">
        <v>33</v>
      </c>
      <c r="B41" s="630" t="s">
        <v>90</v>
      </c>
      <c r="C41" s="139">
        <v>527</v>
      </c>
      <c r="D41" s="64"/>
      <c r="E41" s="64" t="s">
        <v>50</v>
      </c>
      <c r="F41" s="1100">
        <v>1</v>
      </c>
      <c r="G41" s="575" t="s">
        <v>397</v>
      </c>
      <c r="H41" s="15">
        <v>52</v>
      </c>
      <c r="I41" s="208">
        <v>33</v>
      </c>
      <c r="J41" s="575" t="s">
        <v>397</v>
      </c>
      <c r="K41" s="575" t="s">
        <v>397</v>
      </c>
      <c r="L41" s="15"/>
      <c r="M41" s="15">
        <v>104</v>
      </c>
      <c r="N41" s="15">
        <v>97</v>
      </c>
      <c r="O41" s="575" t="s">
        <v>397</v>
      </c>
      <c r="P41" s="15"/>
      <c r="Q41" s="15"/>
      <c r="R41" s="15"/>
      <c r="S41" s="15">
        <v>56</v>
      </c>
      <c r="T41" s="15">
        <v>49</v>
      </c>
      <c r="U41" s="15">
        <v>135</v>
      </c>
      <c r="V41" s="15"/>
      <c r="W41" s="33">
        <f t="shared" si="1"/>
        <v>7</v>
      </c>
      <c r="X41" s="440">
        <f t="shared" ref="X41:X72" si="4">COUNTIF(G41:H41,"&gt;=97")+COUNTIF(J41:L41,"&gt;=97")+COUNTIF(N41,"&gt;=97")+COUNTIF(P41,"&gt;=97")+COUNTIF(R41,"&gt;=97")+COUNTIF(T41,"&gt;=97")+COUNTIF(V41,"&gt;=97")+COUNTIF(I41,"&gt;=146")+COUNTIF(M41,"&gt;=146")+COUNTIF(O41,"&gt;=146")+COUNTIF(Q41,"&gt;=146")+COUNTIF(S41,"&gt;=146")+COUNTIF(U41,"&gt;=146")+IF((D41="n"),(COUNTIF(I41,"=83")+COUNTIF(I41,"=93")+COUNTIF(I41,"=105")+COUNTIF(S41,"=83")+COUNTIF(S41,"=93")+COUNTIF(S41,"=105")))+IF((E41="j"),(COUNTIF(I41,"=33")+COUNTIF(I41,"=42")+COUNTIF(I41,"=53")+COUNTIF(S41,"=33")+COUNTIF(S41,"=42")+COUNTIF(S41,"=53")))</f>
        <v>2</v>
      </c>
      <c r="Y41" s="441">
        <f t="shared" si="2"/>
        <v>0</v>
      </c>
      <c r="Z41" s="34">
        <f t="shared" si="3"/>
        <v>0</v>
      </c>
    </row>
    <row r="42" spans="1:26" x14ac:dyDescent="0.2">
      <c r="A42" s="139">
        <v>34</v>
      </c>
      <c r="B42" s="601" t="s">
        <v>519</v>
      </c>
      <c r="C42" s="139">
        <v>454</v>
      </c>
      <c r="D42" s="64"/>
      <c r="E42" s="64"/>
      <c r="F42" s="1100"/>
      <c r="G42" s="575" t="s">
        <v>397</v>
      </c>
      <c r="H42" s="575" t="s">
        <v>397</v>
      </c>
      <c r="I42" s="575" t="s">
        <v>397</v>
      </c>
      <c r="J42" s="575" t="s">
        <v>397</v>
      </c>
      <c r="K42" s="15">
        <v>40</v>
      </c>
      <c r="L42" s="15"/>
      <c r="M42" s="15"/>
      <c r="N42" s="15"/>
      <c r="O42" s="15"/>
      <c r="P42" s="15"/>
      <c r="Q42" s="15">
        <v>173</v>
      </c>
      <c r="R42" s="15">
        <v>115</v>
      </c>
      <c r="S42" s="15">
        <v>126</v>
      </c>
      <c r="T42" s="15"/>
      <c r="U42" s="15"/>
      <c r="V42" s="15"/>
      <c r="W42" s="33">
        <f t="shared" si="1"/>
        <v>4</v>
      </c>
      <c r="X42" s="440">
        <f t="shared" si="4"/>
        <v>2</v>
      </c>
      <c r="Y42" s="441">
        <f t="shared" si="2"/>
        <v>2</v>
      </c>
      <c r="Z42" s="34">
        <f t="shared" si="3"/>
        <v>1</v>
      </c>
    </row>
    <row r="43" spans="1:26" x14ac:dyDescent="0.2">
      <c r="A43" s="139">
        <v>35</v>
      </c>
      <c r="B43" s="601" t="s">
        <v>422</v>
      </c>
      <c r="C43" s="139">
        <v>449</v>
      </c>
      <c r="D43" s="64"/>
      <c r="E43" s="64"/>
      <c r="F43" s="1100"/>
      <c r="G43" s="575" t="s">
        <v>397</v>
      </c>
      <c r="H43" s="575" t="s">
        <v>397</v>
      </c>
      <c r="I43" s="15">
        <v>158</v>
      </c>
      <c r="J43" s="575" t="s">
        <v>397</v>
      </c>
      <c r="K43" s="15"/>
      <c r="L43" s="15"/>
      <c r="M43" s="575" t="s">
        <v>397</v>
      </c>
      <c r="N43" s="15"/>
      <c r="O43" s="15">
        <v>158</v>
      </c>
      <c r="P43" s="15">
        <v>69</v>
      </c>
      <c r="Q43" s="15"/>
      <c r="R43" s="15"/>
      <c r="S43" s="15"/>
      <c r="T43" s="15">
        <v>64</v>
      </c>
      <c r="U43" s="15"/>
      <c r="V43" s="15"/>
      <c r="W43" s="33">
        <f t="shared" si="1"/>
        <v>4</v>
      </c>
      <c r="X43" s="440">
        <f t="shared" si="4"/>
        <v>2</v>
      </c>
      <c r="Y43" s="441">
        <f t="shared" si="2"/>
        <v>0</v>
      </c>
      <c r="Z43" s="34">
        <f t="shared" si="3"/>
        <v>0</v>
      </c>
    </row>
    <row r="44" spans="1:26" x14ac:dyDescent="0.2">
      <c r="A44" s="139">
        <v>36</v>
      </c>
      <c r="B44" s="166" t="s">
        <v>427</v>
      </c>
      <c r="C44" s="139">
        <v>434</v>
      </c>
      <c r="D44" s="64"/>
      <c r="E44" s="64" t="s">
        <v>50</v>
      </c>
      <c r="F44" s="1100"/>
      <c r="G44" s="575" t="s">
        <v>397</v>
      </c>
      <c r="H44" s="575" t="s">
        <v>397</v>
      </c>
      <c r="I44" s="207">
        <v>53</v>
      </c>
      <c r="J44" s="15">
        <v>97</v>
      </c>
      <c r="K44" s="575" t="s">
        <v>397</v>
      </c>
      <c r="L44" s="15"/>
      <c r="M44" s="575" t="s">
        <v>397</v>
      </c>
      <c r="N44" s="15"/>
      <c r="O44" s="15">
        <v>119</v>
      </c>
      <c r="P44" s="15">
        <v>40</v>
      </c>
      <c r="Q44" s="15">
        <v>56</v>
      </c>
      <c r="R44" s="15">
        <v>69</v>
      </c>
      <c r="S44" s="15"/>
      <c r="T44" s="15"/>
      <c r="U44" s="15"/>
      <c r="V44" s="15"/>
      <c r="W44" s="33">
        <f t="shared" si="1"/>
        <v>6</v>
      </c>
      <c r="X44" s="440">
        <f t="shared" si="4"/>
        <v>2</v>
      </c>
      <c r="Y44" s="441">
        <f t="shared" si="2"/>
        <v>0</v>
      </c>
      <c r="Z44" s="34">
        <f t="shared" si="3"/>
        <v>0</v>
      </c>
    </row>
    <row r="45" spans="1:26" x14ac:dyDescent="0.2">
      <c r="A45" s="139">
        <v>37</v>
      </c>
      <c r="B45" s="601" t="s">
        <v>84</v>
      </c>
      <c r="C45" s="139">
        <v>427</v>
      </c>
      <c r="D45" s="64"/>
      <c r="E45" s="64"/>
      <c r="F45" s="1100">
        <v>1</v>
      </c>
      <c r="G45" s="575" t="s">
        <v>397</v>
      </c>
      <c r="H45" s="15">
        <v>52</v>
      </c>
      <c r="I45" s="15">
        <v>69</v>
      </c>
      <c r="J45" s="575" t="s">
        <v>397</v>
      </c>
      <c r="K45" s="575" t="s">
        <v>397</v>
      </c>
      <c r="L45" s="15"/>
      <c r="M45" s="15">
        <v>104</v>
      </c>
      <c r="N45" s="15">
        <v>97</v>
      </c>
      <c r="O45" s="575" t="s">
        <v>397</v>
      </c>
      <c r="P45" s="15"/>
      <c r="Q45" s="15"/>
      <c r="R45" s="15"/>
      <c r="S45" s="15">
        <v>104</v>
      </c>
      <c r="T45" s="15"/>
      <c r="U45" s="15"/>
      <c r="V45" s="15"/>
      <c r="W45" s="33">
        <f t="shared" si="1"/>
        <v>5</v>
      </c>
      <c r="X45" s="440">
        <f t="shared" si="4"/>
        <v>1</v>
      </c>
      <c r="Y45" s="441">
        <f t="shared" si="2"/>
        <v>0</v>
      </c>
      <c r="Z45" s="34">
        <f t="shared" si="3"/>
        <v>0</v>
      </c>
    </row>
    <row r="46" spans="1:26" x14ac:dyDescent="0.2">
      <c r="A46" s="139">
        <v>38</v>
      </c>
      <c r="B46" s="601" t="s">
        <v>69</v>
      </c>
      <c r="C46" s="139">
        <v>425.5</v>
      </c>
      <c r="D46" s="64"/>
      <c r="E46" s="64"/>
      <c r="F46" s="1101">
        <v>17.5</v>
      </c>
      <c r="G46" s="15">
        <v>115</v>
      </c>
      <c r="H46" s="575" t="s">
        <v>397</v>
      </c>
      <c r="I46" s="15">
        <v>29</v>
      </c>
      <c r="J46" s="575" t="s">
        <v>397</v>
      </c>
      <c r="K46" s="15">
        <v>97</v>
      </c>
      <c r="L46" s="15">
        <v>69</v>
      </c>
      <c r="M46" s="575" t="s">
        <v>397</v>
      </c>
      <c r="N46" s="15">
        <v>64</v>
      </c>
      <c r="O46" s="15"/>
      <c r="P46" s="575" t="s">
        <v>397</v>
      </c>
      <c r="Q46" s="15"/>
      <c r="R46" s="15"/>
      <c r="S46" s="15"/>
      <c r="T46" s="15">
        <v>34</v>
      </c>
      <c r="U46" s="15"/>
      <c r="V46" s="15"/>
      <c r="W46" s="33">
        <f t="shared" si="1"/>
        <v>6</v>
      </c>
      <c r="X46" s="440">
        <f t="shared" si="4"/>
        <v>2</v>
      </c>
      <c r="Y46" s="441">
        <f t="shared" si="2"/>
        <v>1</v>
      </c>
      <c r="Z46" s="34">
        <f t="shared" si="3"/>
        <v>0</v>
      </c>
    </row>
    <row r="47" spans="1:26" x14ac:dyDescent="0.2">
      <c r="A47" s="139">
        <v>39</v>
      </c>
      <c r="B47" s="65" t="s">
        <v>70</v>
      </c>
      <c r="C47" s="139">
        <v>383</v>
      </c>
      <c r="D47" s="64" t="s">
        <v>35</v>
      </c>
      <c r="E47" s="64"/>
      <c r="F47" s="1100">
        <v>60</v>
      </c>
      <c r="G47" s="575" t="s">
        <v>397</v>
      </c>
      <c r="H47" s="575" t="s">
        <v>397</v>
      </c>
      <c r="I47" s="15">
        <v>83</v>
      </c>
      <c r="J47" s="15">
        <v>60</v>
      </c>
      <c r="K47" s="575" t="s">
        <v>397</v>
      </c>
      <c r="L47" s="15"/>
      <c r="M47" s="575" t="s">
        <v>397</v>
      </c>
      <c r="N47" s="15"/>
      <c r="O47" s="15"/>
      <c r="P47" s="15"/>
      <c r="Q47" s="15">
        <v>60</v>
      </c>
      <c r="R47" s="15"/>
      <c r="S47" s="15">
        <v>83</v>
      </c>
      <c r="T47" s="15">
        <v>37</v>
      </c>
      <c r="U47" s="15"/>
      <c r="V47" s="15"/>
      <c r="W47" s="33">
        <f t="shared" si="1"/>
        <v>5</v>
      </c>
      <c r="X47" s="440">
        <f t="shared" si="4"/>
        <v>2</v>
      </c>
      <c r="Y47" s="441">
        <f t="shared" si="2"/>
        <v>0</v>
      </c>
      <c r="Z47" s="34">
        <f t="shared" si="3"/>
        <v>0</v>
      </c>
    </row>
    <row r="48" spans="1:26" x14ac:dyDescent="0.2">
      <c r="A48" s="139">
        <v>40</v>
      </c>
      <c r="B48" s="65" t="s">
        <v>39</v>
      </c>
      <c r="C48" s="139">
        <v>360</v>
      </c>
      <c r="D48" s="64" t="s">
        <v>35</v>
      </c>
      <c r="E48" s="64"/>
      <c r="F48" s="1100">
        <v>1</v>
      </c>
      <c r="G48" s="575" t="s">
        <v>397</v>
      </c>
      <c r="H48" s="575" t="s">
        <v>397</v>
      </c>
      <c r="I48" s="575" t="s">
        <v>397</v>
      </c>
      <c r="J48" s="575" t="s">
        <v>397</v>
      </c>
      <c r="K48" s="15"/>
      <c r="L48" s="15"/>
      <c r="M48" s="15">
        <v>111</v>
      </c>
      <c r="N48" s="15">
        <v>84</v>
      </c>
      <c r="O48" s="15"/>
      <c r="P48" s="15"/>
      <c r="Q48" s="15"/>
      <c r="R48" s="15"/>
      <c r="S48" s="15">
        <v>74</v>
      </c>
      <c r="T48" s="15">
        <v>90</v>
      </c>
      <c r="U48" s="15"/>
      <c r="V48" s="15"/>
      <c r="W48" s="33">
        <f t="shared" si="1"/>
        <v>4</v>
      </c>
      <c r="X48" s="440">
        <f t="shared" si="4"/>
        <v>0</v>
      </c>
      <c r="Y48" s="441">
        <f t="shared" si="2"/>
        <v>0</v>
      </c>
      <c r="Z48" s="34">
        <f t="shared" si="3"/>
        <v>0</v>
      </c>
    </row>
    <row r="49" spans="1:26" x14ac:dyDescent="0.2">
      <c r="A49" s="139">
        <v>41</v>
      </c>
      <c r="B49" s="601" t="s">
        <v>72</v>
      </c>
      <c r="C49" s="139">
        <v>350</v>
      </c>
      <c r="D49" s="64"/>
      <c r="E49" s="64"/>
      <c r="F49" s="1100">
        <v>25</v>
      </c>
      <c r="G49" s="575" t="s">
        <v>397</v>
      </c>
      <c r="H49" s="575" t="s">
        <v>397</v>
      </c>
      <c r="I49" s="575" t="s">
        <v>397</v>
      </c>
      <c r="J49" s="575" t="s">
        <v>397</v>
      </c>
      <c r="K49" s="15"/>
      <c r="L49" s="15"/>
      <c r="M49" s="15"/>
      <c r="N49" s="15"/>
      <c r="O49" s="15">
        <v>146</v>
      </c>
      <c r="P49" s="15">
        <v>105</v>
      </c>
      <c r="Q49" s="15"/>
      <c r="R49" s="15"/>
      <c r="S49" s="15"/>
      <c r="T49" s="15">
        <v>74</v>
      </c>
      <c r="U49" s="15"/>
      <c r="V49" s="15"/>
      <c r="W49" s="33">
        <f t="shared" si="1"/>
        <v>3</v>
      </c>
      <c r="X49" s="440">
        <f t="shared" si="4"/>
        <v>2</v>
      </c>
      <c r="Y49" s="441">
        <f t="shared" si="2"/>
        <v>0</v>
      </c>
      <c r="Z49" s="34">
        <f t="shared" si="3"/>
        <v>0</v>
      </c>
    </row>
    <row r="50" spans="1:26" x14ac:dyDescent="0.2">
      <c r="A50" s="139">
        <v>42</v>
      </c>
      <c r="B50" s="601" t="s">
        <v>423</v>
      </c>
      <c r="C50" s="139">
        <v>327</v>
      </c>
      <c r="D50" s="64"/>
      <c r="E50" s="64"/>
      <c r="F50" s="1100"/>
      <c r="G50" s="575" t="s">
        <v>397</v>
      </c>
      <c r="H50" s="575" t="s">
        <v>397</v>
      </c>
      <c r="I50" s="15">
        <v>173</v>
      </c>
      <c r="J50" s="575" t="s">
        <v>397</v>
      </c>
      <c r="K50" s="15"/>
      <c r="L50" s="15">
        <v>64</v>
      </c>
      <c r="M50" s="575" t="s">
        <v>397</v>
      </c>
      <c r="N50" s="15"/>
      <c r="O50" s="15"/>
      <c r="P50" s="15">
        <v>90</v>
      </c>
      <c r="Q50" s="15"/>
      <c r="R50" s="15"/>
      <c r="S50" s="15"/>
      <c r="T50" s="15"/>
      <c r="U50" s="15"/>
      <c r="V50" s="15"/>
      <c r="W50" s="33">
        <f t="shared" si="1"/>
        <v>3</v>
      </c>
      <c r="X50" s="440">
        <f t="shared" si="4"/>
        <v>1</v>
      </c>
      <c r="Y50" s="441">
        <f t="shared" si="2"/>
        <v>1</v>
      </c>
      <c r="Z50" s="34">
        <f t="shared" si="3"/>
        <v>1</v>
      </c>
    </row>
    <row r="51" spans="1:26" x14ac:dyDescent="0.2">
      <c r="A51" s="139">
        <v>43</v>
      </c>
      <c r="B51" s="65" t="s">
        <v>440</v>
      </c>
      <c r="C51" s="139">
        <v>317</v>
      </c>
      <c r="D51" s="64" t="s">
        <v>35</v>
      </c>
      <c r="E51" s="64"/>
      <c r="F51" s="1100"/>
      <c r="G51" s="575" t="s">
        <v>397</v>
      </c>
      <c r="H51" s="575" t="s">
        <v>397</v>
      </c>
      <c r="I51" s="575" t="s">
        <v>397</v>
      </c>
      <c r="J51" s="15">
        <v>79</v>
      </c>
      <c r="K51" s="575" t="s">
        <v>397</v>
      </c>
      <c r="L51" s="15"/>
      <c r="M51" s="15">
        <v>173</v>
      </c>
      <c r="N51" s="15"/>
      <c r="O51" s="15">
        <v>65</v>
      </c>
      <c r="P51" s="15"/>
      <c r="Q51" s="15"/>
      <c r="R51" s="15"/>
      <c r="S51" s="15"/>
      <c r="T51" s="15"/>
      <c r="U51" s="15"/>
      <c r="V51" s="15"/>
      <c r="W51" s="33">
        <f t="shared" si="1"/>
        <v>3</v>
      </c>
      <c r="X51" s="440">
        <f t="shared" si="4"/>
        <v>1</v>
      </c>
      <c r="Y51" s="441">
        <f t="shared" si="2"/>
        <v>1</v>
      </c>
      <c r="Z51" s="34">
        <f t="shared" si="3"/>
        <v>1</v>
      </c>
    </row>
    <row r="52" spans="1:26" x14ac:dyDescent="0.2">
      <c r="A52" s="139">
        <v>43</v>
      </c>
      <c r="B52" s="601" t="s">
        <v>439</v>
      </c>
      <c r="C52" s="139">
        <v>317</v>
      </c>
      <c r="D52" s="64"/>
      <c r="E52" s="64"/>
      <c r="F52" s="1100"/>
      <c r="G52" s="575" t="s">
        <v>397</v>
      </c>
      <c r="H52" s="575" t="s">
        <v>397</v>
      </c>
      <c r="I52" s="575" t="s">
        <v>397</v>
      </c>
      <c r="J52" s="15">
        <v>79</v>
      </c>
      <c r="K52" s="575" t="s">
        <v>397</v>
      </c>
      <c r="L52" s="15"/>
      <c r="M52" s="15">
        <v>173</v>
      </c>
      <c r="N52" s="15"/>
      <c r="O52" s="15">
        <v>65</v>
      </c>
      <c r="P52" s="15"/>
      <c r="Q52" s="15"/>
      <c r="R52" s="15"/>
      <c r="S52" s="15"/>
      <c r="T52" s="15"/>
      <c r="U52" s="15"/>
      <c r="V52" s="15"/>
      <c r="W52" s="33">
        <f t="shared" si="1"/>
        <v>3</v>
      </c>
      <c r="X52" s="440">
        <f t="shared" si="4"/>
        <v>1</v>
      </c>
      <c r="Y52" s="441">
        <f t="shared" si="2"/>
        <v>1</v>
      </c>
      <c r="Z52" s="34">
        <f t="shared" si="3"/>
        <v>1</v>
      </c>
    </row>
    <row r="53" spans="1:26" x14ac:dyDescent="0.2">
      <c r="A53" s="139">
        <v>45</v>
      </c>
      <c r="B53" s="601" t="s">
        <v>79</v>
      </c>
      <c r="C53" s="139">
        <v>315</v>
      </c>
      <c r="D53" s="64"/>
      <c r="E53" s="64"/>
      <c r="F53" s="1100">
        <v>1</v>
      </c>
      <c r="G53" s="15">
        <v>69</v>
      </c>
      <c r="H53" s="15">
        <v>60</v>
      </c>
      <c r="I53" s="575" t="s">
        <v>397</v>
      </c>
      <c r="J53" s="575" t="s">
        <v>397</v>
      </c>
      <c r="K53" s="575" t="s">
        <v>397</v>
      </c>
      <c r="L53" s="15">
        <v>37</v>
      </c>
      <c r="M53" s="15"/>
      <c r="N53" s="15">
        <v>56</v>
      </c>
      <c r="O53" s="15"/>
      <c r="P53" s="15">
        <v>52</v>
      </c>
      <c r="Q53" s="15"/>
      <c r="R53" s="575" t="s">
        <v>397</v>
      </c>
      <c r="S53" s="15"/>
      <c r="T53" s="15">
        <v>40</v>
      </c>
      <c r="U53" s="15"/>
      <c r="V53" s="15"/>
      <c r="W53" s="33">
        <f t="shared" si="1"/>
        <v>6</v>
      </c>
      <c r="X53" s="440">
        <f t="shared" si="4"/>
        <v>0</v>
      </c>
      <c r="Y53" s="441">
        <f t="shared" si="2"/>
        <v>0</v>
      </c>
      <c r="Z53" s="34">
        <f t="shared" si="3"/>
        <v>0</v>
      </c>
    </row>
    <row r="54" spans="1:26" x14ac:dyDescent="0.2">
      <c r="A54" s="139">
        <v>46</v>
      </c>
      <c r="B54" s="601" t="s">
        <v>73</v>
      </c>
      <c r="C54" s="139">
        <v>305</v>
      </c>
      <c r="D54" s="64"/>
      <c r="E54" s="64"/>
      <c r="F54" s="1100">
        <v>1</v>
      </c>
      <c r="G54" s="575" t="s">
        <v>397</v>
      </c>
      <c r="H54" s="15">
        <v>84</v>
      </c>
      <c r="I54" s="15">
        <v>146</v>
      </c>
      <c r="J54" s="575" t="s">
        <v>397</v>
      </c>
      <c r="K54" s="575" t="s">
        <v>397</v>
      </c>
      <c r="L54" s="15">
        <v>74</v>
      </c>
      <c r="M54" s="575" t="s">
        <v>397</v>
      </c>
      <c r="N54" s="15"/>
      <c r="O54" s="15"/>
      <c r="P54" s="15"/>
      <c r="Q54" s="15"/>
      <c r="R54" s="15"/>
      <c r="S54" s="15"/>
      <c r="T54" s="15"/>
      <c r="U54" s="15"/>
      <c r="V54" s="15"/>
      <c r="W54" s="33">
        <f t="shared" si="1"/>
        <v>3</v>
      </c>
      <c r="X54" s="440">
        <f t="shared" si="4"/>
        <v>1</v>
      </c>
      <c r="Y54" s="441">
        <f t="shared" si="2"/>
        <v>0</v>
      </c>
      <c r="Z54" s="34">
        <f t="shared" si="3"/>
        <v>0</v>
      </c>
    </row>
    <row r="55" spans="1:26" x14ac:dyDescent="0.2">
      <c r="A55" s="139">
        <v>47</v>
      </c>
      <c r="B55" s="601" t="s">
        <v>62</v>
      </c>
      <c r="C55" s="139">
        <v>304</v>
      </c>
      <c r="D55" s="64"/>
      <c r="E55" s="64"/>
      <c r="F55" s="1101">
        <v>17.5</v>
      </c>
      <c r="G55" s="575" t="s">
        <v>397</v>
      </c>
      <c r="H55" s="575" t="s">
        <v>397</v>
      </c>
      <c r="I55" s="15">
        <v>21</v>
      </c>
      <c r="J55" s="575" t="s">
        <v>397</v>
      </c>
      <c r="K55" s="15">
        <v>19</v>
      </c>
      <c r="L55" s="15">
        <v>60</v>
      </c>
      <c r="M55" s="575" t="s">
        <v>397</v>
      </c>
      <c r="N55" s="15">
        <v>64</v>
      </c>
      <c r="O55" s="15"/>
      <c r="P55" s="15"/>
      <c r="Q55" s="15"/>
      <c r="R55" s="15"/>
      <c r="S55" s="15">
        <v>62.5</v>
      </c>
      <c r="T55" s="15">
        <v>60</v>
      </c>
      <c r="U55" s="15"/>
      <c r="V55" s="15"/>
      <c r="W55" s="33">
        <f t="shared" si="1"/>
        <v>6</v>
      </c>
      <c r="X55" s="440">
        <f t="shared" si="4"/>
        <v>0</v>
      </c>
      <c r="Y55" s="441">
        <f t="shared" si="2"/>
        <v>0</v>
      </c>
      <c r="Z55" s="34">
        <f t="shared" si="3"/>
        <v>0</v>
      </c>
    </row>
    <row r="56" spans="1:26" x14ac:dyDescent="0.2">
      <c r="A56" s="139">
        <v>48</v>
      </c>
      <c r="B56" s="65" t="s">
        <v>679</v>
      </c>
      <c r="C56" s="139">
        <v>291</v>
      </c>
      <c r="D56" s="64" t="s">
        <v>35</v>
      </c>
      <c r="E56" s="64"/>
      <c r="F56" s="1100"/>
      <c r="G56" s="575" t="s">
        <v>397</v>
      </c>
      <c r="H56" s="575" t="s">
        <v>397</v>
      </c>
      <c r="I56" s="575" t="s">
        <v>397</v>
      </c>
      <c r="J56" s="575" t="s">
        <v>397</v>
      </c>
      <c r="K56" s="15"/>
      <c r="L56" s="15"/>
      <c r="M56" s="15"/>
      <c r="N56" s="15"/>
      <c r="O56" s="15">
        <v>158</v>
      </c>
      <c r="P56" s="15">
        <v>69</v>
      </c>
      <c r="Q56" s="15"/>
      <c r="R56" s="15"/>
      <c r="S56" s="15"/>
      <c r="T56" s="15">
        <v>64</v>
      </c>
      <c r="U56" s="15"/>
      <c r="V56" s="15"/>
      <c r="W56" s="33">
        <f t="shared" si="1"/>
        <v>3</v>
      </c>
      <c r="X56" s="440">
        <f t="shared" si="4"/>
        <v>1</v>
      </c>
      <c r="Y56" s="441">
        <f t="shared" si="2"/>
        <v>0</v>
      </c>
      <c r="Z56" s="34">
        <f t="shared" si="3"/>
        <v>0</v>
      </c>
    </row>
    <row r="57" spans="1:26" x14ac:dyDescent="0.2">
      <c r="A57" s="139">
        <v>49</v>
      </c>
      <c r="B57" s="852" t="s">
        <v>881</v>
      </c>
      <c r="C57" s="139">
        <v>288</v>
      </c>
      <c r="D57" s="64"/>
      <c r="E57" s="64"/>
      <c r="F57" s="1100"/>
      <c r="G57" s="575" t="s">
        <v>397</v>
      </c>
      <c r="H57" s="575" t="s">
        <v>397</v>
      </c>
      <c r="I57" s="575" t="s">
        <v>397</v>
      </c>
      <c r="J57" s="575" t="s">
        <v>397</v>
      </c>
      <c r="K57" s="15"/>
      <c r="L57" s="15"/>
      <c r="M57" s="15"/>
      <c r="N57" s="15"/>
      <c r="O57" s="15"/>
      <c r="P57" s="15"/>
      <c r="Q57" s="15">
        <v>173</v>
      </c>
      <c r="R57" s="15">
        <v>115</v>
      </c>
      <c r="S57" s="15"/>
      <c r="T57" s="15"/>
      <c r="U57" s="15"/>
      <c r="V57" s="15"/>
      <c r="W57" s="33">
        <f t="shared" si="1"/>
        <v>2</v>
      </c>
      <c r="X57" s="440">
        <f t="shared" si="4"/>
        <v>2</v>
      </c>
      <c r="Y57" s="441">
        <f t="shared" si="2"/>
        <v>2</v>
      </c>
      <c r="Z57" s="34">
        <f t="shared" si="3"/>
        <v>1</v>
      </c>
    </row>
    <row r="58" spans="1:26" x14ac:dyDescent="0.2">
      <c r="A58" s="139">
        <v>50</v>
      </c>
      <c r="B58" s="601" t="s">
        <v>513</v>
      </c>
      <c r="C58" s="139">
        <v>288</v>
      </c>
      <c r="D58" s="64"/>
      <c r="E58" s="64"/>
      <c r="F58" s="1100"/>
      <c r="G58" s="575" t="s">
        <v>397</v>
      </c>
      <c r="H58" s="575" t="s">
        <v>397</v>
      </c>
      <c r="I58" s="575" t="s">
        <v>397</v>
      </c>
      <c r="J58" s="575" t="s">
        <v>397</v>
      </c>
      <c r="K58" s="15">
        <v>84</v>
      </c>
      <c r="L58" s="15">
        <v>56</v>
      </c>
      <c r="M58" s="15"/>
      <c r="N58" s="15"/>
      <c r="O58" s="15"/>
      <c r="P58" s="15">
        <v>105</v>
      </c>
      <c r="Q58" s="15"/>
      <c r="R58" s="15"/>
      <c r="S58" s="15"/>
      <c r="T58" s="15">
        <v>43</v>
      </c>
      <c r="U58" s="15"/>
      <c r="V58" s="15"/>
      <c r="W58" s="33">
        <f t="shared" si="1"/>
        <v>4</v>
      </c>
      <c r="X58" s="440">
        <f t="shared" si="4"/>
        <v>1</v>
      </c>
      <c r="Y58" s="441">
        <f t="shared" si="2"/>
        <v>0</v>
      </c>
      <c r="Z58" s="34">
        <f t="shared" si="3"/>
        <v>0</v>
      </c>
    </row>
    <row r="59" spans="1:26" x14ac:dyDescent="0.2">
      <c r="A59" s="139">
        <v>51</v>
      </c>
      <c r="B59" s="65" t="s">
        <v>74</v>
      </c>
      <c r="C59" s="139">
        <v>284</v>
      </c>
      <c r="D59" s="64" t="s">
        <v>35</v>
      </c>
      <c r="E59" s="64"/>
      <c r="F59" s="1100">
        <v>1</v>
      </c>
      <c r="G59" s="575" t="s">
        <v>397</v>
      </c>
      <c r="H59" s="575" t="s">
        <v>397</v>
      </c>
      <c r="I59" s="15">
        <v>93</v>
      </c>
      <c r="J59" s="575" t="s">
        <v>397</v>
      </c>
      <c r="K59" s="15">
        <v>46</v>
      </c>
      <c r="L59" s="15"/>
      <c r="M59" s="15">
        <v>104</v>
      </c>
      <c r="N59" s="15">
        <v>40</v>
      </c>
      <c r="O59" s="575" t="s">
        <v>397</v>
      </c>
      <c r="P59" s="15"/>
      <c r="Q59" s="15"/>
      <c r="R59" s="15"/>
      <c r="S59" s="15"/>
      <c r="T59" s="15"/>
      <c r="U59" s="15"/>
      <c r="V59" s="15"/>
      <c r="W59" s="33">
        <f t="shared" si="1"/>
        <v>4</v>
      </c>
      <c r="X59" s="440">
        <f t="shared" si="4"/>
        <v>1</v>
      </c>
      <c r="Y59" s="441">
        <f t="shared" si="2"/>
        <v>0</v>
      </c>
      <c r="Z59" s="34">
        <f t="shared" si="3"/>
        <v>0</v>
      </c>
    </row>
    <row r="60" spans="1:26" x14ac:dyDescent="0.2">
      <c r="A60" s="139">
        <v>52</v>
      </c>
      <c r="B60" s="601" t="s">
        <v>437</v>
      </c>
      <c r="C60" s="139">
        <v>271</v>
      </c>
      <c r="D60" s="64"/>
      <c r="E60" s="64"/>
      <c r="F60" s="1100"/>
      <c r="G60" s="575" t="s">
        <v>397</v>
      </c>
      <c r="H60" s="575" t="s">
        <v>397</v>
      </c>
      <c r="I60" s="575" t="s">
        <v>397</v>
      </c>
      <c r="J60" s="15">
        <v>105</v>
      </c>
      <c r="K60" s="15">
        <v>97</v>
      </c>
      <c r="L60" s="15">
        <v>69</v>
      </c>
      <c r="M60" s="15"/>
      <c r="N60" s="575" t="s">
        <v>397</v>
      </c>
      <c r="O60" s="15"/>
      <c r="P60" s="15"/>
      <c r="Q60" s="15"/>
      <c r="R60" s="15"/>
      <c r="S60" s="15"/>
      <c r="T60" s="15"/>
      <c r="U60" s="15"/>
      <c r="V60" s="15"/>
      <c r="W60" s="33">
        <f t="shared" si="1"/>
        <v>3</v>
      </c>
      <c r="X60" s="440">
        <f t="shared" si="4"/>
        <v>2</v>
      </c>
      <c r="Y60" s="441">
        <f t="shared" si="2"/>
        <v>0</v>
      </c>
      <c r="Z60" s="34">
        <f t="shared" si="3"/>
        <v>0</v>
      </c>
    </row>
    <row r="61" spans="1:26" x14ac:dyDescent="0.2">
      <c r="A61" s="139">
        <v>53</v>
      </c>
      <c r="B61" s="601" t="s">
        <v>53</v>
      </c>
      <c r="C61" s="139">
        <v>268</v>
      </c>
      <c r="D61" s="64"/>
      <c r="E61" s="64"/>
      <c r="F61" s="1100">
        <v>49</v>
      </c>
      <c r="G61" s="15">
        <v>115</v>
      </c>
      <c r="H61" s="575" t="s">
        <v>397</v>
      </c>
      <c r="I61" s="15">
        <v>104</v>
      </c>
      <c r="J61" s="575" t="s">
        <v>397</v>
      </c>
      <c r="K61" s="575" t="s">
        <v>397</v>
      </c>
      <c r="L61" s="15"/>
      <c r="M61" s="575" t="s">
        <v>397</v>
      </c>
      <c r="N61" s="15"/>
      <c r="O61" s="15"/>
      <c r="P61" s="15"/>
      <c r="Q61" s="15"/>
      <c r="R61" s="15"/>
      <c r="S61" s="15"/>
      <c r="T61" s="15"/>
      <c r="U61" s="15"/>
      <c r="V61" s="15"/>
      <c r="W61" s="33">
        <f t="shared" si="1"/>
        <v>2</v>
      </c>
      <c r="X61" s="440">
        <f t="shared" si="4"/>
        <v>1</v>
      </c>
      <c r="Y61" s="441">
        <f t="shared" si="2"/>
        <v>1</v>
      </c>
      <c r="Z61" s="34">
        <f t="shared" si="3"/>
        <v>0</v>
      </c>
    </row>
    <row r="62" spans="1:26" x14ac:dyDescent="0.2">
      <c r="A62" s="139">
        <v>54</v>
      </c>
      <c r="B62" s="67" t="s">
        <v>710</v>
      </c>
      <c r="C62" s="870">
        <v>257</v>
      </c>
      <c r="D62" s="64"/>
      <c r="E62" s="64"/>
      <c r="F62" s="1100"/>
      <c r="G62" s="575" t="s">
        <v>397</v>
      </c>
      <c r="H62" s="575" t="s">
        <v>397</v>
      </c>
      <c r="I62" s="575" t="s">
        <v>397</v>
      </c>
      <c r="J62" s="575" t="s">
        <v>397</v>
      </c>
      <c r="K62" s="15"/>
      <c r="L62" s="15"/>
      <c r="M62" s="15"/>
      <c r="N62" s="15"/>
      <c r="O62" s="15"/>
      <c r="P62" s="15">
        <v>97</v>
      </c>
      <c r="Q62" s="15"/>
      <c r="R62" s="15"/>
      <c r="S62" s="15"/>
      <c r="T62" s="15"/>
      <c r="U62" s="15">
        <v>111</v>
      </c>
      <c r="V62" s="15">
        <v>49</v>
      </c>
      <c r="W62" s="33">
        <f t="shared" si="1"/>
        <v>3</v>
      </c>
      <c r="X62" s="440">
        <f t="shared" si="4"/>
        <v>1</v>
      </c>
      <c r="Y62" s="441">
        <f t="shared" si="2"/>
        <v>0</v>
      </c>
      <c r="Z62" s="34">
        <f t="shared" si="3"/>
        <v>0</v>
      </c>
    </row>
    <row r="63" spans="1:26" x14ac:dyDescent="0.2">
      <c r="A63" s="139">
        <v>55</v>
      </c>
      <c r="B63" s="65" t="s">
        <v>533</v>
      </c>
      <c r="C63" s="139">
        <v>241</v>
      </c>
      <c r="D63" s="64" t="s">
        <v>35</v>
      </c>
      <c r="E63" s="64"/>
      <c r="F63" s="1100"/>
      <c r="G63" s="575" t="s">
        <v>397</v>
      </c>
      <c r="H63" s="575" t="s">
        <v>397</v>
      </c>
      <c r="I63" s="575" t="s">
        <v>397</v>
      </c>
      <c r="J63" s="575" t="s">
        <v>397</v>
      </c>
      <c r="K63" s="15"/>
      <c r="L63" s="15">
        <v>46</v>
      </c>
      <c r="M63" s="15"/>
      <c r="N63" s="15"/>
      <c r="O63" s="15">
        <v>146</v>
      </c>
      <c r="P63" s="15">
        <v>49</v>
      </c>
      <c r="Q63" s="15"/>
      <c r="R63" s="15"/>
      <c r="S63" s="15"/>
      <c r="T63" s="15"/>
      <c r="U63" s="15"/>
      <c r="V63" s="15"/>
      <c r="W63" s="33">
        <f t="shared" si="1"/>
        <v>3</v>
      </c>
      <c r="X63" s="440">
        <f t="shared" si="4"/>
        <v>1</v>
      </c>
      <c r="Y63" s="441">
        <f t="shared" si="2"/>
        <v>0</v>
      </c>
      <c r="Z63" s="34">
        <f t="shared" si="3"/>
        <v>0</v>
      </c>
    </row>
    <row r="64" spans="1:26" x14ac:dyDescent="0.2">
      <c r="A64" s="139">
        <v>56</v>
      </c>
      <c r="B64" s="66" t="s">
        <v>320</v>
      </c>
      <c r="C64" s="139">
        <v>241</v>
      </c>
      <c r="D64" s="64" t="s">
        <v>35</v>
      </c>
      <c r="E64" s="64" t="s">
        <v>50</v>
      </c>
      <c r="F64" s="1100">
        <v>1</v>
      </c>
      <c r="G64" s="575" t="s">
        <v>397</v>
      </c>
      <c r="H64" s="575" t="s">
        <v>397</v>
      </c>
      <c r="I64" s="15">
        <v>14</v>
      </c>
      <c r="J64" s="575" t="s">
        <v>397</v>
      </c>
      <c r="K64" s="15"/>
      <c r="L64" s="15"/>
      <c r="M64" s="15">
        <v>90</v>
      </c>
      <c r="N64" s="15">
        <v>52</v>
      </c>
      <c r="O64" s="575" t="s">
        <v>397</v>
      </c>
      <c r="P64" s="15"/>
      <c r="Q64" s="15">
        <v>84</v>
      </c>
      <c r="R64" s="15"/>
      <c r="S64" s="15"/>
      <c r="T64" s="15"/>
      <c r="U64" s="15"/>
      <c r="V64" s="15"/>
      <c r="W64" s="33">
        <f t="shared" si="1"/>
        <v>4</v>
      </c>
      <c r="X64" s="440">
        <f t="shared" si="4"/>
        <v>0</v>
      </c>
      <c r="Y64" s="441">
        <f t="shared" si="2"/>
        <v>0</v>
      </c>
      <c r="Z64" s="34">
        <f t="shared" si="3"/>
        <v>0</v>
      </c>
    </row>
    <row r="65" spans="1:26" x14ac:dyDescent="0.2">
      <c r="A65" s="139">
        <v>57</v>
      </c>
      <c r="B65" s="65" t="s">
        <v>691</v>
      </c>
      <c r="C65" s="139">
        <v>237</v>
      </c>
      <c r="D65" s="64" t="s">
        <v>35</v>
      </c>
      <c r="E65" s="64"/>
      <c r="F65" s="1100"/>
      <c r="G65" s="575" t="s">
        <v>397</v>
      </c>
      <c r="H65" s="575" t="s">
        <v>397</v>
      </c>
      <c r="I65" s="575" t="s">
        <v>397</v>
      </c>
      <c r="J65" s="575" t="s">
        <v>397</v>
      </c>
      <c r="K65" s="15"/>
      <c r="L65" s="15"/>
      <c r="M65" s="15"/>
      <c r="N65" s="15"/>
      <c r="O65" s="15">
        <v>173</v>
      </c>
      <c r="P65" s="15">
        <v>64</v>
      </c>
      <c r="Q65" s="15"/>
      <c r="R65" s="15"/>
      <c r="S65" s="15"/>
      <c r="T65" s="15"/>
      <c r="U65" s="15"/>
      <c r="V65" s="15"/>
      <c r="W65" s="33">
        <f t="shared" si="1"/>
        <v>2</v>
      </c>
      <c r="X65" s="440">
        <f t="shared" si="4"/>
        <v>1</v>
      </c>
      <c r="Y65" s="441">
        <f t="shared" si="2"/>
        <v>1</v>
      </c>
      <c r="Z65" s="34">
        <f t="shared" si="3"/>
        <v>1</v>
      </c>
    </row>
    <row r="66" spans="1:26" x14ac:dyDescent="0.2">
      <c r="A66" s="139">
        <v>58</v>
      </c>
      <c r="B66" s="67" t="s">
        <v>88</v>
      </c>
      <c r="C66" s="870">
        <v>233</v>
      </c>
      <c r="D66" s="64"/>
      <c r="E66" s="64"/>
      <c r="F66" s="1100">
        <v>1</v>
      </c>
      <c r="G66" s="575" t="s">
        <v>397</v>
      </c>
      <c r="H66" s="575" t="s">
        <v>397</v>
      </c>
      <c r="I66" s="15">
        <v>24</v>
      </c>
      <c r="J66" s="575" t="s">
        <v>397</v>
      </c>
      <c r="K66" s="15"/>
      <c r="L66" s="15"/>
      <c r="M66" s="575" t="s">
        <v>397</v>
      </c>
      <c r="N66" s="15"/>
      <c r="O66" s="15"/>
      <c r="P66" s="15"/>
      <c r="Q66" s="15"/>
      <c r="R66" s="15"/>
      <c r="S66" s="15"/>
      <c r="T66" s="15"/>
      <c r="U66" s="15">
        <v>111</v>
      </c>
      <c r="V66" s="15">
        <v>97</v>
      </c>
      <c r="W66" s="33">
        <f t="shared" si="1"/>
        <v>3</v>
      </c>
      <c r="X66" s="440">
        <f t="shared" si="4"/>
        <v>1</v>
      </c>
      <c r="Y66" s="441">
        <f t="shared" si="2"/>
        <v>0</v>
      </c>
      <c r="Z66" s="34">
        <f t="shared" si="3"/>
        <v>0</v>
      </c>
    </row>
    <row r="67" spans="1:26" x14ac:dyDescent="0.2">
      <c r="A67" s="139">
        <v>59</v>
      </c>
      <c r="B67" s="601" t="s">
        <v>424</v>
      </c>
      <c r="C67" s="139">
        <v>221</v>
      </c>
      <c r="D67" s="64"/>
      <c r="E67" s="64"/>
      <c r="F67" s="1100"/>
      <c r="G67" s="575" t="s">
        <v>397</v>
      </c>
      <c r="H67" s="575" t="s">
        <v>397</v>
      </c>
      <c r="I67" s="15">
        <v>56</v>
      </c>
      <c r="J67" s="575" t="s">
        <v>397</v>
      </c>
      <c r="K67" s="15">
        <v>22</v>
      </c>
      <c r="L67" s="15"/>
      <c r="M67" s="575" t="s">
        <v>397</v>
      </c>
      <c r="N67" s="15"/>
      <c r="O67" s="15">
        <v>69</v>
      </c>
      <c r="P67" s="15">
        <v>74</v>
      </c>
      <c r="Q67" s="15"/>
      <c r="R67" s="15"/>
      <c r="S67" s="15"/>
      <c r="T67" s="15"/>
      <c r="U67" s="15"/>
      <c r="V67" s="15"/>
      <c r="W67" s="33">
        <f t="shared" si="1"/>
        <v>4</v>
      </c>
      <c r="X67" s="440">
        <f t="shared" si="4"/>
        <v>0</v>
      </c>
      <c r="Y67" s="441">
        <f t="shared" si="2"/>
        <v>0</v>
      </c>
      <c r="Z67" s="34">
        <f t="shared" si="3"/>
        <v>0</v>
      </c>
    </row>
    <row r="68" spans="1:26" x14ac:dyDescent="0.2">
      <c r="A68" s="139">
        <v>60</v>
      </c>
      <c r="B68" s="65" t="s">
        <v>692</v>
      </c>
      <c r="C68" s="139">
        <v>218</v>
      </c>
      <c r="D68" s="64" t="s">
        <v>35</v>
      </c>
      <c r="E68" s="64"/>
      <c r="F68" s="1100"/>
      <c r="G68" s="575" t="s">
        <v>397</v>
      </c>
      <c r="H68" s="575" t="s">
        <v>397</v>
      </c>
      <c r="I68" s="575" t="s">
        <v>397</v>
      </c>
      <c r="J68" s="575" t="s">
        <v>397</v>
      </c>
      <c r="K68" s="15"/>
      <c r="L68" s="15"/>
      <c r="M68" s="15"/>
      <c r="N68" s="15"/>
      <c r="O68" s="15">
        <v>126</v>
      </c>
      <c r="P68" s="15">
        <v>64</v>
      </c>
      <c r="Q68" s="15"/>
      <c r="R68" s="15"/>
      <c r="S68" s="15"/>
      <c r="T68" s="15">
        <v>28</v>
      </c>
      <c r="U68" s="15"/>
      <c r="V68" s="15"/>
      <c r="W68" s="33">
        <f t="shared" si="1"/>
        <v>3</v>
      </c>
      <c r="X68" s="440">
        <f t="shared" si="4"/>
        <v>0</v>
      </c>
      <c r="Y68" s="441">
        <f t="shared" si="2"/>
        <v>0</v>
      </c>
      <c r="Z68" s="34">
        <f t="shared" si="3"/>
        <v>0</v>
      </c>
    </row>
    <row r="69" spans="1:26" x14ac:dyDescent="0.2">
      <c r="A69" s="139">
        <v>61</v>
      </c>
      <c r="B69" s="65" t="s">
        <v>34</v>
      </c>
      <c r="C69" s="139">
        <v>217</v>
      </c>
      <c r="D69" s="64" t="s">
        <v>35</v>
      </c>
      <c r="E69" s="64"/>
      <c r="F69" s="1100">
        <v>46</v>
      </c>
      <c r="G69" s="575" t="s">
        <v>397</v>
      </c>
      <c r="H69" s="575" t="s">
        <v>397</v>
      </c>
      <c r="I69" s="575" t="s">
        <v>397</v>
      </c>
      <c r="J69" s="575" t="s">
        <v>397</v>
      </c>
      <c r="K69" s="15">
        <v>115</v>
      </c>
      <c r="L69" s="15">
        <v>56</v>
      </c>
      <c r="M69" s="32"/>
      <c r="N69" s="15"/>
      <c r="O69" s="15"/>
      <c r="P69" s="15"/>
      <c r="Q69" s="15"/>
      <c r="R69" s="15"/>
      <c r="S69" s="15"/>
      <c r="T69" s="15"/>
      <c r="U69" s="15"/>
      <c r="V69" s="15"/>
      <c r="W69" s="33">
        <f t="shared" si="1"/>
        <v>2</v>
      </c>
      <c r="X69" s="440">
        <f t="shared" si="4"/>
        <v>1</v>
      </c>
      <c r="Y69" s="441">
        <f t="shared" si="2"/>
        <v>1</v>
      </c>
      <c r="Z69" s="34">
        <f t="shared" si="3"/>
        <v>0</v>
      </c>
    </row>
    <row r="70" spans="1:26" x14ac:dyDescent="0.2">
      <c r="A70" s="139">
        <v>62</v>
      </c>
      <c r="B70" s="601" t="s">
        <v>745</v>
      </c>
      <c r="C70" s="139">
        <v>216</v>
      </c>
      <c r="D70" s="64"/>
      <c r="E70" s="64"/>
      <c r="F70" s="1100"/>
      <c r="G70" s="575" t="s">
        <v>397</v>
      </c>
      <c r="H70" s="575" t="s">
        <v>397</v>
      </c>
      <c r="I70" s="575" t="s">
        <v>397</v>
      </c>
      <c r="J70" s="575" t="s">
        <v>397</v>
      </c>
      <c r="K70" s="15"/>
      <c r="L70" s="15"/>
      <c r="M70" s="15"/>
      <c r="N70" s="15"/>
      <c r="O70" s="15"/>
      <c r="P70" s="15"/>
      <c r="Q70" s="15">
        <v>126</v>
      </c>
      <c r="R70" s="15">
        <v>90</v>
      </c>
      <c r="S70" s="15"/>
      <c r="T70" s="15"/>
      <c r="U70" s="15"/>
      <c r="V70" s="15"/>
      <c r="W70" s="33">
        <f t="shared" si="1"/>
        <v>2</v>
      </c>
      <c r="X70" s="440">
        <f t="shared" si="4"/>
        <v>0</v>
      </c>
      <c r="Y70" s="441">
        <f t="shared" si="2"/>
        <v>0</v>
      </c>
      <c r="Z70" s="34">
        <f t="shared" si="3"/>
        <v>0</v>
      </c>
    </row>
    <row r="71" spans="1:26" x14ac:dyDescent="0.2">
      <c r="A71" s="139">
        <v>63</v>
      </c>
      <c r="B71" s="601" t="s">
        <v>42</v>
      </c>
      <c r="C71" s="139">
        <v>214</v>
      </c>
      <c r="D71" s="64"/>
      <c r="E71" s="64"/>
      <c r="F71" s="1100">
        <v>34</v>
      </c>
      <c r="G71" s="575" t="s">
        <v>397</v>
      </c>
      <c r="H71" s="575" t="s">
        <v>397</v>
      </c>
      <c r="I71" s="575" t="s">
        <v>397</v>
      </c>
      <c r="J71" s="575" t="s">
        <v>397</v>
      </c>
      <c r="K71" s="15"/>
      <c r="L71" s="15"/>
      <c r="M71" s="32"/>
      <c r="N71" s="15"/>
      <c r="O71" s="15"/>
      <c r="P71" s="15"/>
      <c r="Q71" s="15">
        <v>65</v>
      </c>
      <c r="R71" s="15">
        <v>115</v>
      </c>
      <c r="S71" s="15"/>
      <c r="T71" s="15"/>
      <c r="U71" s="15"/>
      <c r="V71" s="15"/>
      <c r="W71" s="33">
        <f t="shared" si="1"/>
        <v>2</v>
      </c>
      <c r="X71" s="440">
        <f t="shared" si="4"/>
        <v>1</v>
      </c>
      <c r="Y71" s="441">
        <f t="shared" si="2"/>
        <v>1</v>
      </c>
      <c r="Z71" s="34">
        <f t="shared" si="3"/>
        <v>0</v>
      </c>
    </row>
    <row r="72" spans="1:26" x14ac:dyDescent="0.2">
      <c r="A72" s="139">
        <v>64</v>
      </c>
      <c r="B72" s="66" t="s">
        <v>425</v>
      </c>
      <c r="C72" s="139">
        <v>206</v>
      </c>
      <c r="D72" s="64" t="s">
        <v>35</v>
      </c>
      <c r="E72" s="64" t="s">
        <v>50</v>
      </c>
      <c r="F72" s="1100"/>
      <c r="G72" s="575" t="s">
        <v>397</v>
      </c>
      <c r="H72" s="575" t="s">
        <v>397</v>
      </c>
      <c r="I72" s="15">
        <v>18</v>
      </c>
      <c r="J72" s="575" t="s">
        <v>397</v>
      </c>
      <c r="K72" s="15"/>
      <c r="L72" s="15"/>
      <c r="M72" s="575" t="s">
        <v>397</v>
      </c>
      <c r="N72" s="15"/>
      <c r="O72" s="15">
        <v>119</v>
      </c>
      <c r="P72" s="15">
        <v>69</v>
      </c>
      <c r="Q72" s="15"/>
      <c r="R72" s="15"/>
      <c r="S72" s="15"/>
      <c r="T72" s="15"/>
      <c r="U72" s="15"/>
      <c r="V72" s="15"/>
      <c r="W72" s="33">
        <f t="shared" si="1"/>
        <v>3</v>
      </c>
      <c r="X72" s="440">
        <f t="shared" si="4"/>
        <v>0</v>
      </c>
      <c r="Y72" s="441">
        <f t="shared" si="2"/>
        <v>0</v>
      </c>
      <c r="Z72" s="34">
        <f t="shared" si="3"/>
        <v>0</v>
      </c>
    </row>
    <row r="73" spans="1:26" x14ac:dyDescent="0.2">
      <c r="A73" s="139">
        <v>65</v>
      </c>
      <c r="B73" s="65" t="s">
        <v>75</v>
      </c>
      <c r="C73" s="139">
        <v>206</v>
      </c>
      <c r="D73" s="64" t="s">
        <v>35</v>
      </c>
      <c r="E73" s="64"/>
      <c r="F73" s="1100">
        <v>1</v>
      </c>
      <c r="G73" s="575" t="s">
        <v>397</v>
      </c>
      <c r="H73" s="575" t="s">
        <v>397</v>
      </c>
      <c r="I73" s="575" t="s">
        <v>397</v>
      </c>
      <c r="J73" s="575" t="s">
        <v>397</v>
      </c>
      <c r="K73" s="15">
        <v>46</v>
      </c>
      <c r="L73" s="15"/>
      <c r="M73" s="32">
        <v>90</v>
      </c>
      <c r="N73" s="15">
        <v>69</v>
      </c>
      <c r="O73" s="15"/>
      <c r="P73" s="15"/>
      <c r="Q73" s="15"/>
      <c r="R73" s="15"/>
      <c r="S73" s="15"/>
      <c r="T73" s="15"/>
      <c r="U73" s="15"/>
      <c r="V73" s="15"/>
      <c r="W73" s="33">
        <f t="shared" si="1"/>
        <v>3</v>
      </c>
      <c r="X73" s="440">
        <f t="shared" ref="X73:X104" si="5">COUNTIF(G73:H73,"&gt;=97")+COUNTIF(J73:L73,"&gt;=97")+COUNTIF(N73,"&gt;=97")+COUNTIF(P73,"&gt;=97")+COUNTIF(R73,"&gt;=97")+COUNTIF(T73,"&gt;=97")+COUNTIF(V73,"&gt;=97")+COUNTIF(I73,"&gt;=146")+COUNTIF(M73,"&gt;=146")+COUNTIF(O73,"&gt;=146")+COUNTIF(Q73,"&gt;=146")+COUNTIF(S73,"&gt;=146")+COUNTIF(U73,"&gt;=146")+IF((D73="n"),(COUNTIF(I73,"=83")+COUNTIF(I73,"=93")+COUNTIF(I73,"=105")+COUNTIF(S73,"=83")+COUNTIF(S73,"=93")+COUNTIF(S73,"=105")))+IF((E73="j"),(COUNTIF(I73,"=33")+COUNTIF(I73,"=42")+COUNTIF(I73,"=53")+COUNTIF(S73,"=33")+COUNTIF(S73,"=42")+COUNTIF(S73,"=53")))</f>
        <v>0</v>
      </c>
      <c r="Y73" s="441">
        <f t="shared" si="2"/>
        <v>0</v>
      </c>
      <c r="Z73" s="34">
        <f t="shared" si="3"/>
        <v>0</v>
      </c>
    </row>
    <row r="74" spans="1:26" x14ac:dyDescent="0.2">
      <c r="A74" s="139">
        <v>66</v>
      </c>
      <c r="B74" s="411" t="s">
        <v>678</v>
      </c>
      <c r="C74" s="139">
        <v>204</v>
      </c>
      <c r="D74" s="64" t="s">
        <v>35</v>
      </c>
      <c r="E74" s="64"/>
      <c r="F74" s="1100"/>
      <c r="G74" s="575" t="s">
        <v>397</v>
      </c>
      <c r="H74" s="575" t="s">
        <v>397</v>
      </c>
      <c r="I74" s="575" t="s">
        <v>397</v>
      </c>
      <c r="J74" s="575" t="s">
        <v>397</v>
      </c>
      <c r="K74" s="15"/>
      <c r="L74" s="15"/>
      <c r="M74" s="15"/>
      <c r="N74" s="15"/>
      <c r="O74" s="15">
        <v>111</v>
      </c>
      <c r="P74" s="15">
        <v>74</v>
      </c>
      <c r="Q74" s="15"/>
      <c r="R74" s="15"/>
      <c r="S74" s="15"/>
      <c r="T74" s="15">
        <v>19</v>
      </c>
      <c r="U74" s="15"/>
      <c r="V74" s="15"/>
      <c r="W74" s="33">
        <f t="shared" ref="W74:W137" si="6">COUNTIF(G74:V74,"&gt;=0")</f>
        <v>3</v>
      </c>
      <c r="X74" s="440">
        <f t="shared" si="5"/>
        <v>0</v>
      </c>
      <c r="Y74" s="441">
        <f t="shared" ref="Y74:Y137" si="7">COUNTIF(G74:H74,"=115")+COUNTIF(J74:L74,"=115")+COUNTIF(N74,"=115")+COUNTIF(P74,"=115")+COUNTIF(R74,"=115")+COUNTIF(T74,"=115")+COUNTIF(V74,"=115")+COUNTIF(G74:V74,"=173")+IF((D74="n"),(COUNTIF(I74,"=105")+IF((D74="n"),(COUNTIF(S74,"=105")))))</f>
        <v>0</v>
      </c>
      <c r="Z74" s="34">
        <f t="shared" ref="Z74:Z137" si="8">COUNTIF(G74:V74,"=173")+IF((D74="n"),(COUNTIF(I74,"=105")+IF((D74="n"),(COUNTIF(S74,"=105")))))</f>
        <v>0</v>
      </c>
    </row>
    <row r="75" spans="1:26" x14ac:dyDescent="0.2">
      <c r="A75" s="139">
        <v>66</v>
      </c>
      <c r="B75" s="601" t="s">
        <v>681</v>
      </c>
      <c r="C75" s="139">
        <v>204</v>
      </c>
      <c r="D75" s="64"/>
      <c r="E75" s="64"/>
      <c r="F75" s="1100"/>
      <c r="G75" s="575" t="s">
        <v>397</v>
      </c>
      <c r="H75" s="575" t="s">
        <v>397</v>
      </c>
      <c r="I75" s="575" t="s">
        <v>397</v>
      </c>
      <c r="J75" s="575" t="s">
        <v>397</v>
      </c>
      <c r="K75" s="15"/>
      <c r="L75" s="15"/>
      <c r="M75" s="15"/>
      <c r="N75" s="15"/>
      <c r="O75" s="15">
        <v>111</v>
      </c>
      <c r="P75" s="15">
        <v>74</v>
      </c>
      <c r="Q75" s="15"/>
      <c r="R75" s="15"/>
      <c r="S75" s="15"/>
      <c r="T75" s="15">
        <v>19</v>
      </c>
      <c r="U75" s="15"/>
      <c r="V75" s="15"/>
      <c r="W75" s="33">
        <f t="shared" si="6"/>
        <v>3</v>
      </c>
      <c r="X75" s="440">
        <f t="shared" si="5"/>
        <v>0</v>
      </c>
      <c r="Y75" s="441">
        <f t="shared" si="7"/>
        <v>0</v>
      </c>
      <c r="Z75" s="34">
        <f t="shared" si="8"/>
        <v>0</v>
      </c>
    </row>
    <row r="76" spans="1:26" x14ac:dyDescent="0.2">
      <c r="A76" s="139">
        <v>68</v>
      </c>
      <c r="B76" s="601" t="s">
        <v>743</v>
      </c>
      <c r="C76" s="139">
        <v>201</v>
      </c>
      <c r="D76" s="64"/>
      <c r="E76" s="64"/>
      <c r="F76" s="1100"/>
      <c r="G76" s="575" t="s">
        <v>397</v>
      </c>
      <c r="H76" s="575" t="s">
        <v>397</v>
      </c>
      <c r="I76" s="575" t="s">
        <v>397</v>
      </c>
      <c r="J76" s="575" t="s">
        <v>397</v>
      </c>
      <c r="K76" s="15"/>
      <c r="L76" s="15"/>
      <c r="M76" s="15"/>
      <c r="N76" s="15"/>
      <c r="O76" s="15"/>
      <c r="P76" s="15"/>
      <c r="Q76" s="15">
        <v>111</v>
      </c>
      <c r="R76" s="15">
        <v>90</v>
      </c>
      <c r="S76" s="15"/>
      <c r="T76" s="15"/>
      <c r="U76" s="15"/>
      <c r="V76" s="15"/>
      <c r="W76" s="33">
        <f t="shared" si="6"/>
        <v>2</v>
      </c>
      <c r="X76" s="440">
        <f t="shared" si="5"/>
        <v>0</v>
      </c>
      <c r="Y76" s="441">
        <f t="shared" si="7"/>
        <v>0</v>
      </c>
      <c r="Z76" s="34">
        <f t="shared" si="8"/>
        <v>0</v>
      </c>
    </row>
    <row r="77" spans="1:26" x14ac:dyDescent="0.2">
      <c r="A77" s="139">
        <v>69</v>
      </c>
      <c r="B77" s="345" t="s">
        <v>746</v>
      </c>
      <c r="C77" s="139">
        <v>186</v>
      </c>
      <c r="D77" s="64"/>
      <c r="E77" s="64"/>
      <c r="F77" s="1100"/>
      <c r="G77" s="575" t="s">
        <v>397</v>
      </c>
      <c r="H77" s="575" t="s">
        <v>397</v>
      </c>
      <c r="I77" s="575" t="s">
        <v>397</v>
      </c>
      <c r="J77" s="575" t="s">
        <v>397</v>
      </c>
      <c r="K77" s="15"/>
      <c r="L77" s="15"/>
      <c r="M77" s="15"/>
      <c r="N77" s="15"/>
      <c r="O77" s="15"/>
      <c r="P77" s="15"/>
      <c r="Q77" s="15">
        <v>126</v>
      </c>
      <c r="R77" s="15">
        <v>60</v>
      </c>
      <c r="S77" s="15"/>
      <c r="T77" s="15"/>
      <c r="U77" s="15"/>
      <c r="V77" s="15"/>
      <c r="W77" s="33">
        <f t="shared" si="6"/>
        <v>2</v>
      </c>
      <c r="X77" s="440">
        <f t="shared" si="5"/>
        <v>0</v>
      </c>
      <c r="Y77" s="441">
        <f t="shared" si="7"/>
        <v>0</v>
      </c>
      <c r="Z77" s="34">
        <f t="shared" si="8"/>
        <v>0</v>
      </c>
    </row>
    <row r="78" spans="1:26" x14ac:dyDescent="0.2">
      <c r="A78" s="139">
        <v>70</v>
      </c>
      <c r="B78" s="65" t="s">
        <v>694</v>
      </c>
      <c r="C78" s="139">
        <v>176</v>
      </c>
      <c r="D78" s="64" t="s">
        <v>35</v>
      </c>
      <c r="E78" s="64"/>
      <c r="F78" s="1100"/>
      <c r="G78" s="575" t="s">
        <v>397</v>
      </c>
      <c r="H78" s="575" t="s">
        <v>397</v>
      </c>
      <c r="I78" s="575" t="s">
        <v>397</v>
      </c>
      <c r="J78" s="575" t="s">
        <v>397</v>
      </c>
      <c r="K78" s="15"/>
      <c r="L78" s="15"/>
      <c r="M78" s="15"/>
      <c r="N78" s="15"/>
      <c r="O78" s="15">
        <v>74</v>
      </c>
      <c r="P78" s="15">
        <v>56</v>
      </c>
      <c r="Q78" s="15"/>
      <c r="R78" s="15"/>
      <c r="S78" s="15"/>
      <c r="T78" s="15">
        <v>46</v>
      </c>
      <c r="U78" s="15"/>
      <c r="V78" s="15"/>
      <c r="W78" s="33">
        <f t="shared" si="6"/>
        <v>3</v>
      </c>
      <c r="X78" s="440">
        <f t="shared" si="5"/>
        <v>0</v>
      </c>
      <c r="Y78" s="441">
        <f t="shared" si="7"/>
        <v>0</v>
      </c>
      <c r="Z78" s="34">
        <f t="shared" si="8"/>
        <v>0</v>
      </c>
    </row>
    <row r="79" spans="1:26" x14ac:dyDescent="0.2">
      <c r="A79" s="139">
        <v>71</v>
      </c>
      <c r="B79" s="601" t="s">
        <v>744</v>
      </c>
      <c r="C79" s="139">
        <v>167</v>
      </c>
      <c r="D79" s="64"/>
      <c r="E79" s="64"/>
      <c r="F79" s="1100"/>
      <c r="G79" s="575" t="s">
        <v>397</v>
      </c>
      <c r="H79" s="575" t="s">
        <v>397</v>
      </c>
      <c r="I79" s="575" t="s">
        <v>397</v>
      </c>
      <c r="J79" s="575" t="s">
        <v>397</v>
      </c>
      <c r="K79" s="15"/>
      <c r="L79" s="15"/>
      <c r="M79" s="15"/>
      <c r="N79" s="15"/>
      <c r="O79" s="15"/>
      <c r="P79" s="15"/>
      <c r="Q79" s="15">
        <v>111</v>
      </c>
      <c r="R79" s="15">
        <v>56</v>
      </c>
      <c r="S79" s="15"/>
      <c r="T79" s="15"/>
      <c r="U79" s="15"/>
      <c r="V79" s="15"/>
      <c r="W79" s="33">
        <f t="shared" si="6"/>
        <v>2</v>
      </c>
      <c r="X79" s="440">
        <f t="shared" si="5"/>
        <v>0</v>
      </c>
      <c r="Y79" s="441">
        <f t="shared" si="7"/>
        <v>0</v>
      </c>
      <c r="Z79" s="34">
        <f t="shared" si="8"/>
        <v>0</v>
      </c>
    </row>
    <row r="80" spans="1:26" x14ac:dyDescent="0.2">
      <c r="A80" s="139">
        <v>72</v>
      </c>
      <c r="B80" s="601" t="s">
        <v>520</v>
      </c>
      <c r="C80" s="139">
        <v>167</v>
      </c>
      <c r="D80" s="64"/>
      <c r="E80" s="64"/>
      <c r="F80" s="1100"/>
      <c r="G80" s="575" t="s">
        <v>397</v>
      </c>
      <c r="H80" s="575" t="s">
        <v>397</v>
      </c>
      <c r="I80" s="575" t="s">
        <v>397</v>
      </c>
      <c r="J80" s="575" t="s">
        <v>397</v>
      </c>
      <c r="K80" s="15">
        <v>31</v>
      </c>
      <c r="L80" s="15">
        <v>90</v>
      </c>
      <c r="M80" s="15"/>
      <c r="N80" s="15"/>
      <c r="O80" s="15"/>
      <c r="P80" s="15">
        <v>46</v>
      </c>
      <c r="Q80" s="15"/>
      <c r="R80" s="15"/>
      <c r="S80" s="15"/>
      <c r="T80" s="15"/>
      <c r="U80" s="15"/>
      <c r="V80" s="15"/>
      <c r="W80" s="33">
        <f t="shared" si="6"/>
        <v>3</v>
      </c>
      <c r="X80" s="440">
        <f t="shared" si="5"/>
        <v>0</v>
      </c>
      <c r="Y80" s="441">
        <f t="shared" si="7"/>
        <v>0</v>
      </c>
      <c r="Z80" s="34">
        <f t="shared" si="8"/>
        <v>0</v>
      </c>
    </row>
    <row r="81" spans="1:26" x14ac:dyDescent="0.2">
      <c r="A81" s="139">
        <v>73</v>
      </c>
      <c r="B81" s="601" t="s">
        <v>85</v>
      </c>
      <c r="C81" s="139">
        <v>167</v>
      </c>
      <c r="D81" s="64"/>
      <c r="E81" s="64"/>
      <c r="F81" s="1100">
        <v>1</v>
      </c>
      <c r="G81" s="15">
        <v>69</v>
      </c>
      <c r="H81" s="15">
        <v>60</v>
      </c>
      <c r="I81" s="575" t="s">
        <v>397</v>
      </c>
      <c r="J81" s="575" t="s">
        <v>397</v>
      </c>
      <c r="K81" s="575" t="s">
        <v>397</v>
      </c>
      <c r="L81" s="15">
        <v>37</v>
      </c>
      <c r="M81" s="15"/>
      <c r="N81" s="575" t="s">
        <v>397</v>
      </c>
      <c r="O81" s="15"/>
      <c r="P81" s="15"/>
      <c r="Q81" s="15"/>
      <c r="R81" s="15"/>
      <c r="S81" s="15"/>
      <c r="T81" s="15"/>
      <c r="U81" s="15"/>
      <c r="V81" s="15"/>
      <c r="W81" s="33">
        <f t="shared" si="6"/>
        <v>3</v>
      </c>
      <c r="X81" s="440">
        <f t="shared" si="5"/>
        <v>0</v>
      </c>
      <c r="Y81" s="441">
        <f t="shared" si="7"/>
        <v>0</v>
      </c>
      <c r="Z81" s="34">
        <f t="shared" si="8"/>
        <v>0</v>
      </c>
    </row>
    <row r="82" spans="1:26" x14ac:dyDescent="0.2">
      <c r="A82" s="139">
        <v>74</v>
      </c>
      <c r="B82" s="65" t="s">
        <v>441</v>
      </c>
      <c r="C82" s="139">
        <v>167</v>
      </c>
      <c r="D82" s="64" t="s">
        <v>35</v>
      </c>
      <c r="E82" s="64"/>
      <c r="F82" s="1100"/>
      <c r="G82" s="575" t="s">
        <v>397</v>
      </c>
      <c r="H82" s="575" t="s">
        <v>397</v>
      </c>
      <c r="I82" s="15">
        <v>42</v>
      </c>
      <c r="J82" s="575" t="s">
        <v>397</v>
      </c>
      <c r="K82" s="15"/>
      <c r="L82" s="15"/>
      <c r="M82" s="575" t="s">
        <v>397</v>
      </c>
      <c r="N82" s="15"/>
      <c r="O82" s="15"/>
      <c r="P82" s="15"/>
      <c r="Q82" s="15">
        <v>56</v>
      </c>
      <c r="R82" s="15">
        <v>69</v>
      </c>
      <c r="S82" s="15"/>
      <c r="T82" s="15"/>
      <c r="U82" s="15"/>
      <c r="V82" s="15"/>
      <c r="W82" s="33">
        <f t="shared" si="6"/>
        <v>3</v>
      </c>
      <c r="X82" s="440">
        <f t="shared" si="5"/>
        <v>0</v>
      </c>
      <c r="Y82" s="441">
        <f t="shared" si="7"/>
        <v>0</v>
      </c>
      <c r="Z82" s="34">
        <f t="shared" si="8"/>
        <v>0</v>
      </c>
    </row>
    <row r="83" spans="1:26" x14ac:dyDescent="0.2">
      <c r="A83" s="139">
        <v>75</v>
      </c>
      <c r="B83" s="601" t="s">
        <v>522</v>
      </c>
      <c r="C83" s="139">
        <v>164</v>
      </c>
      <c r="D83" s="64"/>
      <c r="E83" s="64"/>
      <c r="F83" s="1100"/>
      <c r="G83" s="575" t="s">
        <v>397</v>
      </c>
      <c r="H83" s="575" t="s">
        <v>397</v>
      </c>
      <c r="I83" s="575" t="s">
        <v>397</v>
      </c>
      <c r="J83" s="575" t="s">
        <v>397</v>
      </c>
      <c r="K83" s="15">
        <v>28</v>
      </c>
      <c r="L83" s="15">
        <v>90</v>
      </c>
      <c r="M83" s="15"/>
      <c r="N83" s="15"/>
      <c r="O83" s="15"/>
      <c r="P83" s="15">
        <v>46</v>
      </c>
      <c r="Q83" s="15"/>
      <c r="R83" s="15"/>
      <c r="S83" s="15"/>
      <c r="T83" s="15"/>
      <c r="U83" s="15"/>
      <c r="V83" s="15"/>
      <c r="W83" s="33">
        <f t="shared" si="6"/>
        <v>3</v>
      </c>
      <c r="X83" s="440">
        <f t="shared" si="5"/>
        <v>0</v>
      </c>
      <c r="Y83" s="441">
        <f t="shared" si="7"/>
        <v>0</v>
      </c>
      <c r="Z83" s="34">
        <f t="shared" si="8"/>
        <v>0</v>
      </c>
    </row>
    <row r="84" spans="1:26" x14ac:dyDescent="0.2">
      <c r="A84" s="139">
        <v>76</v>
      </c>
      <c r="B84" s="601" t="s">
        <v>670</v>
      </c>
      <c r="C84" s="139">
        <v>155</v>
      </c>
      <c r="D84" s="64"/>
      <c r="E84" s="64"/>
      <c r="F84" s="1100"/>
      <c r="G84" s="575" t="s">
        <v>397</v>
      </c>
      <c r="H84" s="575" t="s">
        <v>397</v>
      </c>
      <c r="I84" s="575" t="s">
        <v>397</v>
      </c>
      <c r="J84" s="575" t="s">
        <v>397</v>
      </c>
      <c r="K84" s="15"/>
      <c r="L84" s="15"/>
      <c r="M84" s="15"/>
      <c r="N84" s="15"/>
      <c r="O84" s="15"/>
      <c r="P84" s="15"/>
      <c r="Q84" s="15">
        <v>65</v>
      </c>
      <c r="R84" s="15">
        <v>90</v>
      </c>
      <c r="S84" s="15"/>
      <c r="T84" s="15"/>
      <c r="U84" s="15"/>
      <c r="V84" s="15"/>
      <c r="W84" s="33">
        <f t="shared" si="6"/>
        <v>2</v>
      </c>
      <c r="X84" s="440">
        <f t="shared" si="5"/>
        <v>0</v>
      </c>
      <c r="Y84" s="441">
        <f t="shared" si="7"/>
        <v>0</v>
      </c>
      <c r="Z84" s="34">
        <f t="shared" si="8"/>
        <v>0</v>
      </c>
    </row>
    <row r="85" spans="1:26" x14ac:dyDescent="0.2">
      <c r="A85" s="139">
        <v>77</v>
      </c>
      <c r="B85" s="601" t="s">
        <v>531</v>
      </c>
      <c r="C85" s="139">
        <v>154</v>
      </c>
      <c r="D85" s="64"/>
      <c r="E85" s="64"/>
      <c r="F85" s="1100"/>
      <c r="G85" s="575" t="s">
        <v>397</v>
      </c>
      <c r="H85" s="575" t="s">
        <v>397</v>
      </c>
      <c r="I85" s="575" t="s">
        <v>397</v>
      </c>
      <c r="J85" s="575" t="s">
        <v>397</v>
      </c>
      <c r="K85" s="15"/>
      <c r="L85" s="15">
        <v>64</v>
      </c>
      <c r="M85" s="15"/>
      <c r="N85" s="15"/>
      <c r="O85" s="15"/>
      <c r="P85" s="15">
        <v>90</v>
      </c>
      <c r="Q85" s="15"/>
      <c r="R85" s="15"/>
      <c r="S85" s="15"/>
      <c r="T85" s="15"/>
      <c r="U85" s="15"/>
      <c r="V85" s="15"/>
      <c r="W85" s="33">
        <f t="shared" si="6"/>
        <v>2</v>
      </c>
      <c r="X85" s="440">
        <f t="shared" si="5"/>
        <v>0</v>
      </c>
      <c r="Y85" s="441">
        <f t="shared" si="7"/>
        <v>0</v>
      </c>
      <c r="Z85" s="34">
        <f t="shared" si="8"/>
        <v>0</v>
      </c>
    </row>
    <row r="86" spans="1:26" x14ac:dyDescent="0.2">
      <c r="A86" s="139">
        <v>78</v>
      </c>
      <c r="B86" s="66" t="s">
        <v>426</v>
      </c>
      <c r="C86" s="139">
        <v>154</v>
      </c>
      <c r="D86" s="64" t="s">
        <v>35</v>
      </c>
      <c r="E86" s="64" t="s">
        <v>50</v>
      </c>
      <c r="F86" s="1100"/>
      <c r="G86" s="575" t="s">
        <v>397</v>
      </c>
      <c r="H86" s="575" t="s">
        <v>397</v>
      </c>
      <c r="I86" s="15">
        <v>23</v>
      </c>
      <c r="J86" s="575" t="s">
        <v>397</v>
      </c>
      <c r="K86" s="15">
        <v>22</v>
      </c>
      <c r="L86" s="15"/>
      <c r="M86" s="575" t="s">
        <v>397</v>
      </c>
      <c r="N86" s="15"/>
      <c r="O86" s="15">
        <v>69</v>
      </c>
      <c r="P86" s="15">
        <v>40</v>
      </c>
      <c r="Q86" s="15"/>
      <c r="R86" s="15"/>
      <c r="S86" s="15"/>
      <c r="T86" s="15"/>
      <c r="U86" s="15"/>
      <c r="V86" s="15"/>
      <c r="W86" s="33">
        <f t="shared" si="6"/>
        <v>4</v>
      </c>
      <c r="X86" s="440">
        <f t="shared" si="5"/>
        <v>0</v>
      </c>
      <c r="Y86" s="441">
        <f t="shared" si="7"/>
        <v>0</v>
      </c>
      <c r="Z86" s="34">
        <f t="shared" si="8"/>
        <v>0</v>
      </c>
    </row>
    <row r="87" spans="1:26" x14ac:dyDescent="0.2">
      <c r="A87" s="139">
        <v>79</v>
      </c>
      <c r="B87" s="601" t="s">
        <v>695</v>
      </c>
      <c r="C87" s="139">
        <v>152</v>
      </c>
      <c r="D87" s="64"/>
      <c r="E87" s="64"/>
      <c r="F87" s="1100"/>
      <c r="G87" s="575" t="s">
        <v>397</v>
      </c>
      <c r="H87" s="575" t="s">
        <v>397</v>
      </c>
      <c r="I87" s="575" t="s">
        <v>397</v>
      </c>
      <c r="J87" s="575" t="s">
        <v>397</v>
      </c>
      <c r="K87" s="15"/>
      <c r="L87" s="15"/>
      <c r="M87" s="15"/>
      <c r="N87" s="15"/>
      <c r="O87" s="15">
        <v>74</v>
      </c>
      <c r="P87" s="15">
        <v>56</v>
      </c>
      <c r="Q87" s="15"/>
      <c r="R87" s="15"/>
      <c r="S87" s="15"/>
      <c r="T87" s="15">
        <v>22</v>
      </c>
      <c r="U87" s="15"/>
      <c r="V87" s="15"/>
      <c r="W87" s="33">
        <f t="shared" si="6"/>
        <v>3</v>
      </c>
      <c r="X87" s="440">
        <f t="shared" si="5"/>
        <v>0</v>
      </c>
      <c r="Y87" s="441">
        <f t="shared" si="7"/>
        <v>0</v>
      </c>
      <c r="Z87" s="34">
        <f t="shared" si="8"/>
        <v>0</v>
      </c>
    </row>
    <row r="88" spans="1:26" x14ac:dyDescent="0.2">
      <c r="A88" s="139">
        <v>80</v>
      </c>
      <c r="B88" s="601" t="s">
        <v>430</v>
      </c>
      <c r="C88" s="139">
        <v>131</v>
      </c>
      <c r="D88" s="64"/>
      <c r="E88" s="64"/>
      <c r="F88" s="1100"/>
      <c r="G88" s="575" t="s">
        <v>397</v>
      </c>
      <c r="H88" s="575" t="s">
        <v>397</v>
      </c>
      <c r="I88" s="575" t="s">
        <v>397</v>
      </c>
      <c r="J88" s="15">
        <v>74</v>
      </c>
      <c r="K88" s="15">
        <v>8</v>
      </c>
      <c r="L88" s="15">
        <v>49</v>
      </c>
      <c r="M88" s="15"/>
      <c r="N88" s="575" t="s">
        <v>397</v>
      </c>
      <c r="O88" s="15"/>
      <c r="P88" s="15"/>
      <c r="Q88" s="15"/>
      <c r="R88" s="15"/>
      <c r="S88" s="15"/>
      <c r="T88" s="15"/>
      <c r="U88" s="15"/>
      <c r="V88" s="15"/>
      <c r="W88" s="33">
        <f t="shared" si="6"/>
        <v>3</v>
      </c>
      <c r="X88" s="440">
        <f t="shared" si="5"/>
        <v>0</v>
      </c>
      <c r="Y88" s="441">
        <f t="shared" si="7"/>
        <v>0</v>
      </c>
      <c r="Z88" s="34">
        <f t="shared" si="8"/>
        <v>0</v>
      </c>
    </row>
    <row r="89" spans="1:26" x14ac:dyDescent="0.2">
      <c r="A89" s="139">
        <v>81</v>
      </c>
      <c r="B89" s="67" t="s">
        <v>314</v>
      </c>
      <c r="C89" s="870">
        <v>129</v>
      </c>
      <c r="D89" s="64"/>
      <c r="E89" s="64"/>
      <c r="F89" s="1100">
        <v>1</v>
      </c>
      <c r="G89" s="575" t="s">
        <v>397</v>
      </c>
      <c r="H89" s="575" t="s">
        <v>397</v>
      </c>
      <c r="I89" s="575" t="s">
        <v>397</v>
      </c>
      <c r="J89" s="575" t="s">
        <v>397</v>
      </c>
      <c r="K89" s="15">
        <v>49</v>
      </c>
      <c r="L89" s="15"/>
      <c r="M89" s="15"/>
      <c r="N89" s="15"/>
      <c r="O89" s="15"/>
      <c r="P89" s="15"/>
      <c r="Q89" s="15"/>
      <c r="R89" s="15"/>
      <c r="S89" s="15"/>
      <c r="T89" s="15"/>
      <c r="U89" s="15"/>
      <c r="V89" s="15">
        <v>79</v>
      </c>
      <c r="W89" s="33">
        <f t="shared" si="6"/>
        <v>2</v>
      </c>
      <c r="X89" s="440">
        <f t="shared" si="5"/>
        <v>0</v>
      </c>
      <c r="Y89" s="441">
        <f t="shared" si="7"/>
        <v>0</v>
      </c>
      <c r="Z89" s="34">
        <f t="shared" si="8"/>
        <v>0</v>
      </c>
    </row>
    <row r="90" spans="1:26" x14ac:dyDescent="0.2">
      <c r="A90" s="139">
        <v>82</v>
      </c>
      <c r="B90" s="601" t="s">
        <v>98</v>
      </c>
      <c r="C90" s="139">
        <v>129</v>
      </c>
      <c r="D90" s="64"/>
      <c r="E90" s="64"/>
      <c r="F90" s="1100">
        <v>28</v>
      </c>
      <c r="G90" s="575" t="s">
        <v>397</v>
      </c>
      <c r="H90" s="575" t="s">
        <v>397</v>
      </c>
      <c r="I90" s="575" t="s">
        <v>397</v>
      </c>
      <c r="J90" s="575" t="s">
        <v>397</v>
      </c>
      <c r="K90" s="15">
        <v>52</v>
      </c>
      <c r="L90" s="15">
        <v>49</v>
      </c>
      <c r="M90" s="15"/>
      <c r="N90" s="15"/>
      <c r="O90" s="15"/>
      <c r="P90" s="15"/>
      <c r="Q90" s="15"/>
      <c r="R90" s="15"/>
      <c r="S90" s="15"/>
      <c r="T90" s="15"/>
      <c r="U90" s="15"/>
      <c r="V90" s="15"/>
      <c r="W90" s="33">
        <f t="shared" si="6"/>
        <v>2</v>
      </c>
      <c r="X90" s="440">
        <f t="shared" si="5"/>
        <v>0</v>
      </c>
      <c r="Y90" s="441">
        <f t="shared" si="7"/>
        <v>0</v>
      </c>
      <c r="Z90" s="34">
        <f t="shared" si="8"/>
        <v>0</v>
      </c>
    </row>
    <row r="91" spans="1:26" x14ac:dyDescent="0.2">
      <c r="A91" s="139">
        <v>83</v>
      </c>
      <c r="B91" s="601" t="s">
        <v>523</v>
      </c>
      <c r="C91" s="139">
        <v>126</v>
      </c>
      <c r="D91" s="64"/>
      <c r="E91" s="64"/>
      <c r="F91" s="1100"/>
      <c r="G91" s="575" t="s">
        <v>397</v>
      </c>
      <c r="H91" s="575" t="s">
        <v>397</v>
      </c>
      <c r="I91" s="575" t="s">
        <v>397</v>
      </c>
      <c r="J91" s="575" t="s">
        <v>397</v>
      </c>
      <c r="K91" s="15">
        <v>28</v>
      </c>
      <c r="L91" s="15">
        <v>52</v>
      </c>
      <c r="M91" s="15"/>
      <c r="N91" s="15"/>
      <c r="O91" s="15"/>
      <c r="P91" s="15">
        <v>46</v>
      </c>
      <c r="Q91" s="15"/>
      <c r="R91" s="15"/>
      <c r="S91" s="15"/>
      <c r="T91" s="15"/>
      <c r="U91" s="15"/>
      <c r="V91" s="15"/>
      <c r="W91" s="33">
        <f t="shared" si="6"/>
        <v>3</v>
      </c>
      <c r="X91" s="440">
        <f t="shared" si="5"/>
        <v>0</v>
      </c>
      <c r="Y91" s="441">
        <f t="shared" si="7"/>
        <v>0</v>
      </c>
      <c r="Z91" s="34">
        <f t="shared" si="8"/>
        <v>0</v>
      </c>
    </row>
    <row r="92" spans="1:26" x14ac:dyDescent="0.2">
      <c r="A92" s="139">
        <v>84</v>
      </c>
      <c r="B92" s="65" t="s">
        <v>521</v>
      </c>
      <c r="C92" s="139">
        <v>121</v>
      </c>
      <c r="D92" s="64" t="s">
        <v>35</v>
      </c>
      <c r="E92" s="64"/>
      <c r="F92" s="1100"/>
      <c r="G92" s="575" t="s">
        <v>397</v>
      </c>
      <c r="H92" s="575" t="s">
        <v>397</v>
      </c>
      <c r="I92" s="575" t="s">
        <v>397</v>
      </c>
      <c r="J92" s="575" t="s">
        <v>397</v>
      </c>
      <c r="K92" s="15">
        <v>31</v>
      </c>
      <c r="L92" s="15">
        <v>90</v>
      </c>
      <c r="M92" s="15"/>
      <c r="N92" s="15"/>
      <c r="O92" s="15"/>
      <c r="P92" s="15"/>
      <c r="Q92" s="15"/>
      <c r="R92" s="15"/>
      <c r="S92" s="15"/>
      <c r="T92" s="15"/>
      <c r="U92" s="15"/>
      <c r="V92" s="15"/>
      <c r="W92" s="33">
        <f t="shared" si="6"/>
        <v>2</v>
      </c>
      <c r="X92" s="440">
        <f t="shared" si="5"/>
        <v>0</v>
      </c>
      <c r="Y92" s="441">
        <f t="shared" si="7"/>
        <v>0</v>
      </c>
      <c r="Z92" s="34">
        <f t="shared" si="8"/>
        <v>0</v>
      </c>
    </row>
    <row r="93" spans="1:26" x14ac:dyDescent="0.2">
      <c r="A93" s="139">
        <v>85</v>
      </c>
      <c r="B93" s="601" t="s">
        <v>711</v>
      </c>
      <c r="C93" s="139">
        <v>115</v>
      </c>
      <c r="D93" s="64"/>
      <c r="E93" s="64"/>
      <c r="F93" s="1100"/>
      <c r="G93" s="575" t="s">
        <v>397</v>
      </c>
      <c r="H93" s="575" t="s">
        <v>397</v>
      </c>
      <c r="I93" s="575" t="s">
        <v>397</v>
      </c>
      <c r="J93" s="575" t="s">
        <v>397</v>
      </c>
      <c r="K93" s="15"/>
      <c r="L93" s="15"/>
      <c r="M93" s="15"/>
      <c r="N93" s="15"/>
      <c r="O93" s="15"/>
      <c r="P93" s="15">
        <v>115</v>
      </c>
      <c r="Q93" s="15"/>
      <c r="R93" s="15"/>
      <c r="S93" s="15"/>
      <c r="T93" s="15"/>
      <c r="U93" s="15"/>
      <c r="V93" s="15"/>
      <c r="W93" s="33">
        <f t="shared" si="6"/>
        <v>1</v>
      </c>
      <c r="X93" s="440">
        <f t="shared" si="5"/>
        <v>1</v>
      </c>
      <c r="Y93" s="441">
        <f t="shared" si="7"/>
        <v>1</v>
      </c>
      <c r="Z93" s="34">
        <f t="shared" si="8"/>
        <v>0</v>
      </c>
    </row>
    <row r="94" spans="1:26" x14ac:dyDescent="0.2">
      <c r="A94" s="139">
        <v>85</v>
      </c>
      <c r="B94" s="67" t="s">
        <v>879</v>
      </c>
      <c r="C94" s="870">
        <v>115</v>
      </c>
      <c r="D94" s="64"/>
      <c r="E94" s="64"/>
      <c r="F94" s="1100"/>
      <c r="G94" s="575" t="s">
        <v>397</v>
      </c>
      <c r="H94" s="575" t="s">
        <v>397</v>
      </c>
      <c r="I94" s="575" t="s">
        <v>397</v>
      </c>
      <c r="J94" s="575" t="s">
        <v>397</v>
      </c>
      <c r="K94" s="15"/>
      <c r="L94" s="15"/>
      <c r="M94" s="15"/>
      <c r="N94" s="15"/>
      <c r="O94" s="15"/>
      <c r="P94" s="15"/>
      <c r="Q94" s="15"/>
      <c r="R94" s="15"/>
      <c r="S94" s="15"/>
      <c r="T94" s="15"/>
      <c r="U94" s="15"/>
      <c r="V94" s="15">
        <v>115</v>
      </c>
      <c r="W94" s="33">
        <f t="shared" si="6"/>
        <v>1</v>
      </c>
      <c r="X94" s="440">
        <f t="shared" si="5"/>
        <v>1</v>
      </c>
      <c r="Y94" s="441">
        <f t="shared" si="7"/>
        <v>1</v>
      </c>
      <c r="Z94" s="34">
        <f t="shared" si="8"/>
        <v>0</v>
      </c>
    </row>
    <row r="95" spans="1:26" x14ac:dyDescent="0.2">
      <c r="A95" s="139">
        <v>87</v>
      </c>
      <c r="B95" s="601" t="s">
        <v>534</v>
      </c>
      <c r="C95" s="139">
        <v>115</v>
      </c>
      <c r="D95" s="64"/>
      <c r="E95" s="64"/>
      <c r="F95" s="1100"/>
      <c r="G95" s="575" t="s">
        <v>397</v>
      </c>
      <c r="H95" s="575" t="s">
        <v>397</v>
      </c>
      <c r="I95" s="575" t="s">
        <v>397</v>
      </c>
      <c r="J95" s="575" t="s">
        <v>397</v>
      </c>
      <c r="K95" s="15"/>
      <c r="L95" s="15">
        <v>46</v>
      </c>
      <c r="M95" s="15"/>
      <c r="N95" s="15"/>
      <c r="O95" s="15"/>
      <c r="P95" s="15">
        <v>69</v>
      </c>
      <c r="Q95" s="15"/>
      <c r="R95" s="15"/>
      <c r="S95" s="15"/>
      <c r="T95" s="15"/>
      <c r="U95" s="15"/>
      <c r="V95" s="15"/>
      <c r="W95" s="33">
        <f t="shared" si="6"/>
        <v>2</v>
      </c>
      <c r="X95" s="440">
        <f t="shared" si="5"/>
        <v>0</v>
      </c>
      <c r="Y95" s="441">
        <f t="shared" si="7"/>
        <v>0</v>
      </c>
      <c r="Z95" s="34">
        <f t="shared" si="8"/>
        <v>0</v>
      </c>
    </row>
    <row r="96" spans="1:26" x14ac:dyDescent="0.2">
      <c r="A96" s="139">
        <v>88</v>
      </c>
      <c r="B96" s="67" t="s">
        <v>91</v>
      </c>
      <c r="C96" s="870">
        <v>114</v>
      </c>
      <c r="D96" s="64"/>
      <c r="E96" s="64"/>
      <c r="F96" s="1100">
        <v>1</v>
      </c>
      <c r="G96" s="575" t="s">
        <v>397</v>
      </c>
      <c r="H96" s="575" t="s">
        <v>397</v>
      </c>
      <c r="I96" s="575" t="s">
        <v>397</v>
      </c>
      <c r="J96" s="575" t="s">
        <v>397</v>
      </c>
      <c r="K96" s="15">
        <v>34</v>
      </c>
      <c r="L96" s="15"/>
      <c r="M96" s="15"/>
      <c r="N96" s="15"/>
      <c r="O96" s="15"/>
      <c r="P96" s="15"/>
      <c r="Q96" s="15"/>
      <c r="R96" s="15"/>
      <c r="S96" s="15"/>
      <c r="T96" s="15"/>
      <c r="U96" s="15"/>
      <c r="V96" s="15">
        <v>79</v>
      </c>
      <c r="W96" s="33">
        <f t="shared" si="6"/>
        <v>2</v>
      </c>
      <c r="X96" s="440">
        <f t="shared" si="5"/>
        <v>0</v>
      </c>
      <c r="Y96" s="441">
        <f t="shared" si="7"/>
        <v>0</v>
      </c>
      <c r="Z96" s="34">
        <f t="shared" si="8"/>
        <v>0</v>
      </c>
    </row>
    <row r="97" spans="1:26" x14ac:dyDescent="0.2">
      <c r="A97" s="139">
        <v>89</v>
      </c>
      <c r="B97" s="67" t="s">
        <v>878</v>
      </c>
      <c r="C97" s="870">
        <v>111</v>
      </c>
      <c r="D97" s="64"/>
      <c r="E97" s="64"/>
      <c r="F97" s="1100"/>
      <c r="G97" s="575" t="s">
        <v>397</v>
      </c>
      <c r="H97" s="575" t="s">
        <v>397</v>
      </c>
      <c r="I97" s="575" t="s">
        <v>397</v>
      </c>
      <c r="J97" s="575" t="s">
        <v>397</v>
      </c>
      <c r="K97" s="15"/>
      <c r="L97" s="15"/>
      <c r="M97" s="15"/>
      <c r="N97" s="15"/>
      <c r="O97" s="15"/>
      <c r="P97" s="15"/>
      <c r="Q97" s="15"/>
      <c r="R97" s="15"/>
      <c r="S97" s="15"/>
      <c r="T97" s="15"/>
      <c r="U97" s="15">
        <v>111</v>
      </c>
      <c r="V97" s="15"/>
      <c r="W97" s="33">
        <f t="shared" si="6"/>
        <v>1</v>
      </c>
      <c r="X97" s="440">
        <f t="shared" si="5"/>
        <v>0</v>
      </c>
      <c r="Y97" s="441">
        <f t="shared" si="7"/>
        <v>0</v>
      </c>
      <c r="Z97" s="34">
        <f t="shared" si="8"/>
        <v>0</v>
      </c>
    </row>
    <row r="98" spans="1:26" x14ac:dyDescent="0.2">
      <c r="A98" s="139">
        <v>90</v>
      </c>
      <c r="B98" s="70" t="s">
        <v>81</v>
      </c>
      <c r="C98" s="139">
        <v>109</v>
      </c>
      <c r="D98" s="64" t="s">
        <v>35</v>
      </c>
      <c r="E98" s="64"/>
      <c r="F98" s="1100">
        <v>1</v>
      </c>
      <c r="G98" s="575" t="s">
        <v>397</v>
      </c>
      <c r="H98" s="575" t="s">
        <v>397</v>
      </c>
      <c r="I98" s="575" t="s">
        <v>397</v>
      </c>
      <c r="J98" s="575" t="s">
        <v>397</v>
      </c>
      <c r="K98" s="15"/>
      <c r="L98" s="15"/>
      <c r="M98" s="15"/>
      <c r="N98" s="15">
        <v>56</v>
      </c>
      <c r="O98" s="15"/>
      <c r="P98" s="15">
        <v>52</v>
      </c>
      <c r="Q98" s="15"/>
      <c r="R98" s="15"/>
      <c r="S98" s="15"/>
      <c r="T98" s="15"/>
      <c r="U98" s="15"/>
      <c r="V98" s="15"/>
      <c r="W98" s="33">
        <f t="shared" si="6"/>
        <v>2</v>
      </c>
      <c r="X98" s="440">
        <f t="shared" si="5"/>
        <v>0</v>
      </c>
      <c r="Y98" s="441">
        <f t="shared" si="7"/>
        <v>0</v>
      </c>
      <c r="Z98" s="34">
        <f t="shared" si="8"/>
        <v>0</v>
      </c>
    </row>
    <row r="99" spans="1:26" x14ac:dyDescent="0.2">
      <c r="A99" s="139">
        <v>91</v>
      </c>
      <c r="B99" s="65" t="s">
        <v>318</v>
      </c>
      <c r="C99" s="139">
        <v>109</v>
      </c>
      <c r="D99" s="64" t="s">
        <v>35</v>
      </c>
      <c r="E99" s="64"/>
      <c r="F99" s="1100">
        <v>1</v>
      </c>
      <c r="G99" s="575" t="s">
        <v>397</v>
      </c>
      <c r="H99" s="575" t="s">
        <v>397</v>
      </c>
      <c r="I99" s="575" t="s">
        <v>397</v>
      </c>
      <c r="J99" s="575" t="s">
        <v>397</v>
      </c>
      <c r="K99" s="15">
        <v>10</v>
      </c>
      <c r="L99" s="15"/>
      <c r="M99" s="15"/>
      <c r="N99" s="15"/>
      <c r="O99" s="15"/>
      <c r="P99" s="15"/>
      <c r="Q99" s="15"/>
      <c r="R99" s="15"/>
      <c r="S99" s="15"/>
      <c r="T99" s="15">
        <v>46</v>
      </c>
      <c r="U99" s="15"/>
      <c r="V99" s="15">
        <v>52</v>
      </c>
      <c r="W99" s="33">
        <f t="shared" si="6"/>
        <v>3</v>
      </c>
      <c r="X99" s="440">
        <f t="shared" si="5"/>
        <v>0</v>
      </c>
      <c r="Y99" s="441">
        <f t="shared" si="7"/>
        <v>0</v>
      </c>
      <c r="Z99" s="34">
        <f t="shared" si="8"/>
        <v>0</v>
      </c>
    </row>
    <row r="100" spans="1:26" x14ac:dyDescent="0.2">
      <c r="A100" s="139">
        <v>92</v>
      </c>
      <c r="B100" s="601" t="s">
        <v>323</v>
      </c>
      <c r="C100" s="139">
        <v>107</v>
      </c>
      <c r="D100" s="64"/>
      <c r="E100" s="64"/>
      <c r="F100" s="1100">
        <v>1</v>
      </c>
      <c r="G100" s="15">
        <v>69</v>
      </c>
      <c r="H100" s="575" t="s">
        <v>397</v>
      </c>
      <c r="I100" s="575" t="s">
        <v>397</v>
      </c>
      <c r="J100" s="575" t="s">
        <v>397</v>
      </c>
      <c r="K100" s="575" t="s">
        <v>397</v>
      </c>
      <c r="L100" s="15">
        <v>37</v>
      </c>
      <c r="M100" s="15"/>
      <c r="N100" s="15"/>
      <c r="O100" s="15"/>
      <c r="P100" s="15"/>
      <c r="Q100" s="15"/>
      <c r="R100" s="15"/>
      <c r="S100" s="15"/>
      <c r="T100" s="15"/>
      <c r="U100" s="15"/>
      <c r="V100" s="15"/>
      <c r="W100" s="33">
        <f t="shared" si="6"/>
        <v>2</v>
      </c>
      <c r="X100" s="440">
        <f t="shared" si="5"/>
        <v>0</v>
      </c>
      <c r="Y100" s="441">
        <f t="shared" si="7"/>
        <v>0</v>
      </c>
      <c r="Z100" s="34">
        <f t="shared" si="8"/>
        <v>0</v>
      </c>
    </row>
    <row r="101" spans="1:26" x14ac:dyDescent="0.2">
      <c r="A101" s="139">
        <v>93</v>
      </c>
      <c r="B101" s="601" t="s">
        <v>877</v>
      </c>
      <c r="C101" s="139">
        <v>104</v>
      </c>
      <c r="D101" s="64"/>
      <c r="E101" s="64"/>
      <c r="F101" s="1100"/>
      <c r="G101" s="575" t="s">
        <v>397</v>
      </c>
      <c r="H101" s="575" t="s">
        <v>397</v>
      </c>
      <c r="I101" s="575" t="s">
        <v>397</v>
      </c>
      <c r="J101" s="575" t="s">
        <v>397</v>
      </c>
      <c r="K101" s="15"/>
      <c r="L101" s="15"/>
      <c r="M101" s="15"/>
      <c r="N101" s="15"/>
      <c r="O101" s="15"/>
      <c r="P101" s="15"/>
      <c r="Q101" s="15"/>
      <c r="R101" s="15"/>
      <c r="S101" s="15"/>
      <c r="T101" s="15"/>
      <c r="U101" s="15">
        <v>104</v>
      </c>
      <c r="V101" s="15"/>
      <c r="W101" s="33">
        <f t="shared" si="6"/>
        <v>1</v>
      </c>
      <c r="X101" s="440">
        <f t="shared" si="5"/>
        <v>0</v>
      </c>
      <c r="Y101" s="441">
        <f t="shared" si="7"/>
        <v>0</v>
      </c>
      <c r="Z101" s="34">
        <f t="shared" si="8"/>
        <v>0</v>
      </c>
    </row>
    <row r="102" spans="1:26" x14ac:dyDescent="0.2">
      <c r="A102" s="139">
        <v>94</v>
      </c>
      <c r="B102" s="65" t="s">
        <v>89</v>
      </c>
      <c r="C102" s="139">
        <v>97</v>
      </c>
      <c r="D102" s="64" t="s">
        <v>35</v>
      </c>
      <c r="E102" s="64"/>
      <c r="F102" s="1100">
        <v>1</v>
      </c>
      <c r="G102" s="575" t="s">
        <v>397</v>
      </c>
      <c r="H102" s="575" t="s">
        <v>397</v>
      </c>
      <c r="I102" s="575" t="s">
        <v>397</v>
      </c>
      <c r="J102" s="575" t="s">
        <v>397</v>
      </c>
      <c r="K102" s="15"/>
      <c r="L102" s="15"/>
      <c r="M102" s="15">
        <v>96</v>
      </c>
      <c r="N102" s="15"/>
      <c r="O102" s="15"/>
      <c r="P102" s="15"/>
      <c r="Q102" s="15"/>
      <c r="R102" s="15"/>
      <c r="S102" s="15"/>
      <c r="T102" s="15"/>
      <c r="U102" s="15"/>
      <c r="V102" s="15"/>
      <c r="W102" s="33">
        <f t="shared" si="6"/>
        <v>1</v>
      </c>
      <c r="X102" s="440">
        <f t="shared" si="5"/>
        <v>0</v>
      </c>
      <c r="Y102" s="441">
        <f t="shared" si="7"/>
        <v>0</v>
      </c>
      <c r="Z102" s="34">
        <f t="shared" si="8"/>
        <v>0</v>
      </c>
    </row>
    <row r="103" spans="1:26" x14ac:dyDescent="0.2">
      <c r="A103" s="139">
        <v>95</v>
      </c>
      <c r="B103" s="166" t="s">
        <v>532</v>
      </c>
      <c r="C103" s="139">
        <v>95</v>
      </c>
      <c r="D103" s="64"/>
      <c r="E103" s="64" t="s">
        <v>50</v>
      </c>
      <c r="F103" s="1100"/>
      <c r="G103" s="575" t="s">
        <v>397</v>
      </c>
      <c r="H103" s="575" t="s">
        <v>397</v>
      </c>
      <c r="I103" s="575" t="s">
        <v>397</v>
      </c>
      <c r="J103" s="575" t="s">
        <v>397</v>
      </c>
      <c r="K103" s="15"/>
      <c r="L103" s="15">
        <v>46</v>
      </c>
      <c r="M103" s="15"/>
      <c r="N103" s="15"/>
      <c r="O103" s="15"/>
      <c r="P103" s="15">
        <v>49</v>
      </c>
      <c r="Q103" s="15"/>
      <c r="R103" s="15"/>
      <c r="S103" s="15"/>
      <c r="T103" s="15"/>
      <c r="U103" s="15"/>
      <c r="V103" s="15"/>
      <c r="W103" s="33">
        <f t="shared" si="6"/>
        <v>2</v>
      </c>
      <c r="X103" s="440">
        <f t="shared" si="5"/>
        <v>0</v>
      </c>
      <c r="Y103" s="441">
        <f t="shared" si="7"/>
        <v>0</v>
      </c>
      <c r="Z103" s="34">
        <f t="shared" si="8"/>
        <v>0</v>
      </c>
    </row>
    <row r="104" spans="1:26" x14ac:dyDescent="0.2">
      <c r="A104" s="139">
        <v>95</v>
      </c>
      <c r="B104" s="601" t="s">
        <v>535</v>
      </c>
      <c r="C104" s="139">
        <v>95</v>
      </c>
      <c r="D104" s="64"/>
      <c r="E104" s="64"/>
      <c r="F104" s="1100"/>
      <c r="G104" s="575" t="s">
        <v>397</v>
      </c>
      <c r="H104" s="575" t="s">
        <v>397</v>
      </c>
      <c r="I104" s="575" t="s">
        <v>397</v>
      </c>
      <c r="J104" s="575" t="s">
        <v>397</v>
      </c>
      <c r="K104" s="15"/>
      <c r="L104" s="15">
        <v>46</v>
      </c>
      <c r="M104" s="15"/>
      <c r="N104" s="15"/>
      <c r="O104" s="15"/>
      <c r="P104" s="15">
        <v>49</v>
      </c>
      <c r="Q104" s="15"/>
      <c r="R104" s="15"/>
      <c r="S104" s="15"/>
      <c r="T104" s="15"/>
      <c r="U104" s="15"/>
      <c r="V104" s="15"/>
      <c r="W104" s="33">
        <f t="shared" si="6"/>
        <v>2</v>
      </c>
      <c r="X104" s="440">
        <f t="shared" si="5"/>
        <v>0</v>
      </c>
      <c r="Y104" s="441">
        <f t="shared" si="7"/>
        <v>0</v>
      </c>
      <c r="Z104" s="34">
        <f t="shared" si="8"/>
        <v>0</v>
      </c>
    </row>
    <row r="105" spans="1:26" x14ac:dyDescent="0.2">
      <c r="A105" s="139">
        <v>97</v>
      </c>
      <c r="B105" s="601" t="s">
        <v>100</v>
      </c>
      <c r="C105" s="139">
        <v>93</v>
      </c>
      <c r="D105" s="64"/>
      <c r="E105" s="64"/>
      <c r="F105" s="1100">
        <v>1</v>
      </c>
      <c r="G105" s="575" t="s">
        <v>397</v>
      </c>
      <c r="H105" s="575" t="s">
        <v>397</v>
      </c>
      <c r="I105" s="575" t="s">
        <v>397</v>
      </c>
      <c r="J105" s="575" t="s">
        <v>397</v>
      </c>
      <c r="K105" s="15"/>
      <c r="L105" s="15"/>
      <c r="M105" s="15"/>
      <c r="N105" s="15"/>
      <c r="O105" s="15"/>
      <c r="P105" s="15">
        <v>52</v>
      </c>
      <c r="Q105" s="15"/>
      <c r="R105" s="15"/>
      <c r="S105" s="15"/>
      <c r="T105" s="15">
        <v>40</v>
      </c>
      <c r="U105" s="15"/>
      <c r="V105" s="15"/>
      <c r="W105" s="33">
        <f t="shared" si="6"/>
        <v>2</v>
      </c>
      <c r="X105" s="440">
        <f t="shared" ref="X105:X136" si="9">COUNTIF(G105:H105,"&gt;=97")+COUNTIF(J105:L105,"&gt;=97")+COUNTIF(N105,"&gt;=97")+COUNTIF(P105,"&gt;=97")+COUNTIF(R105,"&gt;=97")+COUNTIF(T105,"&gt;=97")+COUNTIF(V105,"&gt;=97")+COUNTIF(I105,"&gt;=146")+COUNTIF(M105,"&gt;=146")+COUNTIF(O105,"&gt;=146")+COUNTIF(Q105,"&gt;=146")+COUNTIF(S105,"&gt;=146")+COUNTIF(U105,"&gt;=146")+IF((D105="n"),(COUNTIF(I105,"=83")+COUNTIF(I105,"=93")+COUNTIF(I105,"=105")+COUNTIF(S105,"=83")+COUNTIF(S105,"=93")+COUNTIF(S105,"=105")))+IF((E105="j"),(COUNTIF(I105,"=33")+COUNTIF(I105,"=42")+COUNTIF(I105,"=53")+COUNTIF(S105,"=33")+COUNTIF(S105,"=42")+COUNTIF(S105,"=53")))</f>
        <v>0</v>
      </c>
      <c r="Y105" s="441">
        <f t="shared" si="7"/>
        <v>0</v>
      </c>
      <c r="Z105" s="34">
        <f t="shared" si="8"/>
        <v>0</v>
      </c>
    </row>
    <row r="106" spans="1:26" x14ac:dyDescent="0.2">
      <c r="A106" s="139">
        <v>98</v>
      </c>
      <c r="B106" s="601" t="s">
        <v>716</v>
      </c>
      <c r="C106" s="139">
        <v>92</v>
      </c>
      <c r="D106" s="64"/>
      <c r="E106" s="64"/>
      <c r="F106" s="1100"/>
      <c r="G106" s="575" t="s">
        <v>397</v>
      </c>
      <c r="H106" s="575" t="s">
        <v>397</v>
      </c>
      <c r="I106" s="575" t="s">
        <v>397</v>
      </c>
      <c r="J106" s="575" t="s">
        <v>397</v>
      </c>
      <c r="K106" s="15"/>
      <c r="L106" s="15"/>
      <c r="M106" s="15"/>
      <c r="N106" s="15"/>
      <c r="O106" s="15"/>
      <c r="P106" s="15">
        <v>64</v>
      </c>
      <c r="Q106" s="15"/>
      <c r="R106" s="15"/>
      <c r="S106" s="15"/>
      <c r="T106" s="15">
        <v>28</v>
      </c>
      <c r="U106" s="15"/>
      <c r="V106" s="15"/>
      <c r="W106" s="33">
        <f t="shared" si="6"/>
        <v>2</v>
      </c>
      <c r="X106" s="440">
        <f t="shared" si="9"/>
        <v>0</v>
      </c>
      <c r="Y106" s="441">
        <f t="shared" si="7"/>
        <v>0</v>
      </c>
      <c r="Z106" s="34">
        <f t="shared" si="8"/>
        <v>0</v>
      </c>
    </row>
    <row r="107" spans="1:26" x14ac:dyDescent="0.2">
      <c r="A107" s="139">
        <v>99</v>
      </c>
      <c r="B107" s="601" t="s">
        <v>712</v>
      </c>
      <c r="C107" s="139">
        <v>91</v>
      </c>
      <c r="D107" s="64"/>
      <c r="E107" s="64"/>
      <c r="F107" s="1100"/>
      <c r="G107" s="575" t="s">
        <v>397</v>
      </c>
      <c r="H107" s="575" t="s">
        <v>397</v>
      </c>
      <c r="I107" s="575" t="s">
        <v>397</v>
      </c>
      <c r="J107" s="575" t="s">
        <v>397</v>
      </c>
      <c r="K107" s="15"/>
      <c r="L107" s="15"/>
      <c r="M107" s="15"/>
      <c r="N107" s="15"/>
      <c r="O107" s="15"/>
      <c r="P107" s="15">
        <v>60</v>
      </c>
      <c r="Q107" s="15"/>
      <c r="R107" s="15"/>
      <c r="S107" s="15"/>
      <c r="T107" s="15">
        <v>31</v>
      </c>
      <c r="U107" s="15"/>
      <c r="V107" s="15"/>
      <c r="W107" s="33">
        <f t="shared" si="6"/>
        <v>2</v>
      </c>
      <c r="X107" s="440">
        <f t="shared" si="9"/>
        <v>0</v>
      </c>
      <c r="Y107" s="441">
        <f t="shared" si="7"/>
        <v>0</v>
      </c>
      <c r="Z107" s="34">
        <f t="shared" si="8"/>
        <v>0</v>
      </c>
    </row>
    <row r="108" spans="1:26" x14ac:dyDescent="0.2">
      <c r="A108" s="139">
        <v>99</v>
      </c>
      <c r="B108" s="601" t="s">
        <v>714</v>
      </c>
      <c r="C108" s="139">
        <v>91</v>
      </c>
      <c r="D108" s="64"/>
      <c r="E108" s="64"/>
      <c r="F108" s="1100"/>
      <c r="G108" s="575" t="s">
        <v>397</v>
      </c>
      <c r="H108" s="575" t="s">
        <v>397</v>
      </c>
      <c r="I108" s="575" t="s">
        <v>397</v>
      </c>
      <c r="J108" s="575" t="s">
        <v>397</v>
      </c>
      <c r="K108" s="15"/>
      <c r="L108" s="15"/>
      <c r="M108" s="15"/>
      <c r="N108" s="15"/>
      <c r="O108" s="15"/>
      <c r="P108" s="15">
        <v>60</v>
      </c>
      <c r="Q108" s="15"/>
      <c r="R108" s="15"/>
      <c r="S108" s="15"/>
      <c r="T108" s="15">
        <v>31</v>
      </c>
      <c r="U108" s="15"/>
      <c r="V108" s="15"/>
      <c r="W108" s="33">
        <f t="shared" si="6"/>
        <v>2</v>
      </c>
      <c r="X108" s="440">
        <f t="shared" si="9"/>
        <v>0</v>
      </c>
      <c r="Y108" s="441">
        <f t="shared" si="7"/>
        <v>0</v>
      </c>
      <c r="Z108" s="34">
        <f t="shared" si="8"/>
        <v>0</v>
      </c>
    </row>
    <row r="109" spans="1:26" x14ac:dyDescent="0.2">
      <c r="A109" s="139">
        <v>101</v>
      </c>
      <c r="B109" s="65" t="s">
        <v>742</v>
      </c>
      <c r="C109" s="139">
        <v>90</v>
      </c>
      <c r="D109" s="64" t="s">
        <v>35</v>
      </c>
      <c r="E109" s="64"/>
      <c r="F109" s="1100"/>
      <c r="G109" s="575" t="s">
        <v>397</v>
      </c>
      <c r="H109" s="575" t="s">
        <v>397</v>
      </c>
      <c r="I109" s="575" t="s">
        <v>397</v>
      </c>
      <c r="J109" s="575" t="s">
        <v>397</v>
      </c>
      <c r="K109" s="15"/>
      <c r="L109" s="15"/>
      <c r="M109" s="15"/>
      <c r="N109" s="15"/>
      <c r="O109" s="15"/>
      <c r="P109" s="15">
        <v>90</v>
      </c>
      <c r="Q109" s="15"/>
      <c r="R109" s="15"/>
      <c r="S109" s="15"/>
      <c r="T109" s="15"/>
      <c r="U109" s="15"/>
      <c r="V109" s="15"/>
      <c r="W109" s="33">
        <f t="shared" si="6"/>
        <v>1</v>
      </c>
      <c r="X109" s="440">
        <f t="shared" si="9"/>
        <v>0</v>
      </c>
      <c r="Y109" s="441">
        <f t="shared" si="7"/>
        <v>0</v>
      </c>
      <c r="Z109" s="34">
        <f t="shared" si="8"/>
        <v>0</v>
      </c>
    </row>
    <row r="110" spans="1:26" x14ac:dyDescent="0.2">
      <c r="A110" s="139">
        <v>102</v>
      </c>
      <c r="B110" s="601" t="s">
        <v>96</v>
      </c>
      <c r="C110" s="139">
        <v>88</v>
      </c>
      <c r="D110" s="64"/>
      <c r="E110" s="64"/>
      <c r="F110" s="1100">
        <v>1</v>
      </c>
      <c r="G110" s="575" t="s">
        <v>397</v>
      </c>
      <c r="H110" s="575" t="s">
        <v>397</v>
      </c>
      <c r="I110" s="575" t="s">
        <v>397</v>
      </c>
      <c r="J110" s="575" t="s">
        <v>397</v>
      </c>
      <c r="K110" s="15">
        <v>10</v>
      </c>
      <c r="L110" s="15"/>
      <c r="M110" s="15"/>
      <c r="N110" s="15"/>
      <c r="O110" s="15"/>
      <c r="P110" s="15"/>
      <c r="Q110" s="15"/>
      <c r="R110" s="15"/>
      <c r="S110" s="15"/>
      <c r="T110" s="15">
        <v>25</v>
      </c>
      <c r="U110" s="15"/>
      <c r="V110" s="15">
        <v>52</v>
      </c>
      <c r="W110" s="33">
        <f t="shared" si="6"/>
        <v>3</v>
      </c>
      <c r="X110" s="440">
        <f t="shared" si="9"/>
        <v>0</v>
      </c>
      <c r="Y110" s="441">
        <f t="shared" si="7"/>
        <v>0</v>
      </c>
      <c r="Z110" s="34">
        <f t="shared" si="8"/>
        <v>0</v>
      </c>
    </row>
    <row r="111" spans="1:26" x14ac:dyDescent="0.2">
      <c r="A111" s="139">
        <v>103</v>
      </c>
      <c r="B111" s="67" t="s">
        <v>82</v>
      </c>
      <c r="C111" s="870">
        <v>87</v>
      </c>
      <c r="D111" s="64"/>
      <c r="E111" s="64"/>
      <c r="F111" s="1100">
        <v>1</v>
      </c>
      <c r="G111" s="575" t="s">
        <v>397</v>
      </c>
      <c r="H111" s="575" t="s">
        <v>397</v>
      </c>
      <c r="I111" s="575" t="s">
        <v>397</v>
      </c>
      <c r="J111" s="575" t="s">
        <v>397</v>
      </c>
      <c r="K111" s="15">
        <v>34</v>
      </c>
      <c r="L111" s="15"/>
      <c r="M111" s="15"/>
      <c r="N111" s="15"/>
      <c r="O111" s="15"/>
      <c r="P111" s="15"/>
      <c r="Q111" s="15"/>
      <c r="R111" s="15"/>
      <c r="S111" s="15"/>
      <c r="T111" s="15">
        <v>52</v>
      </c>
      <c r="U111" s="15"/>
      <c r="V111" s="15"/>
      <c r="W111" s="33">
        <f t="shared" si="6"/>
        <v>2</v>
      </c>
      <c r="X111" s="440">
        <f t="shared" si="9"/>
        <v>0</v>
      </c>
      <c r="Y111" s="441">
        <f t="shared" si="7"/>
        <v>0</v>
      </c>
      <c r="Z111" s="34">
        <f t="shared" si="8"/>
        <v>0</v>
      </c>
    </row>
    <row r="112" spans="1:26" x14ac:dyDescent="0.2">
      <c r="A112" s="139">
        <v>104</v>
      </c>
      <c r="B112" s="345" t="s">
        <v>517</v>
      </c>
      <c r="C112" s="139">
        <v>86</v>
      </c>
      <c r="D112" s="64"/>
      <c r="E112" s="64"/>
      <c r="F112" s="1100"/>
      <c r="G112" s="575" t="s">
        <v>397</v>
      </c>
      <c r="H112" s="575" t="s">
        <v>397</v>
      </c>
      <c r="I112" s="575" t="s">
        <v>397</v>
      </c>
      <c r="J112" s="575" t="s">
        <v>397</v>
      </c>
      <c r="K112" s="15">
        <v>43</v>
      </c>
      <c r="L112" s="15">
        <v>43</v>
      </c>
      <c r="M112" s="15"/>
      <c r="N112" s="15"/>
      <c r="O112" s="15"/>
      <c r="P112" s="15"/>
      <c r="Q112" s="15"/>
      <c r="R112" s="15"/>
      <c r="S112" s="15"/>
      <c r="T112" s="15"/>
      <c r="U112" s="15"/>
      <c r="V112" s="15"/>
      <c r="W112" s="33">
        <f t="shared" si="6"/>
        <v>2</v>
      </c>
      <c r="X112" s="440">
        <f t="shared" si="9"/>
        <v>0</v>
      </c>
      <c r="Y112" s="441">
        <f t="shared" si="7"/>
        <v>0</v>
      </c>
      <c r="Z112" s="34">
        <f t="shared" si="8"/>
        <v>0</v>
      </c>
    </row>
    <row r="113" spans="1:26" x14ac:dyDescent="0.2">
      <c r="A113" s="139">
        <v>105</v>
      </c>
      <c r="B113" s="234" t="s">
        <v>1157</v>
      </c>
      <c r="C113" s="877">
        <v>84</v>
      </c>
      <c r="D113" s="64"/>
      <c r="E113" s="64"/>
      <c r="F113" s="1100"/>
      <c r="G113" s="575" t="s">
        <v>397</v>
      </c>
      <c r="H113" s="575" t="s">
        <v>397</v>
      </c>
      <c r="I113" s="575" t="s">
        <v>397</v>
      </c>
      <c r="J113" s="15">
        <v>84</v>
      </c>
      <c r="K113" s="575" t="s">
        <v>397</v>
      </c>
      <c r="L113" s="15"/>
      <c r="M113" s="15"/>
      <c r="N113" s="15"/>
      <c r="O113" s="15"/>
      <c r="P113" s="15"/>
      <c r="Q113" s="15"/>
      <c r="R113" s="15"/>
      <c r="S113" s="15"/>
      <c r="T113" s="15"/>
      <c r="U113" s="15"/>
      <c r="V113" s="15"/>
      <c r="W113" s="33">
        <f t="shared" si="6"/>
        <v>1</v>
      </c>
      <c r="X113" s="440">
        <f t="shared" si="9"/>
        <v>0</v>
      </c>
      <c r="Y113" s="441">
        <f t="shared" si="7"/>
        <v>0</v>
      </c>
      <c r="Z113" s="34">
        <f t="shared" si="8"/>
        <v>0</v>
      </c>
    </row>
    <row r="114" spans="1:26" x14ac:dyDescent="0.2">
      <c r="A114" s="139">
        <v>106</v>
      </c>
      <c r="B114" s="166" t="s">
        <v>329</v>
      </c>
      <c r="C114" s="139">
        <v>83</v>
      </c>
      <c r="D114" s="64"/>
      <c r="E114" s="64" t="s">
        <v>50</v>
      </c>
      <c r="F114" s="1100"/>
      <c r="G114" s="15">
        <v>74</v>
      </c>
      <c r="H114" s="575" t="s">
        <v>397</v>
      </c>
      <c r="I114" s="15">
        <v>9</v>
      </c>
      <c r="J114" s="575" t="s">
        <v>397</v>
      </c>
      <c r="K114" s="575" t="s">
        <v>397</v>
      </c>
      <c r="L114" s="15"/>
      <c r="M114" s="575" t="s">
        <v>397</v>
      </c>
      <c r="N114" s="15"/>
      <c r="O114" s="15"/>
      <c r="P114" s="15"/>
      <c r="Q114" s="15"/>
      <c r="R114" s="15"/>
      <c r="S114" s="15"/>
      <c r="T114" s="15"/>
      <c r="U114" s="15"/>
      <c r="V114" s="15"/>
      <c r="W114" s="33">
        <f t="shared" si="6"/>
        <v>2</v>
      </c>
      <c r="X114" s="440">
        <f t="shared" si="9"/>
        <v>0</v>
      </c>
      <c r="Y114" s="441">
        <f t="shared" si="7"/>
        <v>0</v>
      </c>
      <c r="Z114" s="34">
        <f t="shared" si="8"/>
        <v>0</v>
      </c>
    </row>
    <row r="115" spans="1:26" x14ac:dyDescent="0.2">
      <c r="A115" s="139">
        <v>107</v>
      </c>
      <c r="B115" s="601" t="s">
        <v>46</v>
      </c>
      <c r="C115" s="139">
        <v>83</v>
      </c>
      <c r="D115" s="64"/>
      <c r="E115" s="64"/>
      <c r="F115" s="1100">
        <v>1</v>
      </c>
      <c r="G115" s="575" t="s">
        <v>397</v>
      </c>
      <c r="H115" s="15">
        <v>49</v>
      </c>
      <c r="I115" s="15">
        <v>33</v>
      </c>
      <c r="J115" s="575" t="s">
        <v>397</v>
      </c>
      <c r="K115" s="575" t="s">
        <v>397</v>
      </c>
      <c r="L115" s="15"/>
      <c r="M115" s="575" t="s">
        <v>397</v>
      </c>
      <c r="N115" s="15"/>
      <c r="O115" s="15"/>
      <c r="P115" s="15"/>
      <c r="Q115" s="15"/>
      <c r="R115" s="15"/>
      <c r="S115" s="15"/>
      <c r="T115" s="15"/>
      <c r="U115" s="15"/>
      <c r="V115" s="15"/>
      <c r="W115" s="33">
        <f t="shared" si="6"/>
        <v>2</v>
      </c>
      <c r="X115" s="440">
        <f t="shared" si="9"/>
        <v>0</v>
      </c>
      <c r="Y115" s="441">
        <f t="shared" si="7"/>
        <v>0</v>
      </c>
      <c r="Z115" s="34">
        <f t="shared" si="8"/>
        <v>0</v>
      </c>
    </row>
    <row r="116" spans="1:26" x14ac:dyDescent="0.2">
      <c r="A116" s="139">
        <v>108</v>
      </c>
      <c r="B116" s="601" t="s">
        <v>58</v>
      </c>
      <c r="C116" s="139">
        <v>80</v>
      </c>
      <c r="D116" s="64"/>
      <c r="E116" s="64"/>
      <c r="F116" s="1100">
        <v>6</v>
      </c>
      <c r="G116" s="575" t="s">
        <v>397</v>
      </c>
      <c r="H116" s="575" t="s">
        <v>397</v>
      </c>
      <c r="I116" s="15">
        <v>74</v>
      </c>
      <c r="J116" s="575" t="s">
        <v>397</v>
      </c>
      <c r="K116" s="15"/>
      <c r="L116" s="15"/>
      <c r="M116" s="575" t="s">
        <v>397</v>
      </c>
      <c r="N116" s="15"/>
      <c r="O116" s="15"/>
      <c r="P116" s="15"/>
      <c r="Q116" s="15"/>
      <c r="R116" s="15"/>
      <c r="S116" s="15"/>
      <c r="T116" s="15"/>
      <c r="U116" s="15"/>
      <c r="V116" s="15"/>
      <c r="W116" s="33">
        <f t="shared" si="6"/>
        <v>1</v>
      </c>
      <c r="X116" s="440">
        <f t="shared" si="9"/>
        <v>0</v>
      </c>
      <c r="Y116" s="441">
        <f t="shared" si="7"/>
        <v>0</v>
      </c>
      <c r="Z116" s="34">
        <f t="shared" si="8"/>
        <v>0</v>
      </c>
    </row>
    <row r="117" spans="1:26" x14ac:dyDescent="0.2">
      <c r="A117" s="139">
        <v>109</v>
      </c>
      <c r="B117" s="65" t="s">
        <v>438</v>
      </c>
      <c r="C117" s="139">
        <v>79</v>
      </c>
      <c r="D117" s="64" t="s">
        <v>35</v>
      </c>
      <c r="E117" s="64"/>
      <c r="F117" s="1100"/>
      <c r="G117" s="575" t="s">
        <v>397</v>
      </c>
      <c r="H117" s="575" t="s">
        <v>397</v>
      </c>
      <c r="I117" s="575" t="s">
        <v>397</v>
      </c>
      <c r="J117" s="15">
        <v>79</v>
      </c>
      <c r="K117" s="575" t="s">
        <v>397</v>
      </c>
      <c r="L117" s="15"/>
      <c r="M117" s="15"/>
      <c r="N117" s="15"/>
      <c r="O117" s="15"/>
      <c r="P117" s="15"/>
      <c r="Q117" s="15"/>
      <c r="R117" s="15"/>
      <c r="S117" s="15"/>
      <c r="T117" s="15"/>
      <c r="U117" s="15"/>
      <c r="V117" s="15"/>
      <c r="W117" s="33">
        <f t="shared" si="6"/>
        <v>1</v>
      </c>
      <c r="X117" s="440">
        <f t="shared" si="9"/>
        <v>0</v>
      </c>
      <c r="Y117" s="441">
        <f t="shared" si="7"/>
        <v>0</v>
      </c>
      <c r="Z117" s="34">
        <f t="shared" si="8"/>
        <v>0</v>
      </c>
    </row>
    <row r="118" spans="1:26" x14ac:dyDescent="0.2">
      <c r="A118" s="139">
        <v>110</v>
      </c>
      <c r="B118" s="66" t="s">
        <v>693</v>
      </c>
      <c r="C118" s="139">
        <v>78</v>
      </c>
      <c r="D118" s="64" t="s">
        <v>35</v>
      </c>
      <c r="E118" s="64"/>
      <c r="F118" s="1100"/>
      <c r="G118" s="575" t="s">
        <v>397</v>
      </c>
      <c r="H118" s="575" t="s">
        <v>397</v>
      </c>
      <c r="I118" s="575" t="s">
        <v>397</v>
      </c>
      <c r="J118" s="575" t="s">
        <v>397</v>
      </c>
      <c r="K118" s="15"/>
      <c r="L118" s="15"/>
      <c r="M118" s="15"/>
      <c r="N118" s="15"/>
      <c r="O118" s="15">
        <v>78</v>
      </c>
      <c r="P118" s="15"/>
      <c r="Q118" s="15"/>
      <c r="R118" s="15"/>
      <c r="S118" s="15"/>
      <c r="T118" s="15"/>
      <c r="U118" s="15"/>
      <c r="V118" s="15"/>
      <c r="W118" s="33">
        <f t="shared" si="6"/>
        <v>1</v>
      </c>
      <c r="X118" s="440">
        <f t="shared" si="9"/>
        <v>0</v>
      </c>
      <c r="Y118" s="441">
        <f t="shared" si="7"/>
        <v>0</v>
      </c>
      <c r="Z118" s="34">
        <f t="shared" si="8"/>
        <v>0</v>
      </c>
    </row>
    <row r="119" spans="1:26" x14ac:dyDescent="0.2">
      <c r="A119" s="139">
        <v>111</v>
      </c>
      <c r="B119" s="601" t="s">
        <v>76</v>
      </c>
      <c r="C119" s="139">
        <v>75</v>
      </c>
      <c r="D119" s="64"/>
      <c r="E119" s="64"/>
      <c r="F119" s="1100">
        <v>1</v>
      </c>
      <c r="G119" s="575" t="s">
        <v>397</v>
      </c>
      <c r="H119" s="575" t="s">
        <v>397</v>
      </c>
      <c r="I119" s="575" t="s">
        <v>397</v>
      </c>
      <c r="J119" s="575" t="s">
        <v>397</v>
      </c>
      <c r="K119" s="15"/>
      <c r="L119" s="15">
        <v>74</v>
      </c>
      <c r="M119" s="32"/>
      <c r="N119" s="15"/>
      <c r="O119" s="15"/>
      <c r="P119" s="15"/>
      <c r="Q119" s="15"/>
      <c r="R119" s="15"/>
      <c r="S119" s="15"/>
      <c r="T119" s="15"/>
      <c r="U119" s="15"/>
      <c r="V119" s="15"/>
      <c r="W119" s="33">
        <f t="shared" si="6"/>
        <v>1</v>
      </c>
      <c r="X119" s="440">
        <f t="shared" si="9"/>
        <v>0</v>
      </c>
      <c r="Y119" s="441">
        <f t="shared" si="7"/>
        <v>0</v>
      </c>
      <c r="Z119" s="34">
        <f t="shared" si="8"/>
        <v>0</v>
      </c>
    </row>
    <row r="120" spans="1:26" x14ac:dyDescent="0.2">
      <c r="A120" s="139">
        <v>112</v>
      </c>
      <c r="B120" s="631" t="s">
        <v>328</v>
      </c>
      <c r="C120" s="139">
        <v>74</v>
      </c>
      <c r="D120" s="64"/>
      <c r="E120" s="64" t="s">
        <v>50</v>
      </c>
      <c r="F120" s="1100"/>
      <c r="G120" s="15">
        <v>74</v>
      </c>
      <c r="H120" s="575" t="s">
        <v>397</v>
      </c>
      <c r="I120" s="575" t="s">
        <v>397</v>
      </c>
      <c r="J120" s="575" t="s">
        <v>397</v>
      </c>
      <c r="K120" s="575" t="s">
        <v>397</v>
      </c>
      <c r="L120" s="15"/>
      <c r="M120" s="15"/>
      <c r="N120" s="15"/>
      <c r="O120" s="15"/>
      <c r="P120" s="15"/>
      <c r="Q120" s="15"/>
      <c r="R120" s="15"/>
      <c r="S120" s="15"/>
      <c r="T120" s="15"/>
      <c r="U120" s="15"/>
      <c r="V120" s="15"/>
      <c r="W120" s="33">
        <f t="shared" si="6"/>
        <v>1</v>
      </c>
      <c r="X120" s="440">
        <f t="shared" si="9"/>
        <v>0</v>
      </c>
      <c r="Y120" s="441">
        <f t="shared" si="7"/>
        <v>0</v>
      </c>
      <c r="Z120" s="34">
        <f t="shared" si="8"/>
        <v>0</v>
      </c>
    </row>
    <row r="121" spans="1:26" x14ac:dyDescent="0.2">
      <c r="A121" s="139">
        <v>112</v>
      </c>
      <c r="B121" s="601" t="s">
        <v>429</v>
      </c>
      <c r="C121" s="139">
        <v>74</v>
      </c>
      <c r="D121" s="64"/>
      <c r="E121" s="64"/>
      <c r="F121" s="1100"/>
      <c r="G121" s="575" t="s">
        <v>397</v>
      </c>
      <c r="H121" s="575" t="s">
        <v>397</v>
      </c>
      <c r="I121" s="575" t="s">
        <v>397</v>
      </c>
      <c r="J121" s="15">
        <v>74</v>
      </c>
      <c r="K121" s="575" t="s">
        <v>397</v>
      </c>
      <c r="L121" s="15"/>
      <c r="M121" s="15"/>
      <c r="N121" s="15"/>
      <c r="O121" s="15"/>
      <c r="P121" s="15"/>
      <c r="Q121" s="15"/>
      <c r="R121" s="15"/>
      <c r="S121" s="15"/>
      <c r="T121" s="15"/>
      <c r="U121" s="15"/>
      <c r="V121" s="15"/>
      <c r="W121" s="33">
        <f t="shared" si="6"/>
        <v>1</v>
      </c>
      <c r="X121" s="440">
        <f t="shared" si="9"/>
        <v>0</v>
      </c>
      <c r="Y121" s="441">
        <f t="shared" si="7"/>
        <v>0</v>
      </c>
      <c r="Z121" s="34">
        <f t="shared" si="8"/>
        <v>0</v>
      </c>
    </row>
    <row r="122" spans="1:26" x14ac:dyDescent="0.2">
      <c r="A122" s="139">
        <v>112</v>
      </c>
      <c r="B122" s="65" t="s">
        <v>428</v>
      </c>
      <c r="C122" s="139">
        <v>74</v>
      </c>
      <c r="D122" s="64" t="s">
        <v>35</v>
      </c>
      <c r="E122" s="64"/>
      <c r="F122" s="1100"/>
      <c r="G122" s="575" t="s">
        <v>397</v>
      </c>
      <c r="H122" s="575" t="s">
        <v>397</v>
      </c>
      <c r="I122" s="575" t="s">
        <v>397</v>
      </c>
      <c r="J122" s="15">
        <v>74</v>
      </c>
      <c r="K122" s="575" t="s">
        <v>397</v>
      </c>
      <c r="L122" s="15"/>
      <c r="M122" s="15"/>
      <c r="N122" s="15"/>
      <c r="O122" s="15"/>
      <c r="P122" s="15"/>
      <c r="Q122" s="15"/>
      <c r="R122" s="15"/>
      <c r="S122" s="15"/>
      <c r="T122" s="15"/>
      <c r="U122" s="15"/>
      <c r="V122" s="15"/>
      <c r="W122" s="33">
        <f t="shared" si="6"/>
        <v>1</v>
      </c>
      <c r="X122" s="440">
        <f t="shared" si="9"/>
        <v>0</v>
      </c>
      <c r="Y122" s="441">
        <f t="shared" si="7"/>
        <v>0</v>
      </c>
      <c r="Z122" s="34">
        <f t="shared" si="8"/>
        <v>0</v>
      </c>
    </row>
    <row r="123" spans="1:26" x14ac:dyDescent="0.2">
      <c r="A123" s="139">
        <v>112</v>
      </c>
      <c r="B123" s="601" t="s">
        <v>554</v>
      </c>
      <c r="C123" s="139">
        <v>74</v>
      </c>
      <c r="D123" s="64"/>
      <c r="E123" s="64"/>
      <c r="F123" s="1100"/>
      <c r="G123" s="575" t="s">
        <v>397</v>
      </c>
      <c r="H123" s="575" t="s">
        <v>397</v>
      </c>
      <c r="I123" s="575" t="s">
        <v>397</v>
      </c>
      <c r="J123" s="575" t="s">
        <v>397</v>
      </c>
      <c r="K123" s="15"/>
      <c r="L123" s="15"/>
      <c r="M123" s="15"/>
      <c r="N123" s="15">
        <v>74</v>
      </c>
      <c r="O123" s="15"/>
      <c r="P123" s="15"/>
      <c r="Q123" s="15"/>
      <c r="R123" s="15"/>
      <c r="S123" s="15"/>
      <c r="T123" s="15"/>
      <c r="U123" s="15"/>
      <c r="V123" s="15"/>
      <c r="W123" s="33">
        <f t="shared" si="6"/>
        <v>1</v>
      </c>
      <c r="X123" s="440">
        <f t="shared" si="9"/>
        <v>0</v>
      </c>
      <c r="Y123" s="441">
        <f t="shared" si="7"/>
        <v>0</v>
      </c>
      <c r="Z123" s="34">
        <f t="shared" si="8"/>
        <v>0</v>
      </c>
    </row>
    <row r="124" spans="1:26" x14ac:dyDescent="0.2">
      <c r="A124" s="139">
        <v>116</v>
      </c>
      <c r="B124" s="601" t="s">
        <v>787</v>
      </c>
      <c r="C124" s="139">
        <v>69</v>
      </c>
      <c r="D124" s="64"/>
      <c r="E124" s="64"/>
      <c r="F124" s="1100"/>
      <c r="G124" s="575" t="s">
        <v>397</v>
      </c>
      <c r="H124" s="575" t="s">
        <v>397</v>
      </c>
      <c r="I124" s="575" t="s">
        <v>397</v>
      </c>
      <c r="J124" s="575" t="s">
        <v>397</v>
      </c>
      <c r="K124" s="15"/>
      <c r="L124" s="15"/>
      <c r="M124" s="15"/>
      <c r="N124" s="15"/>
      <c r="O124" s="15"/>
      <c r="P124" s="15"/>
      <c r="Q124" s="15"/>
      <c r="R124" s="15"/>
      <c r="S124" s="15"/>
      <c r="T124" s="15">
        <v>69</v>
      </c>
      <c r="U124" s="15"/>
      <c r="V124" s="15"/>
      <c r="W124" s="33">
        <f t="shared" si="6"/>
        <v>1</v>
      </c>
      <c r="X124" s="440">
        <f t="shared" si="9"/>
        <v>0</v>
      </c>
      <c r="Y124" s="441">
        <f t="shared" si="7"/>
        <v>0</v>
      </c>
      <c r="Z124" s="34">
        <f t="shared" si="8"/>
        <v>0</v>
      </c>
    </row>
    <row r="125" spans="1:26" x14ac:dyDescent="0.2">
      <c r="A125" s="139">
        <v>116</v>
      </c>
      <c r="B125" s="601" t="s">
        <v>788</v>
      </c>
      <c r="C125" s="139">
        <v>69</v>
      </c>
      <c r="D125" s="64"/>
      <c r="E125" s="64"/>
      <c r="F125" s="1100"/>
      <c r="G125" s="575" t="s">
        <v>397</v>
      </c>
      <c r="H125" s="575" t="s">
        <v>397</v>
      </c>
      <c r="I125" s="575" t="s">
        <v>397</v>
      </c>
      <c r="J125" s="575" t="s">
        <v>397</v>
      </c>
      <c r="K125" s="15"/>
      <c r="L125" s="15"/>
      <c r="M125" s="15"/>
      <c r="N125" s="15"/>
      <c r="O125" s="15"/>
      <c r="P125" s="15"/>
      <c r="Q125" s="15"/>
      <c r="R125" s="15"/>
      <c r="S125" s="15"/>
      <c r="T125" s="15">
        <v>69</v>
      </c>
      <c r="U125" s="15"/>
      <c r="V125" s="15"/>
      <c r="W125" s="33">
        <f t="shared" si="6"/>
        <v>1</v>
      </c>
      <c r="X125" s="440">
        <f t="shared" si="9"/>
        <v>0</v>
      </c>
      <c r="Y125" s="441">
        <f t="shared" si="7"/>
        <v>0</v>
      </c>
      <c r="Z125" s="34">
        <f t="shared" si="8"/>
        <v>0</v>
      </c>
    </row>
    <row r="126" spans="1:26" x14ac:dyDescent="0.2">
      <c r="A126" s="139">
        <v>118</v>
      </c>
      <c r="B126" s="601" t="s">
        <v>530</v>
      </c>
      <c r="C126" s="139">
        <v>64</v>
      </c>
      <c r="D126" s="64"/>
      <c r="E126" s="64"/>
      <c r="F126" s="1100"/>
      <c r="G126" s="575" t="s">
        <v>397</v>
      </c>
      <c r="H126" s="575" t="s">
        <v>397</v>
      </c>
      <c r="I126" s="575" t="s">
        <v>397</v>
      </c>
      <c r="J126" s="575" t="s">
        <v>397</v>
      </c>
      <c r="K126" s="15"/>
      <c r="L126" s="15">
        <v>64</v>
      </c>
      <c r="M126" s="15"/>
      <c r="N126" s="15"/>
      <c r="O126" s="15"/>
      <c r="P126" s="15"/>
      <c r="Q126" s="15"/>
      <c r="R126" s="15"/>
      <c r="S126" s="15"/>
      <c r="T126" s="15"/>
      <c r="U126" s="15"/>
      <c r="V126" s="15"/>
      <c r="W126" s="33">
        <f t="shared" si="6"/>
        <v>1</v>
      </c>
      <c r="X126" s="440">
        <f t="shared" si="9"/>
        <v>0</v>
      </c>
      <c r="Y126" s="441">
        <f t="shared" si="7"/>
        <v>0</v>
      </c>
      <c r="Z126" s="34">
        <f t="shared" si="8"/>
        <v>0</v>
      </c>
    </row>
    <row r="127" spans="1:26" x14ac:dyDescent="0.2">
      <c r="A127" s="139">
        <v>119</v>
      </c>
      <c r="B127" s="601" t="s">
        <v>526</v>
      </c>
      <c r="C127" s="139">
        <v>64</v>
      </c>
      <c r="D127" s="64"/>
      <c r="E127" s="64"/>
      <c r="F127" s="1100"/>
      <c r="G127" s="575" t="s">
        <v>397</v>
      </c>
      <c r="H127" s="575" t="s">
        <v>397</v>
      </c>
      <c r="I127" s="575" t="s">
        <v>397</v>
      </c>
      <c r="J127" s="575" t="s">
        <v>397</v>
      </c>
      <c r="K127" s="15">
        <v>12</v>
      </c>
      <c r="L127" s="15">
        <v>52</v>
      </c>
      <c r="M127" s="15"/>
      <c r="N127" s="15"/>
      <c r="O127" s="15"/>
      <c r="P127" s="15"/>
      <c r="Q127" s="15"/>
      <c r="R127" s="15"/>
      <c r="S127" s="15"/>
      <c r="T127" s="15"/>
      <c r="U127" s="15"/>
      <c r="V127" s="15"/>
      <c r="W127" s="33">
        <f t="shared" si="6"/>
        <v>2</v>
      </c>
      <c r="X127" s="440">
        <f t="shared" si="9"/>
        <v>0</v>
      </c>
      <c r="Y127" s="441">
        <f t="shared" si="7"/>
        <v>0</v>
      </c>
      <c r="Z127" s="34">
        <f t="shared" si="8"/>
        <v>0</v>
      </c>
    </row>
    <row r="128" spans="1:26" x14ac:dyDescent="0.2">
      <c r="A128" s="139">
        <v>119</v>
      </c>
      <c r="B128" s="601" t="s">
        <v>527</v>
      </c>
      <c r="C128" s="139">
        <v>64</v>
      </c>
      <c r="D128" s="64"/>
      <c r="E128" s="64"/>
      <c r="F128" s="1100"/>
      <c r="G128" s="575" t="s">
        <v>397</v>
      </c>
      <c r="H128" s="575" t="s">
        <v>397</v>
      </c>
      <c r="I128" s="575" t="s">
        <v>397</v>
      </c>
      <c r="J128" s="575" t="s">
        <v>397</v>
      </c>
      <c r="K128" s="15">
        <v>12</v>
      </c>
      <c r="L128" s="15">
        <v>52</v>
      </c>
      <c r="M128" s="15"/>
      <c r="N128" s="15"/>
      <c r="O128" s="15"/>
      <c r="P128" s="15"/>
      <c r="Q128" s="15"/>
      <c r="R128" s="15"/>
      <c r="S128" s="15"/>
      <c r="T128" s="15"/>
      <c r="U128" s="15"/>
      <c r="V128" s="15"/>
      <c r="W128" s="33">
        <f t="shared" si="6"/>
        <v>2</v>
      </c>
      <c r="X128" s="440">
        <f t="shared" si="9"/>
        <v>0</v>
      </c>
      <c r="Y128" s="441">
        <f t="shared" si="7"/>
        <v>0</v>
      </c>
      <c r="Z128" s="34">
        <f t="shared" si="8"/>
        <v>0</v>
      </c>
    </row>
    <row r="129" spans="1:26" x14ac:dyDescent="0.2">
      <c r="A129" s="139">
        <v>121</v>
      </c>
      <c r="B129" s="601" t="s">
        <v>713</v>
      </c>
      <c r="C129" s="139">
        <v>60</v>
      </c>
      <c r="D129" s="64"/>
      <c r="E129" s="64"/>
      <c r="F129" s="1100"/>
      <c r="G129" s="575" t="s">
        <v>397</v>
      </c>
      <c r="H129" s="575" t="s">
        <v>397</v>
      </c>
      <c r="I129" s="575" t="s">
        <v>397</v>
      </c>
      <c r="J129" s="575" t="s">
        <v>397</v>
      </c>
      <c r="K129" s="15"/>
      <c r="L129" s="15"/>
      <c r="M129" s="15"/>
      <c r="N129" s="15"/>
      <c r="O129" s="15"/>
      <c r="P129" s="15">
        <v>60</v>
      </c>
      <c r="Q129" s="15"/>
      <c r="R129" s="15"/>
      <c r="S129" s="15"/>
      <c r="T129" s="15"/>
      <c r="U129" s="15"/>
      <c r="V129" s="15"/>
      <c r="W129" s="33">
        <f t="shared" si="6"/>
        <v>1</v>
      </c>
      <c r="X129" s="440">
        <f t="shared" si="9"/>
        <v>0</v>
      </c>
      <c r="Y129" s="441">
        <f t="shared" si="7"/>
        <v>0</v>
      </c>
      <c r="Z129" s="34">
        <f t="shared" si="8"/>
        <v>0</v>
      </c>
    </row>
    <row r="130" spans="1:26" x14ac:dyDescent="0.2">
      <c r="A130" s="139">
        <v>122</v>
      </c>
      <c r="B130" s="65" t="s">
        <v>524</v>
      </c>
      <c r="C130" s="139">
        <v>59</v>
      </c>
      <c r="D130" s="64" t="s">
        <v>35</v>
      </c>
      <c r="E130" s="64"/>
      <c r="F130" s="1100"/>
      <c r="G130" s="575" t="s">
        <v>397</v>
      </c>
      <c r="H130" s="575" t="s">
        <v>397</v>
      </c>
      <c r="I130" s="575" t="s">
        <v>397</v>
      </c>
      <c r="J130" s="575" t="s">
        <v>397</v>
      </c>
      <c r="K130" s="15">
        <v>16</v>
      </c>
      <c r="L130" s="15">
        <v>43</v>
      </c>
      <c r="M130" s="15"/>
      <c r="N130" s="15"/>
      <c r="O130" s="15"/>
      <c r="P130" s="15"/>
      <c r="Q130" s="15"/>
      <c r="R130" s="15"/>
      <c r="S130" s="15"/>
      <c r="T130" s="15"/>
      <c r="U130" s="15"/>
      <c r="V130" s="15"/>
      <c r="W130" s="33">
        <f t="shared" si="6"/>
        <v>2</v>
      </c>
      <c r="X130" s="440">
        <f t="shared" si="9"/>
        <v>0</v>
      </c>
      <c r="Y130" s="441">
        <f t="shared" si="7"/>
        <v>0</v>
      </c>
      <c r="Z130" s="34">
        <f t="shared" si="8"/>
        <v>0</v>
      </c>
    </row>
    <row r="131" spans="1:26" x14ac:dyDescent="0.2">
      <c r="A131" s="139">
        <v>123</v>
      </c>
      <c r="B131" s="65" t="s">
        <v>308</v>
      </c>
      <c r="C131" s="637">
        <v>58</v>
      </c>
      <c r="D131" s="64" t="s">
        <v>35</v>
      </c>
      <c r="E131" s="64"/>
      <c r="F131" s="1100">
        <v>1</v>
      </c>
      <c r="G131" s="575" t="s">
        <v>397</v>
      </c>
      <c r="H131" s="575" t="s">
        <v>397</v>
      </c>
      <c r="I131" s="575" t="s">
        <v>397</v>
      </c>
      <c r="J131" s="575" t="s">
        <v>397</v>
      </c>
      <c r="K131" s="15"/>
      <c r="L131" s="15"/>
      <c r="M131" s="15"/>
      <c r="N131" s="15"/>
      <c r="O131" s="15"/>
      <c r="P131" s="15"/>
      <c r="Q131" s="15"/>
      <c r="R131" s="15"/>
      <c r="S131" s="15"/>
      <c r="T131" s="15">
        <v>14</v>
      </c>
      <c r="U131" s="15"/>
      <c r="V131" s="15">
        <v>43</v>
      </c>
      <c r="W131" s="33">
        <f t="shared" si="6"/>
        <v>2</v>
      </c>
      <c r="X131" s="440">
        <f t="shared" si="9"/>
        <v>0</v>
      </c>
      <c r="Y131" s="441">
        <f t="shared" si="7"/>
        <v>0</v>
      </c>
      <c r="Z131" s="34">
        <f t="shared" si="8"/>
        <v>0</v>
      </c>
    </row>
    <row r="132" spans="1:26" x14ac:dyDescent="0.2">
      <c r="A132" s="139">
        <v>123</v>
      </c>
      <c r="B132" s="601" t="s">
        <v>309</v>
      </c>
      <c r="C132" s="637">
        <v>58</v>
      </c>
      <c r="D132" s="64"/>
      <c r="E132" s="64"/>
      <c r="F132" s="1100">
        <v>1</v>
      </c>
      <c r="G132" s="575" t="s">
        <v>397</v>
      </c>
      <c r="H132" s="575" t="s">
        <v>397</v>
      </c>
      <c r="I132" s="575" t="s">
        <v>397</v>
      </c>
      <c r="J132" s="575" t="s">
        <v>397</v>
      </c>
      <c r="K132" s="15"/>
      <c r="L132" s="15"/>
      <c r="M132" s="15"/>
      <c r="N132" s="15"/>
      <c r="O132" s="15"/>
      <c r="P132" s="15"/>
      <c r="Q132" s="15"/>
      <c r="R132" s="15"/>
      <c r="S132" s="15"/>
      <c r="T132" s="15">
        <v>14</v>
      </c>
      <c r="U132" s="15"/>
      <c r="V132" s="15">
        <v>43</v>
      </c>
      <c r="W132" s="33">
        <f t="shared" si="6"/>
        <v>2</v>
      </c>
      <c r="X132" s="440">
        <f t="shared" si="9"/>
        <v>0</v>
      </c>
      <c r="Y132" s="441">
        <f t="shared" si="7"/>
        <v>0</v>
      </c>
      <c r="Z132" s="34">
        <f t="shared" si="8"/>
        <v>0</v>
      </c>
    </row>
    <row r="133" spans="1:26" x14ac:dyDescent="0.2">
      <c r="A133" s="139">
        <v>125</v>
      </c>
      <c r="B133" s="65" t="s">
        <v>528</v>
      </c>
      <c r="C133" s="139">
        <v>57</v>
      </c>
      <c r="D133" s="64" t="s">
        <v>35</v>
      </c>
      <c r="E133" s="64"/>
      <c r="F133" s="1100"/>
      <c r="G133" s="575" t="s">
        <v>397</v>
      </c>
      <c r="H133" s="575" t="s">
        <v>397</v>
      </c>
      <c r="I133" s="575" t="s">
        <v>397</v>
      </c>
      <c r="J133" s="575" t="s">
        <v>397</v>
      </c>
      <c r="K133" s="15">
        <v>8</v>
      </c>
      <c r="L133" s="15">
        <v>49</v>
      </c>
      <c r="M133" s="15"/>
      <c r="N133" s="15"/>
      <c r="O133" s="15"/>
      <c r="P133" s="15"/>
      <c r="Q133" s="15"/>
      <c r="R133" s="15"/>
      <c r="S133" s="15"/>
      <c r="T133" s="15"/>
      <c r="U133" s="15"/>
      <c r="V133" s="15"/>
      <c r="W133" s="33">
        <f t="shared" si="6"/>
        <v>2</v>
      </c>
      <c r="X133" s="440">
        <f t="shared" si="9"/>
        <v>0</v>
      </c>
      <c r="Y133" s="441">
        <f t="shared" si="7"/>
        <v>0</v>
      </c>
      <c r="Z133" s="34">
        <f t="shared" si="8"/>
        <v>0</v>
      </c>
    </row>
    <row r="134" spans="1:26" x14ac:dyDescent="0.2">
      <c r="A134" s="139">
        <v>126</v>
      </c>
      <c r="B134" s="601" t="s">
        <v>514</v>
      </c>
      <c r="C134" s="139">
        <v>56</v>
      </c>
      <c r="D134" s="64"/>
      <c r="E134" s="64"/>
      <c r="F134" s="1100"/>
      <c r="G134" s="575" t="s">
        <v>397</v>
      </c>
      <c r="H134" s="575" t="s">
        <v>397</v>
      </c>
      <c r="I134" s="575" t="s">
        <v>397</v>
      </c>
      <c r="J134" s="575" t="s">
        <v>397</v>
      </c>
      <c r="K134" s="15">
        <v>56</v>
      </c>
      <c r="L134" s="15"/>
      <c r="M134" s="15"/>
      <c r="N134" s="15"/>
      <c r="O134" s="15"/>
      <c r="P134" s="15"/>
      <c r="Q134" s="15"/>
      <c r="R134" s="15"/>
      <c r="S134" s="15"/>
      <c r="T134" s="15"/>
      <c r="U134" s="15"/>
      <c r="V134" s="15"/>
      <c r="W134" s="33">
        <f t="shared" si="6"/>
        <v>1</v>
      </c>
      <c r="X134" s="440">
        <f t="shared" si="9"/>
        <v>0</v>
      </c>
      <c r="Y134" s="441">
        <f t="shared" si="7"/>
        <v>0</v>
      </c>
      <c r="Z134" s="34">
        <f t="shared" si="8"/>
        <v>0</v>
      </c>
    </row>
    <row r="135" spans="1:26" x14ac:dyDescent="0.2">
      <c r="A135" s="139">
        <v>126</v>
      </c>
      <c r="B135" s="601" t="s">
        <v>515</v>
      </c>
      <c r="C135" s="139">
        <v>56</v>
      </c>
      <c r="D135" s="64"/>
      <c r="E135" s="64"/>
      <c r="F135" s="1100"/>
      <c r="G135" s="575" t="s">
        <v>397</v>
      </c>
      <c r="H135" s="575" t="s">
        <v>397</v>
      </c>
      <c r="I135" s="575" t="s">
        <v>397</v>
      </c>
      <c r="J135" s="575" t="s">
        <v>397</v>
      </c>
      <c r="K135" s="15">
        <v>56</v>
      </c>
      <c r="L135" s="15"/>
      <c r="M135" s="15"/>
      <c r="N135" s="15"/>
      <c r="O135" s="15"/>
      <c r="P135" s="15"/>
      <c r="Q135" s="15"/>
      <c r="R135" s="15"/>
      <c r="S135" s="15"/>
      <c r="T135" s="15"/>
      <c r="U135" s="15"/>
      <c r="V135" s="15"/>
      <c r="W135" s="33">
        <f t="shared" si="6"/>
        <v>1</v>
      </c>
      <c r="X135" s="440">
        <f t="shared" si="9"/>
        <v>0</v>
      </c>
      <c r="Y135" s="441">
        <f t="shared" si="7"/>
        <v>0</v>
      </c>
      <c r="Z135" s="34">
        <f t="shared" si="8"/>
        <v>0</v>
      </c>
    </row>
    <row r="136" spans="1:26" x14ac:dyDescent="0.2">
      <c r="A136" s="139">
        <v>126</v>
      </c>
      <c r="B136" s="601" t="s">
        <v>715</v>
      </c>
      <c r="C136" s="139">
        <v>56</v>
      </c>
      <c r="D136" s="64"/>
      <c r="E136" s="64"/>
      <c r="F136" s="1100"/>
      <c r="G136" s="575" t="s">
        <v>397</v>
      </c>
      <c r="H136" s="575" t="s">
        <v>397</v>
      </c>
      <c r="I136" s="575" t="s">
        <v>397</v>
      </c>
      <c r="J136" s="575" t="s">
        <v>397</v>
      </c>
      <c r="K136" s="15"/>
      <c r="L136" s="15"/>
      <c r="M136" s="15"/>
      <c r="N136" s="15"/>
      <c r="O136" s="15"/>
      <c r="P136" s="15">
        <v>56</v>
      </c>
      <c r="Q136" s="15"/>
      <c r="R136" s="15"/>
      <c r="S136" s="15"/>
      <c r="T136" s="15"/>
      <c r="U136" s="15"/>
      <c r="V136" s="15"/>
      <c r="W136" s="33">
        <f t="shared" si="6"/>
        <v>1</v>
      </c>
      <c r="X136" s="440">
        <f t="shared" si="9"/>
        <v>0</v>
      </c>
      <c r="Y136" s="441">
        <f t="shared" si="7"/>
        <v>0</v>
      </c>
      <c r="Z136" s="34">
        <f t="shared" si="8"/>
        <v>0</v>
      </c>
    </row>
    <row r="137" spans="1:26" x14ac:dyDescent="0.2">
      <c r="A137" s="139">
        <v>126</v>
      </c>
      <c r="B137" s="601" t="s">
        <v>747</v>
      </c>
      <c r="C137" s="139">
        <v>56</v>
      </c>
      <c r="D137" s="64"/>
      <c r="E137" s="64"/>
      <c r="F137" s="1100"/>
      <c r="G137" s="575" t="s">
        <v>397</v>
      </c>
      <c r="H137" s="575" t="s">
        <v>397</v>
      </c>
      <c r="I137" s="575" t="s">
        <v>397</v>
      </c>
      <c r="J137" s="575" t="s">
        <v>397</v>
      </c>
      <c r="K137" s="15"/>
      <c r="L137" s="15"/>
      <c r="M137" s="15"/>
      <c r="N137" s="15"/>
      <c r="O137" s="15"/>
      <c r="P137" s="15"/>
      <c r="Q137" s="15"/>
      <c r="R137" s="15">
        <v>56</v>
      </c>
      <c r="S137" s="15"/>
      <c r="T137" s="15"/>
      <c r="U137" s="15"/>
      <c r="V137" s="15"/>
      <c r="W137" s="33">
        <f t="shared" si="6"/>
        <v>1</v>
      </c>
      <c r="X137" s="440">
        <f t="shared" ref="X137:X168" si="10">COUNTIF(G137:H137,"&gt;=97")+COUNTIF(J137:L137,"&gt;=97")+COUNTIF(N137,"&gt;=97")+COUNTIF(P137,"&gt;=97")+COUNTIF(R137,"&gt;=97")+COUNTIF(T137,"&gt;=97")+COUNTIF(V137,"&gt;=97")+COUNTIF(I137,"&gt;=146")+COUNTIF(M137,"&gt;=146")+COUNTIF(O137,"&gt;=146")+COUNTIF(Q137,"&gt;=146")+COUNTIF(S137,"&gt;=146")+COUNTIF(U137,"&gt;=146")+IF((D137="n"),(COUNTIF(I137,"=83")+COUNTIF(I137,"=93")+COUNTIF(I137,"=105")+COUNTIF(S137,"=83")+COUNTIF(S137,"=93")+COUNTIF(S137,"=105")))+IF((E137="j"),(COUNTIF(I137,"=33")+COUNTIF(I137,"=42")+COUNTIF(I137,"=53")+COUNTIF(S137,"=33")+COUNTIF(S137,"=42")+COUNTIF(S137,"=53")))</f>
        <v>0</v>
      </c>
      <c r="Y137" s="441">
        <f t="shared" si="7"/>
        <v>0</v>
      </c>
      <c r="Z137" s="34">
        <f t="shared" si="8"/>
        <v>0</v>
      </c>
    </row>
    <row r="138" spans="1:26" x14ac:dyDescent="0.2">
      <c r="A138" s="139">
        <v>126</v>
      </c>
      <c r="B138" s="601" t="s">
        <v>750</v>
      </c>
      <c r="C138" s="139">
        <v>56</v>
      </c>
      <c r="D138" s="64"/>
      <c r="E138" s="64"/>
      <c r="F138" s="1100"/>
      <c r="G138" s="575" t="s">
        <v>397</v>
      </c>
      <c r="H138" s="575" t="s">
        <v>397</v>
      </c>
      <c r="I138" s="575" t="s">
        <v>397</v>
      </c>
      <c r="J138" s="575" t="s">
        <v>397</v>
      </c>
      <c r="K138" s="15"/>
      <c r="L138" s="15"/>
      <c r="M138" s="15"/>
      <c r="N138" s="15"/>
      <c r="O138" s="15"/>
      <c r="P138" s="15"/>
      <c r="Q138" s="15"/>
      <c r="R138" s="15">
        <v>56</v>
      </c>
      <c r="S138" s="15"/>
      <c r="T138" s="15"/>
      <c r="U138" s="15"/>
      <c r="V138" s="15"/>
      <c r="W138" s="33">
        <f t="shared" ref="W138:W176" si="11">COUNTIF(G138:V138,"&gt;=0")</f>
        <v>1</v>
      </c>
      <c r="X138" s="440">
        <f t="shared" si="10"/>
        <v>0</v>
      </c>
      <c r="Y138" s="441">
        <f t="shared" ref="Y138:Y176" si="12">COUNTIF(G138:H138,"=115")+COUNTIF(J138:L138,"=115")+COUNTIF(N138,"=115")+COUNTIF(P138,"=115")+COUNTIF(R138,"=115")+COUNTIF(T138,"=115")+COUNTIF(V138,"=115")+COUNTIF(G138:V138,"=173")+IF((D138="n"),(COUNTIF(I138,"=105")+IF((D138="n"),(COUNTIF(S138,"=105")))))</f>
        <v>0</v>
      </c>
      <c r="Z138" s="34">
        <f t="shared" ref="Z138:Z176" si="13">COUNTIF(G138:V138,"=173")+IF((D138="n"),(COUNTIF(I138,"=105")+IF((D138="n"),(COUNTIF(S138,"=105")))))</f>
        <v>0</v>
      </c>
    </row>
    <row r="139" spans="1:26" x14ac:dyDescent="0.2">
      <c r="A139" s="139">
        <v>131</v>
      </c>
      <c r="B139" s="601" t="s">
        <v>748</v>
      </c>
      <c r="C139" s="139">
        <v>52</v>
      </c>
      <c r="D139" s="64"/>
      <c r="E139" s="64"/>
      <c r="F139" s="1100"/>
      <c r="G139" s="575" t="s">
        <v>397</v>
      </c>
      <c r="H139" s="575" t="s">
        <v>397</v>
      </c>
      <c r="I139" s="575" t="s">
        <v>397</v>
      </c>
      <c r="J139" s="575" t="s">
        <v>397</v>
      </c>
      <c r="K139" s="15"/>
      <c r="L139" s="15"/>
      <c r="M139" s="15"/>
      <c r="N139" s="15"/>
      <c r="O139" s="15"/>
      <c r="P139" s="15"/>
      <c r="Q139" s="15"/>
      <c r="R139" s="15">
        <v>52</v>
      </c>
      <c r="S139" s="15"/>
      <c r="T139" s="15"/>
      <c r="U139" s="15"/>
      <c r="V139" s="15"/>
      <c r="W139" s="33">
        <f t="shared" si="11"/>
        <v>1</v>
      </c>
      <c r="X139" s="440">
        <f t="shared" si="10"/>
        <v>0</v>
      </c>
      <c r="Y139" s="441">
        <f t="shared" si="12"/>
        <v>0</v>
      </c>
      <c r="Z139" s="34">
        <f t="shared" si="13"/>
        <v>0</v>
      </c>
    </row>
    <row r="140" spans="1:26" x14ac:dyDescent="0.2">
      <c r="A140" s="139">
        <v>131</v>
      </c>
      <c r="B140" s="601" t="s">
        <v>749</v>
      </c>
      <c r="C140" s="139">
        <v>52</v>
      </c>
      <c r="D140" s="64"/>
      <c r="E140" s="64"/>
      <c r="F140" s="1100"/>
      <c r="G140" s="575" t="s">
        <v>397</v>
      </c>
      <c r="H140" s="575" t="s">
        <v>397</v>
      </c>
      <c r="I140" s="575" t="s">
        <v>397</v>
      </c>
      <c r="J140" s="575" t="s">
        <v>397</v>
      </c>
      <c r="K140" s="15"/>
      <c r="L140" s="15"/>
      <c r="M140" s="15"/>
      <c r="N140" s="15"/>
      <c r="O140" s="15"/>
      <c r="P140" s="15"/>
      <c r="Q140" s="15"/>
      <c r="R140" s="15">
        <v>52</v>
      </c>
      <c r="S140" s="15"/>
      <c r="T140" s="15"/>
      <c r="U140" s="15"/>
      <c r="V140" s="15"/>
      <c r="W140" s="33">
        <f t="shared" si="11"/>
        <v>1</v>
      </c>
      <c r="X140" s="440">
        <f t="shared" si="10"/>
        <v>0</v>
      </c>
      <c r="Y140" s="441">
        <f t="shared" si="12"/>
        <v>0</v>
      </c>
      <c r="Z140" s="34">
        <f t="shared" si="13"/>
        <v>0</v>
      </c>
    </row>
    <row r="141" spans="1:26" x14ac:dyDescent="0.2">
      <c r="A141" s="139">
        <v>133</v>
      </c>
      <c r="B141" s="68" t="s">
        <v>97</v>
      </c>
      <c r="C141" s="870">
        <v>50</v>
      </c>
      <c r="D141" s="64" t="s">
        <v>35</v>
      </c>
      <c r="E141" s="64"/>
      <c r="F141" s="1100">
        <v>1</v>
      </c>
      <c r="G141" s="575" t="s">
        <v>397</v>
      </c>
      <c r="H141" s="575" t="s">
        <v>397</v>
      </c>
      <c r="I141" s="575" t="s">
        <v>397</v>
      </c>
      <c r="J141" s="575" t="s">
        <v>397</v>
      </c>
      <c r="K141" s="15">
        <v>49</v>
      </c>
      <c r="L141" s="15"/>
      <c r="M141" s="32"/>
      <c r="N141" s="15"/>
      <c r="O141" s="15"/>
      <c r="P141" s="15"/>
      <c r="Q141" s="15"/>
      <c r="R141" s="15"/>
      <c r="S141" s="15"/>
      <c r="T141" s="15"/>
      <c r="U141" s="15"/>
      <c r="V141" s="15"/>
      <c r="W141" s="33">
        <f t="shared" si="11"/>
        <v>1</v>
      </c>
      <c r="X141" s="440">
        <f t="shared" si="10"/>
        <v>0</v>
      </c>
      <c r="Y141" s="441">
        <f t="shared" si="12"/>
        <v>0</v>
      </c>
      <c r="Z141" s="34">
        <f t="shared" si="13"/>
        <v>0</v>
      </c>
    </row>
    <row r="142" spans="1:26" x14ac:dyDescent="0.2">
      <c r="A142" s="139">
        <v>134</v>
      </c>
      <c r="B142" s="63" t="s">
        <v>330</v>
      </c>
      <c r="C142" s="139">
        <v>49</v>
      </c>
      <c r="D142" s="64" t="s">
        <v>35</v>
      </c>
      <c r="E142" s="64"/>
      <c r="F142" s="1100"/>
      <c r="G142" s="575" t="s">
        <v>397</v>
      </c>
      <c r="H142" s="15">
        <v>49</v>
      </c>
      <c r="I142" s="575" t="s">
        <v>397</v>
      </c>
      <c r="J142" s="575" t="s">
        <v>397</v>
      </c>
      <c r="K142" s="575" t="s">
        <v>397</v>
      </c>
      <c r="L142" s="15"/>
      <c r="M142" s="15"/>
      <c r="N142" s="15"/>
      <c r="O142" s="15"/>
      <c r="P142" s="15"/>
      <c r="Q142" s="15"/>
      <c r="R142" s="15"/>
      <c r="S142" s="15"/>
      <c r="T142" s="15"/>
      <c r="U142" s="15"/>
      <c r="V142" s="15"/>
      <c r="W142" s="33">
        <f t="shared" si="11"/>
        <v>1</v>
      </c>
      <c r="X142" s="440">
        <f t="shared" si="10"/>
        <v>0</v>
      </c>
      <c r="Y142" s="441">
        <f t="shared" si="12"/>
        <v>0</v>
      </c>
      <c r="Z142" s="34">
        <f t="shared" si="13"/>
        <v>0</v>
      </c>
    </row>
    <row r="143" spans="1:26" x14ac:dyDescent="0.2">
      <c r="A143" s="139">
        <v>135</v>
      </c>
      <c r="B143" s="65" t="s">
        <v>516</v>
      </c>
      <c r="C143" s="139">
        <v>43</v>
      </c>
      <c r="D143" s="64" t="s">
        <v>35</v>
      </c>
      <c r="E143" s="64"/>
      <c r="F143" s="1100"/>
      <c r="G143" s="575" t="s">
        <v>397</v>
      </c>
      <c r="H143" s="575" t="s">
        <v>397</v>
      </c>
      <c r="I143" s="575" t="s">
        <v>397</v>
      </c>
      <c r="J143" s="575" t="s">
        <v>397</v>
      </c>
      <c r="K143" s="15">
        <v>43</v>
      </c>
      <c r="L143" s="15"/>
      <c r="M143" s="15"/>
      <c r="N143" s="15"/>
      <c r="O143" s="15"/>
      <c r="P143" s="15"/>
      <c r="Q143" s="15"/>
      <c r="R143" s="15"/>
      <c r="S143" s="15"/>
      <c r="T143" s="15"/>
      <c r="U143" s="15"/>
      <c r="V143" s="15"/>
      <c r="W143" s="33">
        <f t="shared" si="11"/>
        <v>1</v>
      </c>
      <c r="X143" s="440">
        <f t="shared" si="10"/>
        <v>0</v>
      </c>
      <c r="Y143" s="441">
        <f t="shared" si="12"/>
        <v>0</v>
      </c>
      <c r="Z143" s="34">
        <f t="shared" si="13"/>
        <v>0</v>
      </c>
    </row>
    <row r="144" spans="1:26" x14ac:dyDescent="0.2">
      <c r="A144" s="139">
        <v>136</v>
      </c>
      <c r="B144" s="601" t="s">
        <v>92</v>
      </c>
      <c r="C144" s="139">
        <v>41</v>
      </c>
      <c r="D144" s="64"/>
      <c r="E144" s="64"/>
      <c r="F144" s="1100">
        <v>1</v>
      </c>
      <c r="G144" s="575" t="s">
        <v>397</v>
      </c>
      <c r="H144" s="575" t="s">
        <v>397</v>
      </c>
      <c r="I144" s="575" t="s">
        <v>397</v>
      </c>
      <c r="J144" s="575" t="s">
        <v>397</v>
      </c>
      <c r="K144" s="15"/>
      <c r="L144" s="15"/>
      <c r="M144" s="15"/>
      <c r="N144" s="15">
        <v>40</v>
      </c>
      <c r="O144" s="15"/>
      <c r="P144" s="15"/>
      <c r="Q144" s="15"/>
      <c r="R144" s="15"/>
      <c r="S144" s="15"/>
      <c r="T144" s="15"/>
      <c r="U144" s="15"/>
      <c r="V144" s="15"/>
      <c r="W144" s="33">
        <f t="shared" si="11"/>
        <v>1</v>
      </c>
      <c r="X144" s="440">
        <f t="shared" si="10"/>
        <v>0</v>
      </c>
      <c r="Y144" s="441">
        <f t="shared" si="12"/>
        <v>0</v>
      </c>
      <c r="Z144" s="34">
        <f t="shared" si="13"/>
        <v>0</v>
      </c>
    </row>
    <row r="145" spans="1:26" x14ac:dyDescent="0.2">
      <c r="A145" s="139">
        <v>137</v>
      </c>
      <c r="B145" s="601" t="s">
        <v>518</v>
      </c>
      <c r="C145" s="139">
        <v>40</v>
      </c>
      <c r="D145" s="64"/>
      <c r="E145" s="64"/>
      <c r="F145" s="1100"/>
      <c r="G145" s="575" t="s">
        <v>397</v>
      </c>
      <c r="H145" s="575" t="s">
        <v>397</v>
      </c>
      <c r="I145" s="575" t="s">
        <v>397</v>
      </c>
      <c r="J145" s="575" t="s">
        <v>397</v>
      </c>
      <c r="K145" s="15">
        <v>40</v>
      </c>
      <c r="L145" s="15"/>
      <c r="M145" s="15"/>
      <c r="N145" s="15"/>
      <c r="O145" s="15"/>
      <c r="P145" s="15"/>
      <c r="Q145" s="15"/>
      <c r="R145" s="15"/>
      <c r="S145" s="15"/>
      <c r="T145" s="15"/>
      <c r="U145" s="15"/>
      <c r="V145" s="15"/>
      <c r="W145" s="33">
        <f t="shared" si="11"/>
        <v>1</v>
      </c>
      <c r="X145" s="440">
        <f t="shared" si="10"/>
        <v>0</v>
      </c>
      <c r="Y145" s="441">
        <f t="shared" si="12"/>
        <v>0</v>
      </c>
      <c r="Z145" s="34">
        <f t="shared" si="13"/>
        <v>0</v>
      </c>
    </row>
    <row r="146" spans="1:26" x14ac:dyDescent="0.2">
      <c r="A146" s="139">
        <v>138</v>
      </c>
      <c r="B146" s="601" t="s">
        <v>324</v>
      </c>
      <c r="C146" s="139">
        <v>38</v>
      </c>
      <c r="D146" s="64"/>
      <c r="E146" s="64"/>
      <c r="F146" s="1100">
        <v>1</v>
      </c>
      <c r="G146" s="575" t="s">
        <v>397</v>
      </c>
      <c r="H146" s="575" t="s">
        <v>397</v>
      </c>
      <c r="I146" s="575" t="s">
        <v>397</v>
      </c>
      <c r="J146" s="575" t="s">
        <v>397</v>
      </c>
      <c r="K146" s="15"/>
      <c r="L146" s="15"/>
      <c r="M146" s="15"/>
      <c r="N146" s="15"/>
      <c r="O146" s="15"/>
      <c r="P146" s="15"/>
      <c r="Q146" s="15"/>
      <c r="R146" s="15"/>
      <c r="S146" s="15"/>
      <c r="T146" s="15">
        <v>37</v>
      </c>
      <c r="U146" s="15"/>
      <c r="V146" s="15"/>
      <c r="W146" s="33">
        <f t="shared" si="11"/>
        <v>1</v>
      </c>
      <c r="X146" s="440">
        <f t="shared" si="10"/>
        <v>0</v>
      </c>
      <c r="Y146" s="441">
        <f t="shared" si="12"/>
        <v>0</v>
      </c>
      <c r="Z146" s="34">
        <f t="shared" si="13"/>
        <v>0</v>
      </c>
    </row>
    <row r="147" spans="1:26" x14ac:dyDescent="0.2">
      <c r="A147" s="139">
        <v>139</v>
      </c>
      <c r="B147" s="629" t="s">
        <v>786</v>
      </c>
      <c r="C147" s="139">
        <v>22</v>
      </c>
      <c r="D147" s="64"/>
      <c r="E147" s="64"/>
      <c r="F147" s="1100"/>
      <c r="G147" s="575" t="s">
        <v>397</v>
      </c>
      <c r="H147" s="575" t="s">
        <v>397</v>
      </c>
      <c r="I147" s="575" t="s">
        <v>397</v>
      </c>
      <c r="J147" s="575" t="s">
        <v>397</v>
      </c>
      <c r="K147" s="15"/>
      <c r="L147" s="15"/>
      <c r="M147" s="15"/>
      <c r="N147" s="15"/>
      <c r="O147" s="15"/>
      <c r="P147" s="15"/>
      <c r="Q147" s="15"/>
      <c r="R147" s="15"/>
      <c r="S147" s="15"/>
      <c r="T147" s="15">
        <v>22</v>
      </c>
      <c r="U147" s="15"/>
      <c r="V147" s="15"/>
      <c r="W147" s="33">
        <f t="shared" si="11"/>
        <v>1</v>
      </c>
      <c r="X147" s="440">
        <f t="shared" si="10"/>
        <v>0</v>
      </c>
      <c r="Y147" s="441">
        <f t="shared" si="12"/>
        <v>0</v>
      </c>
      <c r="Z147" s="34">
        <f t="shared" si="13"/>
        <v>0</v>
      </c>
    </row>
    <row r="148" spans="1:26" x14ac:dyDescent="0.2">
      <c r="A148" s="139">
        <v>140</v>
      </c>
      <c r="B148" s="601" t="s">
        <v>789</v>
      </c>
      <c r="C148" s="139">
        <v>16</v>
      </c>
      <c r="D148" s="64"/>
      <c r="E148" s="64"/>
      <c r="F148" s="1100"/>
      <c r="G148" s="575" t="s">
        <v>397</v>
      </c>
      <c r="H148" s="575" t="s">
        <v>397</v>
      </c>
      <c r="I148" s="575" t="s">
        <v>397</v>
      </c>
      <c r="J148" s="575" t="s">
        <v>397</v>
      </c>
      <c r="K148" s="15"/>
      <c r="L148" s="15"/>
      <c r="M148" s="15"/>
      <c r="N148" s="15"/>
      <c r="O148" s="15"/>
      <c r="P148" s="15"/>
      <c r="Q148" s="15"/>
      <c r="R148" s="15"/>
      <c r="S148" s="15"/>
      <c r="T148" s="15">
        <v>16</v>
      </c>
      <c r="U148" s="15"/>
      <c r="V148" s="15"/>
      <c r="W148" s="33">
        <f t="shared" si="11"/>
        <v>1</v>
      </c>
      <c r="X148" s="440">
        <f t="shared" si="10"/>
        <v>0</v>
      </c>
      <c r="Y148" s="441">
        <f t="shared" si="12"/>
        <v>0</v>
      </c>
      <c r="Z148" s="34">
        <f t="shared" si="13"/>
        <v>0</v>
      </c>
    </row>
    <row r="149" spans="1:26" x14ac:dyDescent="0.2">
      <c r="A149" s="139">
        <v>140</v>
      </c>
      <c r="B149" s="65" t="s">
        <v>790</v>
      </c>
      <c r="C149" s="139">
        <v>16</v>
      </c>
      <c r="D149" s="64" t="s">
        <v>35</v>
      </c>
      <c r="E149" s="64"/>
      <c r="F149" s="1100"/>
      <c r="G149" s="575" t="s">
        <v>397</v>
      </c>
      <c r="H149" s="575" t="s">
        <v>397</v>
      </c>
      <c r="I149" s="575" t="s">
        <v>397</v>
      </c>
      <c r="J149" s="575" t="s">
        <v>397</v>
      </c>
      <c r="K149" s="15"/>
      <c r="L149" s="15"/>
      <c r="M149" s="15"/>
      <c r="N149" s="15"/>
      <c r="O149" s="15"/>
      <c r="P149" s="15"/>
      <c r="Q149" s="15"/>
      <c r="R149" s="15"/>
      <c r="S149" s="15"/>
      <c r="T149" s="15">
        <v>16</v>
      </c>
      <c r="U149" s="15"/>
      <c r="V149" s="15"/>
      <c r="W149" s="33">
        <f t="shared" si="11"/>
        <v>1</v>
      </c>
      <c r="X149" s="440">
        <f t="shared" si="10"/>
        <v>0</v>
      </c>
      <c r="Y149" s="441">
        <f t="shared" si="12"/>
        <v>0</v>
      </c>
      <c r="Z149" s="34">
        <f t="shared" si="13"/>
        <v>0</v>
      </c>
    </row>
    <row r="150" spans="1:26" x14ac:dyDescent="0.2">
      <c r="A150" s="139">
        <v>142</v>
      </c>
      <c r="B150" s="601" t="s">
        <v>57</v>
      </c>
      <c r="C150" s="139">
        <v>15</v>
      </c>
      <c r="D150" s="64"/>
      <c r="E150" s="64"/>
      <c r="F150" s="1100">
        <v>1</v>
      </c>
      <c r="G150" s="575" t="s">
        <v>397</v>
      </c>
      <c r="H150" s="575" t="s">
        <v>397</v>
      </c>
      <c r="I150" s="575" t="s">
        <v>397</v>
      </c>
      <c r="J150" s="575" t="s">
        <v>397</v>
      </c>
      <c r="K150" s="15">
        <v>14</v>
      </c>
      <c r="L150" s="15"/>
      <c r="M150" s="15"/>
      <c r="N150" s="15"/>
      <c r="O150" s="15"/>
      <c r="P150" s="15"/>
      <c r="Q150" s="15"/>
      <c r="R150" s="15"/>
      <c r="S150" s="15"/>
      <c r="T150" s="15"/>
      <c r="U150" s="15"/>
      <c r="V150" s="15"/>
      <c r="W150" s="33">
        <f t="shared" si="11"/>
        <v>1</v>
      </c>
      <c r="X150" s="440">
        <f t="shared" si="10"/>
        <v>0</v>
      </c>
      <c r="Y150" s="441">
        <f t="shared" si="12"/>
        <v>0</v>
      </c>
      <c r="Z150" s="34">
        <f t="shared" si="13"/>
        <v>0</v>
      </c>
    </row>
    <row r="151" spans="1:26" x14ac:dyDescent="0.2">
      <c r="A151" s="139">
        <v>143</v>
      </c>
      <c r="B151" s="601" t="s">
        <v>525</v>
      </c>
      <c r="C151" s="139">
        <v>14</v>
      </c>
      <c r="D151" s="64"/>
      <c r="E151" s="64"/>
      <c r="F151" s="1100"/>
      <c r="G151" s="575" t="s">
        <v>397</v>
      </c>
      <c r="H151" s="575" t="s">
        <v>397</v>
      </c>
      <c r="I151" s="575" t="s">
        <v>397</v>
      </c>
      <c r="J151" s="575" t="s">
        <v>397</v>
      </c>
      <c r="K151" s="15">
        <v>14</v>
      </c>
      <c r="L151" s="15"/>
      <c r="M151" s="15"/>
      <c r="N151" s="15"/>
      <c r="O151" s="15"/>
      <c r="P151" s="15"/>
      <c r="Q151" s="15"/>
      <c r="R151" s="15"/>
      <c r="S151" s="15"/>
      <c r="T151" s="15"/>
      <c r="U151" s="15"/>
      <c r="V151" s="15"/>
      <c r="W151" s="33">
        <f t="shared" si="11"/>
        <v>1</v>
      </c>
      <c r="X151" s="440">
        <f t="shared" si="10"/>
        <v>0</v>
      </c>
      <c r="Y151" s="441">
        <f t="shared" si="12"/>
        <v>0</v>
      </c>
      <c r="Z151" s="34">
        <f t="shared" si="13"/>
        <v>0</v>
      </c>
    </row>
    <row r="152" spans="1:26" x14ac:dyDescent="0.2">
      <c r="A152" s="139">
        <v>144</v>
      </c>
      <c r="B152" s="65" t="s">
        <v>316</v>
      </c>
      <c r="C152" s="637">
        <v>13</v>
      </c>
      <c r="D152" s="64" t="s">
        <v>35</v>
      </c>
      <c r="E152" s="64"/>
      <c r="F152" s="1100">
        <v>1</v>
      </c>
      <c r="G152" s="575" t="s">
        <v>397</v>
      </c>
      <c r="H152" s="575" t="s">
        <v>397</v>
      </c>
      <c r="I152" s="575" t="s">
        <v>397</v>
      </c>
      <c r="J152" s="575" t="s">
        <v>397</v>
      </c>
      <c r="K152" s="15"/>
      <c r="L152" s="15"/>
      <c r="M152" s="15"/>
      <c r="N152" s="15"/>
      <c r="O152" s="15"/>
      <c r="P152" s="15"/>
      <c r="Q152" s="15"/>
      <c r="R152" s="15"/>
      <c r="S152" s="15"/>
      <c r="T152" s="15">
        <v>12</v>
      </c>
      <c r="U152" s="15"/>
      <c r="V152" s="15"/>
      <c r="W152" s="33">
        <f t="shared" si="11"/>
        <v>1</v>
      </c>
      <c r="X152" s="440">
        <f t="shared" si="10"/>
        <v>0</v>
      </c>
      <c r="Y152" s="441">
        <f t="shared" si="12"/>
        <v>0</v>
      </c>
      <c r="Z152" s="34">
        <f t="shared" si="13"/>
        <v>0</v>
      </c>
    </row>
    <row r="153" spans="1:26" x14ac:dyDescent="0.2">
      <c r="A153" s="139">
        <v>145</v>
      </c>
      <c r="B153" s="66" t="s">
        <v>791</v>
      </c>
      <c r="C153" s="637">
        <v>12</v>
      </c>
      <c r="D153" s="64" t="s">
        <v>35</v>
      </c>
      <c r="E153" s="64" t="s">
        <v>50</v>
      </c>
      <c r="F153" s="1100"/>
      <c r="G153" s="575" t="s">
        <v>397</v>
      </c>
      <c r="H153" s="575" t="s">
        <v>397</v>
      </c>
      <c r="I153" s="575" t="s">
        <v>397</v>
      </c>
      <c r="J153" s="575" t="s">
        <v>397</v>
      </c>
      <c r="K153" s="15"/>
      <c r="L153" s="15"/>
      <c r="M153" s="15"/>
      <c r="N153" s="15"/>
      <c r="O153" s="15"/>
      <c r="P153" s="15"/>
      <c r="Q153" s="15"/>
      <c r="R153" s="15"/>
      <c r="S153" s="15"/>
      <c r="T153" s="15">
        <v>12</v>
      </c>
      <c r="U153" s="15"/>
      <c r="V153" s="15"/>
      <c r="W153" s="33">
        <f t="shared" si="11"/>
        <v>1</v>
      </c>
      <c r="X153" s="440">
        <f t="shared" si="10"/>
        <v>0</v>
      </c>
      <c r="Y153" s="441">
        <f t="shared" si="12"/>
        <v>0</v>
      </c>
      <c r="Z153" s="34">
        <f t="shared" si="13"/>
        <v>0</v>
      </c>
    </row>
    <row r="154" spans="1:26" x14ac:dyDescent="0.2">
      <c r="A154" s="139">
        <v>146</v>
      </c>
      <c r="B154" s="67" t="s">
        <v>83</v>
      </c>
      <c r="C154" s="870">
        <v>3.5</v>
      </c>
      <c r="D154" s="64"/>
      <c r="E154" s="64"/>
      <c r="F154" s="1101">
        <v>3.5</v>
      </c>
      <c r="G154" s="575" t="s">
        <v>397</v>
      </c>
      <c r="H154" s="575" t="s">
        <v>397</v>
      </c>
      <c r="I154" s="575" t="s">
        <v>397</v>
      </c>
      <c r="J154" s="575" t="s">
        <v>397</v>
      </c>
      <c r="K154" s="15"/>
      <c r="L154" s="15"/>
      <c r="M154" s="15"/>
      <c r="N154" s="15"/>
      <c r="O154" s="15"/>
      <c r="P154" s="15"/>
      <c r="Q154" s="15"/>
      <c r="R154" s="15"/>
      <c r="S154" s="15"/>
      <c r="T154" s="15"/>
      <c r="U154" s="15"/>
      <c r="V154" s="15"/>
      <c r="W154" s="33">
        <f t="shared" si="11"/>
        <v>0</v>
      </c>
      <c r="X154" s="440">
        <f t="shared" si="10"/>
        <v>0</v>
      </c>
      <c r="Y154" s="441">
        <f t="shared" si="12"/>
        <v>0</v>
      </c>
      <c r="Z154" s="34">
        <f t="shared" si="13"/>
        <v>0</v>
      </c>
    </row>
    <row r="155" spans="1:26" x14ac:dyDescent="0.2">
      <c r="A155" s="139">
        <v>146</v>
      </c>
      <c r="B155" s="67" t="s">
        <v>305</v>
      </c>
      <c r="C155" s="870">
        <v>3.5</v>
      </c>
      <c r="D155" s="64"/>
      <c r="E155" s="64"/>
      <c r="F155" s="1101">
        <v>3.5</v>
      </c>
      <c r="G155" s="575" t="s">
        <v>397</v>
      </c>
      <c r="H155" s="575" t="s">
        <v>397</v>
      </c>
      <c r="I155" s="575" t="s">
        <v>397</v>
      </c>
      <c r="J155" s="575" t="s">
        <v>397</v>
      </c>
      <c r="K155" s="15"/>
      <c r="L155" s="15"/>
      <c r="M155" s="15"/>
      <c r="N155" s="15"/>
      <c r="O155" s="15"/>
      <c r="P155" s="15"/>
      <c r="Q155" s="15"/>
      <c r="R155" s="15"/>
      <c r="S155" s="15"/>
      <c r="T155" s="15"/>
      <c r="U155" s="15"/>
      <c r="V155" s="15"/>
      <c r="W155" s="33">
        <f t="shared" si="11"/>
        <v>0</v>
      </c>
      <c r="X155" s="440">
        <f t="shared" si="10"/>
        <v>0</v>
      </c>
      <c r="Y155" s="441">
        <f t="shared" si="12"/>
        <v>0</v>
      </c>
      <c r="Z155" s="34">
        <f t="shared" si="13"/>
        <v>0</v>
      </c>
    </row>
    <row r="156" spans="1:26" x14ac:dyDescent="0.2">
      <c r="A156" s="139">
        <v>148</v>
      </c>
      <c r="B156" s="601" t="s">
        <v>321</v>
      </c>
      <c r="C156" s="637">
        <v>1</v>
      </c>
      <c r="D156" s="64"/>
      <c r="E156" s="64"/>
      <c r="F156" s="1100">
        <v>1</v>
      </c>
      <c r="G156" s="575" t="s">
        <v>397</v>
      </c>
      <c r="H156" s="575" t="s">
        <v>397</v>
      </c>
      <c r="I156" s="575" t="s">
        <v>397</v>
      </c>
      <c r="J156" s="575" t="s">
        <v>397</v>
      </c>
      <c r="K156" s="15"/>
      <c r="L156" s="15"/>
      <c r="M156" s="15"/>
      <c r="N156" s="15"/>
      <c r="O156" s="15"/>
      <c r="P156" s="15"/>
      <c r="Q156" s="15"/>
      <c r="R156" s="15"/>
      <c r="S156" s="15"/>
      <c r="T156" s="15"/>
      <c r="U156" s="15"/>
      <c r="V156" s="15"/>
      <c r="W156" s="33">
        <f t="shared" si="11"/>
        <v>0</v>
      </c>
      <c r="X156" s="440">
        <f t="shared" si="10"/>
        <v>0</v>
      </c>
      <c r="Y156" s="441">
        <f t="shared" si="12"/>
        <v>0</v>
      </c>
      <c r="Z156" s="34">
        <f t="shared" si="13"/>
        <v>0</v>
      </c>
    </row>
    <row r="157" spans="1:26" x14ac:dyDescent="0.2">
      <c r="A157" s="139">
        <v>148</v>
      </c>
      <c r="B157" s="65" t="s">
        <v>322</v>
      </c>
      <c r="C157" s="637">
        <v>1</v>
      </c>
      <c r="D157" s="64" t="s">
        <v>35</v>
      </c>
      <c r="E157" s="64"/>
      <c r="F157" s="1100">
        <v>1</v>
      </c>
      <c r="G157" s="575" t="s">
        <v>397</v>
      </c>
      <c r="H157" s="575" t="s">
        <v>397</v>
      </c>
      <c r="I157" s="575" t="s">
        <v>397</v>
      </c>
      <c r="J157" s="575" t="s">
        <v>397</v>
      </c>
      <c r="K157" s="15"/>
      <c r="L157" s="15"/>
      <c r="M157" s="15"/>
      <c r="N157" s="15"/>
      <c r="O157" s="15"/>
      <c r="P157" s="15"/>
      <c r="Q157" s="15"/>
      <c r="R157" s="15"/>
      <c r="S157" s="15"/>
      <c r="T157" s="15"/>
      <c r="U157" s="15"/>
      <c r="V157" s="15"/>
      <c r="W157" s="33">
        <f t="shared" si="11"/>
        <v>0</v>
      </c>
      <c r="X157" s="440">
        <f t="shared" si="10"/>
        <v>0</v>
      </c>
      <c r="Y157" s="441">
        <f t="shared" si="12"/>
        <v>0</v>
      </c>
      <c r="Z157" s="34">
        <f t="shared" si="13"/>
        <v>0</v>
      </c>
    </row>
    <row r="158" spans="1:26" x14ac:dyDescent="0.2">
      <c r="A158" s="139">
        <v>148</v>
      </c>
      <c r="B158" s="67" t="s">
        <v>315</v>
      </c>
      <c r="C158" s="870">
        <v>1</v>
      </c>
      <c r="D158" s="64"/>
      <c r="E158" s="64"/>
      <c r="F158" s="1100">
        <v>1</v>
      </c>
      <c r="G158" s="575" t="s">
        <v>397</v>
      </c>
      <c r="H158" s="575" t="s">
        <v>397</v>
      </c>
      <c r="I158" s="575" t="s">
        <v>397</v>
      </c>
      <c r="J158" s="575" t="s">
        <v>397</v>
      </c>
      <c r="K158" s="15"/>
      <c r="L158" s="15"/>
      <c r="M158" s="32"/>
      <c r="N158" s="15"/>
      <c r="O158" s="15"/>
      <c r="P158" s="15"/>
      <c r="Q158" s="15"/>
      <c r="R158" s="15"/>
      <c r="S158" s="15"/>
      <c r="T158" s="15"/>
      <c r="U158" s="15"/>
      <c r="V158" s="15"/>
      <c r="W158" s="33">
        <f t="shared" si="11"/>
        <v>0</v>
      </c>
      <c r="X158" s="440">
        <f t="shared" si="10"/>
        <v>0</v>
      </c>
      <c r="Y158" s="441">
        <f t="shared" si="12"/>
        <v>0</v>
      </c>
      <c r="Z158" s="34">
        <f t="shared" si="13"/>
        <v>0</v>
      </c>
    </row>
    <row r="159" spans="1:26" x14ac:dyDescent="0.2">
      <c r="A159" s="139">
        <v>148</v>
      </c>
      <c r="B159" s="601" t="s">
        <v>93</v>
      </c>
      <c r="C159" s="139">
        <v>1</v>
      </c>
      <c r="D159" s="64"/>
      <c r="E159" s="64"/>
      <c r="F159" s="1100">
        <v>1</v>
      </c>
      <c r="G159" s="575" t="s">
        <v>397</v>
      </c>
      <c r="H159" s="575" t="s">
        <v>397</v>
      </c>
      <c r="I159" s="575" t="s">
        <v>397</v>
      </c>
      <c r="J159" s="575" t="s">
        <v>397</v>
      </c>
      <c r="K159" s="15"/>
      <c r="L159" s="15"/>
      <c r="M159" s="15"/>
      <c r="N159" s="15"/>
      <c r="O159" s="15"/>
      <c r="P159" s="15"/>
      <c r="Q159" s="15"/>
      <c r="R159" s="15"/>
      <c r="S159" s="15"/>
      <c r="T159" s="15"/>
      <c r="U159" s="15"/>
      <c r="V159" s="15"/>
      <c r="W159" s="33">
        <f t="shared" si="11"/>
        <v>0</v>
      </c>
      <c r="X159" s="440">
        <f t="shared" si="10"/>
        <v>0</v>
      </c>
      <c r="Y159" s="441">
        <f t="shared" si="12"/>
        <v>0</v>
      </c>
      <c r="Z159" s="34">
        <f t="shared" si="13"/>
        <v>0</v>
      </c>
    </row>
    <row r="160" spans="1:26" x14ac:dyDescent="0.2">
      <c r="A160" s="139">
        <v>148</v>
      </c>
      <c r="B160" s="67" t="s">
        <v>313</v>
      </c>
      <c r="C160" s="870">
        <v>1</v>
      </c>
      <c r="D160" s="64"/>
      <c r="E160" s="64"/>
      <c r="F160" s="1100">
        <v>1</v>
      </c>
      <c r="G160" s="575" t="s">
        <v>397</v>
      </c>
      <c r="H160" s="575" t="s">
        <v>397</v>
      </c>
      <c r="I160" s="575" t="s">
        <v>397</v>
      </c>
      <c r="J160" s="575" t="s">
        <v>397</v>
      </c>
      <c r="K160" s="15"/>
      <c r="L160" s="15"/>
      <c r="M160" s="15"/>
      <c r="N160" s="15"/>
      <c r="O160" s="15"/>
      <c r="P160" s="15"/>
      <c r="Q160" s="15"/>
      <c r="R160" s="15"/>
      <c r="S160" s="15"/>
      <c r="T160" s="15"/>
      <c r="U160" s="15"/>
      <c r="V160" s="15"/>
      <c r="W160" s="33">
        <f t="shared" si="11"/>
        <v>0</v>
      </c>
      <c r="X160" s="440">
        <f t="shared" si="10"/>
        <v>0</v>
      </c>
      <c r="Y160" s="441">
        <f t="shared" si="12"/>
        <v>0</v>
      </c>
      <c r="Z160" s="34">
        <f t="shared" si="13"/>
        <v>0</v>
      </c>
    </row>
    <row r="161" spans="1:26" x14ac:dyDescent="0.2">
      <c r="A161" s="139">
        <v>148</v>
      </c>
      <c r="B161" s="70" t="s">
        <v>86</v>
      </c>
      <c r="C161" s="139">
        <v>1</v>
      </c>
      <c r="D161" s="64" t="s">
        <v>35</v>
      </c>
      <c r="E161" s="64"/>
      <c r="F161" s="1100">
        <v>1</v>
      </c>
      <c r="G161" s="575" t="s">
        <v>397</v>
      </c>
      <c r="H161" s="575" t="s">
        <v>397</v>
      </c>
      <c r="I161" s="575" t="s">
        <v>397</v>
      </c>
      <c r="J161" s="575" t="s">
        <v>397</v>
      </c>
      <c r="K161" s="15"/>
      <c r="L161" s="15"/>
      <c r="M161" s="15"/>
      <c r="N161" s="15"/>
      <c r="O161" s="15"/>
      <c r="P161" s="15"/>
      <c r="Q161" s="15"/>
      <c r="R161" s="15"/>
      <c r="S161" s="15"/>
      <c r="T161" s="15"/>
      <c r="U161" s="15"/>
      <c r="V161" s="15"/>
      <c r="W161" s="33">
        <f t="shared" si="11"/>
        <v>0</v>
      </c>
      <c r="X161" s="440">
        <f t="shared" si="10"/>
        <v>0</v>
      </c>
      <c r="Y161" s="441">
        <f t="shared" si="12"/>
        <v>0</v>
      </c>
      <c r="Z161" s="34">
        <f t="shared" si="13"/>
        <v>0</v>
      </c>
    </row>
    <row r="162" spans="1:26" x14ac:dyDescent="0.2">
      <c r="A162" s="139">
        <v>148</v>
      </c>
      <c r="B162" s="65" t="s">
        <v>65</v>
      </c>
      <c r="C162" s="139">
        <v>1</v>
      </c>
      <c r="D162" s="64" t="s">
        <v>35</v>
      </c>
      <c r="E162" s="64"/>
      <c r="F162" s="1100">
        <v>1</v>
      </c>
      <c r="G162" s="575" t="s">
        <v>397</v>
      </c>
      <c r="H162" s="575" t="s">
        <v>397</v>
      </c>
      <c r="I162" s="575" t="s">
        <v>397</v>
      </c>
      <c r="J162" s="575" t="s">
        <v>397</v>
      </c>
      <c r="K162" s="15"/>
      <c r="L162" s="15"/>
      <c r="M162" s="32"/>
      <c r="N162" s="15"/>
      <c r="O162" s="15"/>
      <c r="P162" s="15"/>
      <c r="Q162" s="15"/>
      <c r="R162" s="15"/>
      <c r="S162" s="15"/>
      <c r="T162" s="15"/>
      <c r="U162" s="15"/>
      <c r="V162" s="15"/>
      <c r="W162" s="33">
        <f t="shared" si="11"/>
        <v>0</v>
      </c>
      <c r="X162" s="440">
        <f t="shared" si="10"/>
        <v>0</v>
      </c>
      <c r="Y162" s="441">
        <f t="shared" si="12"/>
        <v>0</v>
      </c>
      <c r="Z162" s="34">
        <f t="shared" si="13"/>
        <v>0</v>
      </c>
    </row>
    <row r="163" spans="1:26" x14ac:dyDescent="0.2">
      <c r="A163" s="139">
        <v>148</v>
      </c>
      <c r="B163" s="601" t="s">
        <v>311</v>
      </c>
      <c r="C163" s="139">
        <v>1</v>
      </c>
      <c r="D163" s="64"/>
      <c r="E163" s="64"/>
      <c r="F163" s="1100">
        <v>1</v>
      </c>
      <c r="G163" s="575" t="s">
        <v>397</v>
      </c>
      <c r="H163" s="575" t="s">
        <v>397</v>
      </c>
      <c r="I163" s="575" t="s">
        <v>397</v>
      </c>
      <c r="J163" s="575" t="s">
        <v>397</v>
      </c>
      <c r="K163" s="15"/>
      <c r="L163" s="15"/>
      <c r="M163" s="15"/>
      <c r="N163" s="15"/>
      <c r="O163" s="15"/>
      <c r="P163" s="15"/>
      <c r="Q163" s="15"/>
      <c r="R163" s="15"/>
      <c r="S163" s="15"/>
      <c r="T163" s="15"/>
      <c r="U163" s="15"/>
      <c r="V163" s="15"/>
      <c r="W163" s="33">
        <f t="shared" si="11"/>
        <v>0</v>
      </c>
      <c r="X163" s="440">
        <f t="shared" si="10"/>
        <v>0</v>
      </c>
      <c r="Y163" s="441">
        <f t="shared" si="12"/>
        <v>0</v>
      </c>
      <c r="Z163" s="34">
        <f t="shared" si="13"/>
        <v>0</v>
      </c>
    </row>
    <row r="164" spans="1:26" x14ac:dyDescent="0.2">
      <c r="A164" s="139">
        <v>148</v>
      </c>
      <c r="B164" s="601" t="s">
        <v>306</v>
      </c>
      <c r="C164" s="139">
        <v>1</v>
      </c>
      <c r="D164" s="64"/>
      <c r="E164" s="64"/>
      <c r="F164" s="1100">
        <v>1</v>
      </c>
      <c r="G164" s="575" t="s">
        <v>397</v>
      </c>
      <c r="H164" s="575" t="s">
        <v>397</v>
      </c>
      <c r="I164" s="575" t="s">
        <v>397</v>
      </c>
      <c r="J164" s="575" t="s">
        <v>397</v>
      </c>
      <c r="K164" s="15"/>
      <c r="L164" s="15"/>
      <c r="M164" s="15"/>
      <c r="N164" s="15"/>
      <c r="O164" s="15"/>
      <c r="P164" s="15"/>
      <c r="Q164" s="15"/>
      <c r="R164" s="15"/>
      <c r="S164" s="15"/>
      <c r="T164" s="15"/>
      <c r="U164" s="15"/>
      <c r="V164" s="15"/>
      <c r="W164" s="33">
        <f t="shared" si="11"/>
        <v>0</v>
      </c>
      <c r="X164" s="440">
        <f t="shared" si="10"/>
        <v>0</v>
      </c>
      <c r="Y164" s="441">
        <f t="shared" si="12"/>
        <v>0</v>
      </c>
      <c r="Z164" s="34">
        <f t="shared" si="13"/>
        <v>0</v>
      </c>
    </row>
    <row r="165" spans="1:26" x14ac:dyDescent="0.2">
      <c r="A165" s="139">
        <v>148</v>
      </c>
      <c r="B165" s="601" t="s">
        <v>94</v>
      </c>
      <c r="C165" s="139">
        <v>1</v>
      </c>
      <c r="D165" s="64"/>
      <c r="E165" s="64"/>
      <c r="F165" s="1100">
        <v>1</v>
      </c>
      <c r="G165" s="575" t="s">
        <v>397</v>
      </c>
      <c r="H165" s="575" t="s">
        <v>397</v>
      </c>
      <c r="I165" s="575" t="s">
        <v>397</v>
      </c>
      <c r="J165" s="575" t="s">
        <v>397</v>
      </c>
      <c r="K165" s="15"/>
      <c r="L165" s="15"/>
      <c r="M165" s="15"/>
      <c r="N165" s="15"/>
      <c r="O165" s="15"/>
      <c r="P165" s="15"/>
      <c r="Q165" s="430"/>
      <c r="R165" s="15"/>
      <c r="S165" s="15"/>
      <c r="T165" s="15"/>
      <c r="U165" s="15"/>
      <c r="V165" s="15"/>
      <c r="W165" s="33">
        <f t="shared" si="11"/>
        <v>0</v>
      </c>
      <c r="X165" s="440">
        <f t="shared" si="10"/>
        <v>0</v>
      </c>
      <c r="Y165" s="441">
        <f t="shared" si="12"/>
        <v>0</v>
      </c>
      <c r="Z165" s="34">
        <f t="shared" si="13"/>
        <v>0</v>
      </c>
    </row>
    <row r="166" spans="1:26" x14ac:dyDescent="0.2">
      <c r="A166" s="139">
        <v>148</v>
      </c>
      <c r="B166" s="601" t="s">
        <v>87</v>
      </c>
      <c r="C166" s="139">
        <v>1</v>
      </c>
      <c r="D166" s="64"/>
      <c r="E166" s="64"/>
      <c r="F166" s="1100">
        <v>1</v>
      </c>
      <c r="G166" s="575" t="s">
        <v>397</v>
      </c>
      <c r="H166" s="575" t="s">
        <v>397</v>
      </c>
      <c r="I166" s="575" t="s">
        <v>397</v>
      </c>
      <c r="J166" s="575" t="s">
        <v>397</v>
      </c>
      <c r="K166" s="15"/>
      <c r="L166" s="15"/>
      <c r="M166" s="15"/>
      <c r="N166" s="15"/>
      <c r="O166" s="15"/>
      <c r="P166" s="15"/>
      <c r="Q166" s="15"/>
      <c r="R166" s="15"/>
      <c r="S166" s="15"/>
      <c r="T166" s="15"/>
      <c r="U166" s="15"/>
      <c r="V166" s="15"/>
      <c r="W166" s="33">
        <f t="shared" si="11"/>
        <v>0</v>
      </c>
      <c r="X166" s="440">
        <f t="shared" si="10"/>
        <v>0</v>
      </c>
      <c r="Y166" s="441">
        <f t="shared" si="12"/>
        <v>0</v>
      </c>
      <c r="Z166" s="34">
        <f t="shared" si="13"/>
        <v>0</v>
      </c>
    </row>
    <row r="167" spans="1:26" x14ac:dyDescent="0.2">
      <c r="A167" s="139">
        <v>148</v>
      </c>
      <c r="B167" s="601" t="s">
        <v>307</v>
      </c>
      <c r="C167" s="139">
        <v>1</v>
      </c>
      <c r="D167" s="64"/>
      <c r="E167" s="64"/>
      <c r="F167" s="1100">
        <v>1</v>
      </c>
      <c r="G167" s="575" t="s">
        <v>397</v>
      </c>
      <c r="H167" s="575" t="s">
        <v>397</v>
      </c>
      <c r="I167" s="575" t="s">
        <v>397</v>
      </c>
      <c r="J167" s="575" t="s">
        <v>397</v>
      </c>
      <c r="K167" s="15"/>
      <c r="L167" s="15"/>
      <c r="M167" s="15"/>
      <c r="N167" s="15"/>
      <c r="O167" s="15"/>
      <c r="P167" s="15"/>
      <c r="Q167" s="15"/>
      <c r="R167" s="15"/>
      <c r="S167" s="15"/>
      <c r="T167" s="15"/>
      <c r="U167" s="15"/>
      <c r="V167" s="15"/>
      <c r="W167" s="33">
        <f t="shared" si="11"/>
        <v>0</v>
      </c>
      <c r="X167" s="440">
        <f t="shared" si="10"/>
        <v>0</v>
      </c>
      <c r="Y167" s="441">
        <f t="shared" si="12"/>
        <v>0</v>
      </c>
      <c r="Z167" s="34">
        <f t="shared" si="13"/>
        <v>0</v>
      </c>
    </row>
    <row r="168" spans="1:26" ht="12.75" customHeight="1" x14ac:dyDescent="0.2">
      <c r="A168" s="139">
        <v>148</v>
      </c>
      <c r="B168" s="601" t="s">
        <v>55</v>
      </c>
      <c r="C168" s="139">
        <v>1</v>
      </c>
      <c r="D168" s="64"/>
      <c r="E168" s="64"/>
      <c r="F168" s="1100">
        <v>1</v>
      </c>
      <c r="G168" s="575" t="s">
        <v>397</v>
      </c>
      <c r="H168" s="575" t="s">
        <v>397</v>
      </c>
      <c r="I168" s="575" t="s">
        <v>397</v>
      </c>
      <c r="J168" s="575" t="s">
        <v>397</v>
      </c>
      <c r="K168" s="15"/>
      <c r="L168" s="15"/>
      <c r="M168" s="15"/>
      <c r="N168" s="15"/>
      <c r="O168" s="15"/>
      <c r="P168" s="15"/>
      <c r="Q168" s="15"/>
      <c r="R168" s="15"/>
      <c r="S168" s="15"/>
      <c r="T168" s="15"/>
      <c r="U168" s="15"/>
      <c r="V168" s="15"/>
      <c r="W168" s="33">
        <f t="shared" si="11"/>
        <v>0</v>
      </c>
      <c r="X168" s="440">
        <f t="shared" si="10"/>
        <v>0</v>
      </c>
      <c r="Y168" s="441">
        <f t="shared" si="12"/>
        <v>0</v>
      </c>
      <c r="Z168" s="34">
        <f t="shared" si="13"/>
        <v>0</v>
      </c>
    </row>
    <row r="169" spans="1:26" ht="12.75" customHeight="1" x14ac:dyDescent="0.2">
      <c r="A169" s="139">
        <v>148</v>
      </c>
      <c r="B169" s="69" t="s">
        <v>310</v>
      </c>
      <c r="C169" s="637">
        <v>1</v>
      </c>
      <c r="D169" s="64" t="s">
        <v>35</v>
      </c>
      <c r="E169" s="64"/>
      <c r="F169" s="1100">
        <v>1</v>
      </c>
      <c r="G169" s="575" t="s">
        <v>397</v>
      </c>
      <c r="H169" s="575" t="s">
        <v>397</v>
      </c>
      <c r="I169" s="575" t="s">
        <v>397</v>
      </c>
      <c r="J169" s="575" t="s">
        <v>397</v>
      </c>
      <c r="K169" s="15"/>
      <c r="L169" s="15"/>
      <c r="M169" s="15"/>
      <c r="N169" s="15"/>
      <c r="O169" s="15"/>
      <c r="P169" s="15"/>
      <c r="Q169" s="15"/>
      <c r="R169" s="15"/>
      <c r="S169" s="15"/>
      <c r="T169" s="15"/>
      <c r="U169" s="15"/>
      <c r="V169" s="15"/>
      <c r="W169" s="33">
        <f t="shared" si="11"/>
        <v>0</v>
      </c>
      <c r="X169" s="440">
        <f t="shared" ref="X169:X176" si="14">COUNTIF(G169:H169,"&gt;=97")+COUNTIF(J169:L169,"&gt;=97")+COUNTIF(N169,"&gt;=97")+COUNTIF(P169,"&gt;=97")+COUNTIF(R169,"&gt;=97")+COUNTIF(T169,"&gt;=97")+COUNTIF(V169,"&gt;=97")+COUNTIF(I169,"&gt;=146")+COUNTIF(M169,"&gt;=146")+COUNTIF(O169,"&gt;=146")+COUNTIF(Q169,"&gt;=146")+COUNTIF(S169,"&gt;=146")+COUNTIF(U169,"&gt;=146")+IF((D169="n"),(COUNTIF(I169,"=83")+COUNTIF(I169,"=93")+COUNTIF(I169,"=105")+COUNTIF(S169,"=83")+COUNTIF(S169,"=93")+COUNTIF(S169,"=105")))+IF((E169="j"),(COUNTIF(I169,"=33")+COUNTIF(I169,"=42")+COUNTIF(I169,"=53")+COUNTIF(S169,"=33")+COUNTIF(S169,"=42")+COUNTIF(S169,"=53")))</f>
        <v>0</v>
      </c>
      <c r="Y169" s="441">
        <f t="shared" si="12"/>
        <v>0</v>
      </c>
      <c r="Z169" s="34">
        <f t="shared" si="13"/>
        <v>0</v>
      </c>
    </row>
    <row r="170" spans="1:26" ht="12.75" customHeight="1" x14ac:dyDescent="0.2">
      <c r="A170" s="139">
        <v>148</v>
      </c>
      <c r="B170" s="601" t="s">
        <v>312</v>
      </c>
      <c r="C170" s="139">
        <v>1</v>
      </c>
      <c r="D170" s="64"/>
      <c r="E170" s="64"/>
      <c r="F170" s="1100">
        <v>1</v>
      </c>
      <c r="G170" s="575" t="s">
        <v>397</v>
      </c>
      <c r="H170" s="575" t="s">
        <v>397</v>
      </c>
      <c r="I170" s="575" t="s">
        <v>397</v>
      </c>
      <c r="J170" s="575" t="s">
        <v>397</v>
      </c>
      <c r="K170" s="15"/>
      <c r="L170" s="15"/>
      <c r="M170" s="15"/>
      <c r="N170" s="15"/>
      <c r="O170" s="15"/>
      <c r="P170" s="15"/>
      <c r="Q170" s="15"/>
      <c r="R170" s="15"/>
      <c r="S170" s="15"/>
      <c r="T170" s="15"/>
      <c r="U170" s="15"/>
      <c r="V170" s="15"/>
      <c r="W170" s="33">
        <f t="shared" si="11"/>
        <v>0</v>
      </c>
      <c r="X170" s="440">
        <f t="shared" si="14"/>
        <v>0</v>
      </c>
      <c r="Y170" s="441">
        <f t="shared" si="12"/>
        <v>0</v>
      </c>
      <c r="Z170" s="34">
        <f t="shared" si="13"/>
        <v>0</v>
      </c>
    </row>
    <row r="171" spans="1:26" ht="12.75" customHeight="1" x14ac:dyDescent="0.2">
      <c r="A171" s="139">
        <v>148</v>
      </c>
      <c r="B171" s="601" t="s">
        <v>317</v>
      </c>
      <c r="C171" s="139">
        <v>1</v>
      </c>
      <c r="D171" s="64"/>
      <c r="E171" s="64"/>
      <c r="F171" s="1100">
        <v>1</v>
      </c>
      <c r="G171" s="575" t="s">
        <v>397</v>
      </c>
      <c r="H171" s="575" t="s">
        <v>397</v>
      </c>
      <c r="I171" s="575" t="s">
        <v>397</v>
      </c>
      <c r="J171" s="575" t="s">
        <v>397</v>
      </c>
      <c r="K171" s="15"/>
      <c r="L171" s="15"/>
      <c r="M171" s="15"/>
      <c r="N171" s="15"/>
      <c r="O171" s="15"/>
      <c r="P171" s="15"/>
      <c r="Q171" s="15"/>
      <c r="R171" s="15"/>
      <c r="S171" s="15"/>
      <c r="T171" s="15"/>
      <c r="U171" s="15"/>
      <c r="V171" s="15"/>
      <c r="W171" s="33">
        <f t="shared" si="11"/>
        <v>0</v>
      </c>
      <c r="X171" s="440">
        <f t="shared" si="14"/>
        <v>0</v>
      </c>
      <c r="Y171" s="441">
        <f t="shared" si="12"/>
        <v>0</v>
      </c>
      <c r="Z171" s="34">
        <f t="shared" si="13"/>
        <v>0</v>
      </c>
    </row>
    <row r="172" spans="1:26" ht="12.75" customHeight="1" x14ac:dyDescent="0.2">
      <c r="A172" s="139">
        <v>148</v>
      </c>
      <c r="B172" s="601" t="s">
        <v>319</v>
      </c>
      <c r="C172" s="637">
        <v>1</v>
      </c>
      <c r="D172" s="64"/>
      <c r="E172" s="64"/>
      <c r="F172" s="1100">
        <v>1</v>
      </c>
      <c r="G172" s="575" t="s">
        <v>397</v>
      </c>
      <c r="H172" s="575" t="s">
        <v>397</v>
      </c>
      <c r="I172" s="575" t="s">
        <v>397</v>
      </c>
      <c r="J172" s="575" t="s">
        <v>397</v>
      </c>
      <c r="K172" s="15"/>
      <c r="L172" s="15"/>
      <c r="M172" s="15"/>
      <c r="N172" s="15"/>
      <c r="O172" s="15"/>
      <c r="P172" s="15"/>
      <c r="Q172" s="15"/>
      <c r="R172" s="15"/>
      <c r="S172" s="15"/>
      <c r="T172" s="15"/>
      <c r="U172" s="15"/>
      <c r="V172" s="15"/>
      <c r="W172" s="33">
        <f t="shared" si="11"/>
        <v>0</v>
      </c>
      <c r="X172" s="440">
        <f t="shared" si="14"/>
        <v>0</v>
      </c>
      <c r="Y172" s="441">
        <f t="shared" si="12"/>
        <v>0</v>
      </c>
      <c r="Z172" s="34">
        <f t="shared" si="13"/>
        <v>0</v>
      </c>
    </row>
    <row r="173" spans="1:26" ht="12.75" customHeight="1" x14ac:dyDescent="0.2">
      <c r="A173" s="139">
        <v>148</v>
      </c>
      <c r="B173" s="601" t="s">
        <v>78</v>
      </c>
      <c r="C173" s="139">
        <v>1</v>
      </c>
      <c r="D173" s="64"/>
      <c r="E173" s="64"/>
      <c r="F173" s="1100">
        <v>1</v>
      </c>
      <c r="G173" s="575" t="s">
        <v>397</v>
      </c>
      <c r="H173" s="575" t="s">
        <v>397</v>
      </c>
      <c r="I173" s="575" t="s">
        <v>397</v>
      </c>
      <c r="J173" s="575" t="s">
        <v>397</v>
      </c>
      <c r="K173" s="15"/>
      <c r="L173" s="15"/>
      <c r="M173" s="15"/>
      <c r="N173" s="15"/>
      <c r="O173" s="15"/>
      <c r="P173" s="15"/>
      <c r="Q173" s="15"/>
      <c r="R173" s="15"/>
      <c r="S173" s="15"/>
      <c r="T173" s="15"/>
      <c r="U173" s="15"/>
      <c r="V173" s="15"/>
      <c r="W173" s="33">
        <f t="shared" si="11"/>
        <v>0</v>
      </c>
      <c r="X173" s="440">
        <f t="shared" si="14"/>
        <v>0</v>
      </c>
      <c r="Y173" s="441">
        <f t="shared" si="12"/>
        <v>0</v>
      </c>
      <c r="Z173" s="34">
        <f t="shared" si="13"/>
        <v>0</v>
      </c>
    </row>
    <row r="174" spans="1:26" ht="12.75" customHeight="1" x14ac:dyDescent="0.2">
      <c r="A174" s="139">
        <v>148</v>
      </c>
      <c r="B174" s="601" t="s">
        <v>95</v>
      </c>
      <c r="C174" s="139">
        <v>1</v>
      </c>
      <c r="D174" s="64"/>
      <c r="E174" s="64"/>
      <c r="F174" s="1100">
        <v>1</v>
      </c>
      <c r="G174" s="575" t="s">
        <v>397</v>
      </c>
      <c r="H174" s="575" t="s">
        <v>397</v>
      </c>
      <c r="I174" s="575" t="s">
        <v>397</v>
      </c>
      <c r="J174" s="575" t="s">
        <v>397</v>
      </c>
      <c r="K174" s="15"/>
      <c r="L174" s="15"/>
      <c r="M174" s="15"/>
      <c r="N174" s="15"/>
      <c r="O174" s="15"/>
      <c r="P174" s="15"/>
      <c r="Q174" s="15"/>
      <c r="R174" s="15"/>
      <c r="S174" s="15"/>
      <c r="T174" s="15"/>
      <c r="U174" s="15"/>
      <c r="V174" s="15"/>
      <c r="W174" s="33">
        <f t="shared" si="11"/>
        <v>0</v>
      </c>
      <c r="X174" s="440">
        <f t="shared" si="14"/>
        <v>0</v>
      </c>
      <c r="Y174" s="441">
        <f t="shared" si="12"/>
        <v>0</v>
      </c>
      <c r="Z174" s="34">
        <f t="shared" si="13"/>
        <v>0</v>
      </c>
    </row>
    <row r="175" spans="1:26" ht="12.75" customHeight="1" x14ac:dyDescent="0.2">
      <c r="A175" s="139">
        <v>148</v>
      </c>
      <c r="B175" s="68" t="s">
        <v>99</v>
      </c>
      <c r="C175" s="870">
        <v>1</v>
      </c>
      <c r="D175" s="64" t="s">
        <v>35</v>
      </c>
      <c r="E175" s="64"/>
      <c r="F175" s="1100">
        <v>1</v>
      </c>
      <c r="G175" s="575" t="s">
        <v>397</v>
      </c>
      <c r="H175" s="575" t="s">
        <v>397</v>
      </c>
      <c r="I175" s="575" t="s">
        <v>397</v>
      </c>
      <c r="J175" s="575" t="s">
        <v>397</v>
      </c>
      <c r="K175" s="15"/>
      <c r="L175" s="15"/>
      <c r="M175" s="15"/>
      <c r="N175" s="15"/>
      <c r="O175" s="15"/>
      <c r="P175" s="15"/>
      <c r="Q175" s="15"/>
      <c r="R175" s="15"/>
      <c r="S175" s="15"/>
      <c r="T175" s="15"/>
      <c r="U175" s="15"/>
      <c r="V175" s="15"/>
      <c r="W175" s="33">
        <f t="shared" si="11"/>
        <v>0</v>
      </c>
      <c r="X175" s="440">
        <f t="shared" si="14"/>
        <v>0</v>
      </c>
      <c r="Y175" s="441">
        <f t="shared" si="12"/>
        <v>0</v>
      </c>
      <c r="Z175" s="34">
        <f t="shared" si="13"/>
        <v>0</v>
      </c>
    </row>
    <row r="176" spans="1:26" ht="12.75" customHeight="1" x14ac:dyDescent="0.2">
      <c r="A176" s="139">
        <v>148</v>
      </c>
      <c r="B176" s="601" t="s">
        <v>325</v>
      </c>
      <c r="C176" s="139">
        <v>1</v>
      </c>
      <c r="D176" s="64"/>
      <c r="E176" s="64"/>
      <c r="F176" s="1100">
        <v>1</v>
      </c>
      <c r="G176" s="575" t="s">
        <v>397</v>
      </c>
      <c r="H176" s="575" t="s">
        <v>397</v>
      </c>
      <c r="I176" s="575" t="s">
        <v>397</v>
      </c>
      <c r="J176" s="575" t="s">
        <v>397</v>
      </c>
      <c r="K176" s="15"/>
      <c r="L176" s="15"/>
      <c r="M176" s="15"/>
      <c r="N176" s="15"/>
      <c r="O176" s="15"/>
      <c r="P176" s="15"/>
      <c r="Q176" s="15"/>
      <c r="R176" s="15"/>
      <c r="S176" s="15"/>
      <c r="T176" s="15"/>
      <c r="U176" s="15"/>
      <c r="V176" s="15"/>
      <c r="W176" s="619">
        <f t="shared" si="11"/>
        <v>0</v>
      </c>
      <c r="X176" s="620">
        <f t="shared" si="14"/>
        <v>0</v>
      </c>
      <c r="Y176" s="621">
        <f t="shared" si="12"/>
        <v>0</v>
      </c>
      <c r="Z176" s="618">
        <f t="shared" si="13"/>
        <v>0</v>
      </c>
    </row>
    <row r="177" spans="1:26" x14ac:dyDescent="0.2">
      <c r="A177" s="35">
        <f>COUNT(A9:A176)</f>
        <v>168</v>
      </c>
      <c r="B177" s="36" t="s">
        <v>101</v>
      </c>
      <c r="C177" s="37"/>
      <c r="D177" s="37"/>
      <c r="E177" s="37"/>
      <c r="F177" s="38">
        <f>COUNTIF(F9:F176,"&gt;=0")</f>
        <v>88</v>
      </c>
      <c r="G177" s="75">
        <f t="shared" ref="G177:V177" si="15">COUNTIF(G9:G176,"&gt;=0")+COUNTIF(G9:G176,"=v")+COUNTIF(G9:G176,"=w")</f>
        <v>28</v>
      </c>
      <c r="H177" s="75">
        <f t="shared" si="15"/>
        <v>26</v>
      </c>
      <c r="I177" s="75">
        <f t="shared" si="15"/>
        <v>41</v>
      </c>
      <c r="J177" s="75">
        <f t="shared" si="15"/>
        <v>31</v>
      </c>
      <c r="K177" s="75">
        <f t="shared" si="15"/>
        <v>56</v>
      </c>
      <c r="L177" s="75">
        <f t="shared" si="15"/>
        <v>54</v>
      </c>
      <c r="M177" s="75">
        <f t="shared" si="15"/>
        <v>30</v>
      </c>
      <c r="N177" s="75">
        <f t="shared" si="15"/>
        <v>34</v>
      </c>
      <c r="O177" s="75">
        <f t="shared" si="15"/>
        <v>31</v>
      </c>
      <c r="P177" s="75">
        <f t="shared" si="15"/>
        <v>50</v>
      </c>
      <c r="Q177" s="75">
        <f t="shared" si="15"/>
        <v>35</v>
      </c>
      <c r="R177" s="75">
        <f t="shared" si="15"/>
        <v>37</v>
      </c>
      <c r="S177" s="75">
        <f t="shared" si="15"/>
        <v>25</v>
      </c>
      <c r="T177" s="75">
        <f t="shared" si="15"/>
        <v>53</v>
      </c>
      <c r="U177" s="75">
        <f t="shared" si="15"/>
        <v>30</v>
      </c>
      <c r="V177" s="75">
        <f t="shared" si="15"/>
        <v>32</v>
      </c>
      <c r="W177" s="37"/>
      <c r="X177" s="39">
        <f>SUM(X9:X176)</f>
        <v>123</v>
      </c>
      <c r="Y177" s="39">
        <f>SUM(Y9:Y176)</f>
        <v>39</v>
      </c>
      <c r="Z177" s="40">
        <f>SUM(Z9:Z176)</f>
        <v>14</v>
      </c>
    </row>
    <row r="178" spans="1:26" x14ac:dyDescent="0.2">
      <c r="A178" s="41"/>
      <c r="B178" s="42" t="s">
        <v>102</v>
      </c>
      <c r="C178" s="43"/>
      <c r="D178" s="11"/>
      <c r="E178" s="11"/>
      <c r="F178" s="11"/>
      <c r="G178" s="72">
        <f>IF((G177/(LEN(G7)-LEN(SUBSTITUTE(G7,"*","")))-0.5)&lt;0,"",G177/(LEN(G7)-LEN(SUBSTITUTE(G7,"*","")))-0.5)</f>
        <v>8.8333333333333339</v>
      </c>
      <c r="H178" s="72">
        <f>IF((H177/(LEN(H7)-LEN(SUBSTITUTE(H7,"*","")))-0.5)&lt;0,"",H177/(LEN(H7)-LEN(SUBSTITUTE(H7,"*","")))-0.5)</f>
        <v>12.5</v>
      </c>
      <c r="I178" s="72"/>
      <c r="J178" s="72">
        <f>IF((J177/(LEN(J7)-LEN(SUBSTITUTE(J7,"*","")))-0.5)&lt;0,"",J177/(LEN(J7)-LEN(SUBSTITUTE(J7,"*","")))-0.5)</f>
        <v>9.8333333333333339</v>
      </c>
      <c r="K178" s="72">
        <f>IF((K177/(LEN(K7)-LEN(SUBSTITUTE(K7,"*","")))-0.5)&lt;0,"",K177/(LEN(K7)-LEN(SUBSTITUTE(K7,"*","")))-0.5)</f>
        <v>27.5</v>
      </c>
      <c r="L178" s="72">
        <v>17</v>
      </c>
      <c r="M178" s="72">
        <f t="shared" ref="M178:R178" si="16">IF((M177/(LEN(M7)-LEN(SUBSTITUTE(M7,"*","")))-0.5)&lt;0,"",M177/(LEN(M7)-LEN(SUBSTITUTE(M7,"*","")))-0.5)</f>
        <v>9.5</v>
      </c>
      <c r="N178" s="72">
        <f t="shared" si="16"/>
        <v>16.5</v>
      </c>
      <c r="O178" s="72">
        <f t="shared" si="16"/>
        <v>15</v>
      </c>
      <c r="P178" s="72">
        <f t="shared" si="16"/>
        <v>16.166666666666668</v>
      </c>
      <c r="Q178" s="72">
        <f t="shared" si="16"/>
        <v>17</v>
      </c>
      <c r="R178" s="72">
        <f t="shared" si="16"/>
        <v>11.833333333333334</v>
      </c>
      <c r="S178" s="72"/>
      <c r="T178" s="72">
        <f>IF((T177/(LEN(T7)-LEN(SUBSTITUTE(T7,"*","")))-0.5)&lt;0,"",T177/(LEN(T7)-LEN(SUBSTITUTE(T7,"*","")))-0.5)</f>
        <v>26</v>
      </c>
      <c r="U178" s="72">
        <f>IF((U177/(LEN(U7)-LEN(SUBSTITUTE(U7,"*","")))-0.5)&lt;0,"",U177/(LEN(U7)-LEN(SUBSTITUTE(U7,"*","")))-0.5)</f>
        <v>9.5</v>
      </c>
      <c r="V178" s="72">
        <f>IF((V177/(LEN(V7)-LEN(SUBSTITUTE(V7,"*","")))-0.5)&lt;0,"",V177/(LEN(V7)-LEN(SUBSTITUTE(V7,"*","")))-0.5)</f>
        <v>15.5</v>
      </c>
      <c r="W178" s="41"/>
      <c r="X178" s="41"/>
      <c r="Y178" s="41"/>
      <c r="Z178" s="41"/>
    </row>
  </sheetData>
  <autoFilter ref="A8:Z8"/>
  <conditionalFormatting sqref="V9 V11:V12 T9:T176 G9:H176 N9:N176 J9:L176 P9:P176 R9:R176 V16:V176">
    <cfRule type="cellIs" dxfId="80" priority="39" stopIfTrue="1" operator="equal">
      <formula>97</formula>
    </cfRule>
    <cfRule type="cellIs" dxfId="79" priority="40" stopIfTrue="1" operator="equal">
      <formula>105</formula>
    </cfRule>
    <cfRule type="cellIs" dxfId="78" priority="41" stopIfTrue="1" operator="equal">
      <formula>115</formula>
    </cfRule>
  </conditionalFormatting>
  <conditionalFormatting sqref="U9 U11:U12 I9:I176 S9:S176 Q9:Q176 M9:M176 O9:O176 U16:U176">
    <cfRule type="cellIs" dxfId="77" priority="36" stopIfTrue="1" operator="equal">
      <formula>146</formula>
    </cfRule>
    <cfRule type="cellIs" dxfId="76" priority="37" stopIfTrue="1" operator="equal">
      <formula>158</formula>
    </cfRule>
    <cfRule type="cellIs" dxfId="75" priority="38" stopIfTrue="1" operator="equal">
      <formula>173</formula>
    </cfRule>
  </conditionalFormatting>
  <conditionalFormatting sqref="I9:I176 S9:S176">
    <cfRule type="cellIs" dxfId="74" priority="33" stopIfTrue="1" operator="equal">
      <formula>83</formula>
    </cfRule>
    <cfRule type="cellIs" dxfId="73" priority="34" stopIfTrue="1" operator="equal">
      <formula>93</formula>
    </cfRule>
    <cfRule type="cellIs" dxfId="72" priority="35" stopIfTrue="1" operator="equal">
      <formula>105</formula>
    </cfRule>
  </conditionalFormatting>
  <conditionalFormatting sqref="V14">
    <cfRule type="cellIs" dxfId="71" priority="25" stopIfTrue="1" operator="equal">
      <formula>97</formula>
    </cfRule>
    <cfRule type="cellIs" dxfId="70" priority="26" stopIfTrue="1" operator="equal">
      <formula>105</formula>
    </cfRule>
    <cfRule type="cellIs" dxfId="69" priority="27" stopIfTrue="1" operator="equal">
      <formula>115</formula>
    </cfRule>
  </conditionalFormatting>
  <conditionalFormatting sqref="U14">
    <cfRule type="cellIs" dxfId="68" priority="22" stopIfTrue="1" operator="equal">
      <formula>146</formula>
    </cfRule>
    <cfRule type="cellIs" dxfId="67" priority="23" stopIfTrue="1" operator="equal">
      <formula>158</formula>
    </cfRule>
    <cfRule type="cellIs" dxfId="66" priority="24" stopIfTrue="1" operator="equal">
      <formula>173</formula>
    </cfRule>
  </conditionalFormatting>
  <conditionalFormatting sqref="V13">
    <cfRule type="cellIs" dxfId="65" priority="19" stopIfTrue="1" operator="equal">
      <formula>97</formula>
    </cfRule>
    <cfRule type="cellIs" dxfId="64" priority="20" stopIfTrue="1" operator="equal">
      <formula>105</formula>
    </cfRule>
    <cfRule type="cellIs" dxfId="63" priority="21" stopIfTrue="1" operator="equal">
      <formula>115</formula>
    </cfRule>
  </conditionalFormatting>
  <conditionalFormatting sqref="U13">
    <cfRule type="cellIs" dxfId="62" priority="16" stopIfTrue="1" operator="equal">
      <formula>146</formula>
    </cfRule>
    <cfRule type="cellIs" dxfId="61" priority="17" stopIfTrue="1" operator="equal">
      <formula>158</formula>
    </cfRule>
    <cfRule type="cellIs" dxfId="60" priority="18" stopIfTrue="1" operator="equal">
      <formula>173</formula>
    </cfRule>
  </conditionalFormatting>
  <conditionalFormatting sqref="V15">
    <cfRule type="cellIs" dxfId="59" priority="13" stopIfTrue="1" operator="equal">
      <formula>97</formula>
    </cfRule>
    <cfRule type="cellIs" dxfId="58" priority="14" stopIfTrue="1" operator="equal">
      <formula>105</formula>
    </cfRule>
    <cfRule type="cellIs" dxfId="57" priority="15" stopIfTrue="1" operator="equal">
      <formula>115</formula>
    </cfRule>
  </conditionalFormatting>
  <conditionalFormatting sqref="U15">
    <cfRule type="cellIs" dxfId="56" priority="10" stopIfTrue="1" operator="equal">
      <formula>146</formula>
    </cfRule>
    <cfRule type="cellIs" dxfId="55" priority="11" stopIfTrue="1" operator="equal">
      <formula>158</formula>
    </cfRule>
    <cfRule type="cellIs" dxfId="54" priority="12" stopIfTrue="1" operator="equal">
      <formula>173</formula>
    </cfRule>
  </conditionalFormatting>
  <conditionalFormatting sqref="V10">
    <cfRule type="cellIs" dxfId="53" priority="7" stopIfTrue="1" operator="equal">
      <formula>97</formula>
    </cfRule>
    <cfRule type="cellIs" dxfId="52" priority="8" stopIfTrue="1" operator="equal">
      <formula>105</formula>
    </cfRule>
    <cfRule type="cellIs" dxfId="51" priority="9" stopIfTrue="1" operator="equal">
      <formula>115</formula>
    </cfRule>
  </conditionalFormatting>
  <conditionalFormatting sqref="U10">
    <cfRule type="cellIs" dxfId="50" priority="4" stopIfTrue="1" operator="equal">
      <formula>146</formula>
    </cfRule>
    <cfRule type="cellIs" dxfId="49" priority="5" stopIfTrue="1" operator="equal">
      <formula>158</formula>
    </cfRule>
    <cfRule type="cellIs" dxfId="48" priority="6" stopIfTrue="1" operator="equal">
      <formula>173</formula>
    </cfRule>
  </conditionalFormatting>
  <conditionalFormatting sqref="B141:B167 B169:B176 B9:B139">
    <cfRule type="duplicateValues" dxfId="47" priority="43" stopIfTrue="1"/>
  </conditionalFormatting>
  <conditionalFormatting sqref="W9:W176">
    <cfRule type="top10" dxfId="46" priority="45" stopIfTrue="1" rank="1"/>
  </conditionalFormatting>
  <conditionalFormatting sqref="X9:X176">
    <cfRule type="top10" dxfId="45" priority="46" stopIfTrue="1" rank="1"/>
  </conditionalFormatting>
  <conditionalFormatting sqref="Y9:Y176">
    <cfRule type="top10" dxfId="44" priority="47" stopIfTrue="1" rank="1"/>
  </conditionalFormatting>
  <conditionalFormatting sqref="Z9:Z176">
    <cfRule type="top10" dxfId="43" priority="48" stopIfTrue="1" rank="1"/>
  </conditionalFormatting>
  <conditionalFormatting sqref="G177:V177">
    <cfRule type="top10" dxfId="42" priority="12391" stopIfTrue="1" rank="1"/>
  </conditionalFormatting>
  <conditionalFormatting sqref="C9:C176">
    <cfRule type="duplicateValues" dxfId="41" priority="2"/>
  </conditionalFormatting>
  <conditionalFormatting sqref="A9:A176">
    <cfRule type="duplicateValues" dxfId="0" priority="1"/>
  </conditionalFormatting>
  <printOptions horizontalCentered="1"/>
  <pageMargins left="0.39370078740157483" right="0.39370078740157483" top="0.74803149606299213" bottom="0.27559055118110237" header="0.55118110236220474" footer="0"/>
  <pageSetup paperSize="9" fitToHeight="0" orientation="landscape" r:id="rId1"/>
  <headerFooter>
    <oddHeader>&amp;R&amp;"Arial,Regular"&amp;9Page &amp;P of &amp;N</oddHeader>
  </headerFooter>
  <ignoredErrors>
    <ignoredError sqref="W11:Z118"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Z128"/>
  <sheetViews>
    <sheetView showGridLines="0" showRowColHeaders="0" zoomScaleNormal="100" workbookViewId="0">
      <pane xSplit="5" ySplit="8" topLeftCell="F9" activePane="bottomRight" state="frozen"/>
      <selection activeCell="T1" sqref="T1"/>
      <selection pane="topRight" activeCell="T1" sqref="T1"/>
      <selection pane="bottomLeft" activeCell="T1" sqref="T1"/>
      <selection pane="bottomRight" activeCell="I1" sqref="I1"/>
    </sheetView>
  </sheetViews>
  <sheetFormatPr defaultRowHeight="12.75" x14ac:dyDescent="0.2"/>
  <cols>
    <col min="1" max="1" width="6" style="4" customWidth="1"/>
    <col min="2" max="2" width="19.85546875" style="4" customWidth="1"/>
    <col min="3" max="3" width="7" style="2" bestFit="1" customWidth="1"/>
    <col min="4" max="4" width="2.28515625" style="4" hidden="1" customWidth="1"/>
    <col min="5" max="5" width="1.85546875" style="4" hidden="1" customWidth="1"/>
    <col min="6" max="6" width="4.85546875" style="4" bestFit="1" customWidth="1"/>
    <col min="7" max="12" width="5.42578125" style="3" customWidth="1"/>
    <col min="13" max="14" width="5.42578125" style="4" customWidth="1"/>
    <col min="15" max="16" width="5.42578125" style="3" customWidth="1"/>
    <col min="17" max="22" width="5.42578125" style="4" customWidth="1"/>
    <col min="23" max="23" width="3" style="4" customWidth="1"/>
    <col min="24" max="24" width="3.85546875" style="4" customWidth="1"/>
    <col min="25" max="25" width="3.42578125" style="4" customWidth="1"/>
    <col min="26" max="26" width="5" style="4" customWidth="1"/>
    <col min="27" max="16384" width="9.140625" style="4"/>
  </cols>
  <sheetData>
    <row r="1" spans="1:26" x14ac:dyDescent="0.2">
      <c r="B1" s="1" t="s">
        <v>0</v>
      </c>
      <c r="C1" s="1"/>
      <c r="D1" s="2"/>
      <c r="E1" s="2"/>
      <c r="F1" s="2"/>
      <c r="J1" s="4"/>
      <c r="M1" s="165" t="s">
        <v>1</v>
      </c>
      <c r="N1" s="158"/>
      <c r="O1" s="159" t="s">
        <v>1075</v>
      </c>
      <c r="P1" s="160"/>
      <c r="Q1" s="161" t="s">
        <v>1076</v>
      </c>
      <c r="R1" s="158"/>
      <c r="S1" s="162" t="s">
        <v>1077</v>
      </c>
      <c r="T1" s="163"/>
      <c r="U1" s="164"/>
      <c r="V1" s="854" t="s">
        <v>1078</v>
      </c>
      <c r="W1" s="6"/>
      <c r="X1" s="7" t="s">
        <v>4</v>
      </c>
      <c r="Y1" s="7"/>
    </row>
    <row r="2" spans="1:26" x14ac:dyDescent="0.2">
      <c r="B2" s="8" t="s">
        <v>1066</v>
      </c>
      <c r="C2" s="1"/>
      <c r="D2" s="2"/>
      <c r="E2" s="2"/>
      <c r="F2" s="2"/>
      <c r="G2" s="9"/>
      <c r="H2" s="9"/>
      <c r="I2" s="9"/>
      <c r="J2" s="10"/>
      <c r="K2" s="10"/>
      <c r="L2" s="10"/>
      <c r="M2" s="2"/>
      <c r="N2" s="2"/>
      <c r="O2" s="1093" t="s">
        <v>1214</v>
      </c>
      <c r="P2" s="1094"/>
      <c r="Q2" s="1094"/>
      <c r="R2" s="1095"/>
      <c r="S2" s="1094"/>
      <c r="T2" s="1094"/>
      <c r="U2" s="1094"/>
      <c r="V2" s="1096"/>
      <c r="W2" s="6"/>
      <c r="X2" s="11" t="s">
        <v>6</v>
      </c>
      <c r="Y2" s="11"/>
    </row>
    <row r="3" spans="1:26" x14ac:dyDescent="0.2">
      <c r="A3" s="2"/>
      <c r="B3" s="399" t="s">
        <v>900</v>
      </c>
      <c r="C3" s="874"/>
      <c r="D3" s="875"/>
      <c r="E3" s="876"/>
      <c r="F3" s="876"/>
      <c r="G3" s="10"/>
      <c r="H3" s="10"/>
      <c r="I3" s="10"/>
      <c r="J3" s="10"/>
      <c r="K3" s="10"/>
      <c r="L3" s="10"/>
      <c r="M3" s="2"/>
      <c r="N3" s="2"/>
      <c r="O3" s="10"/>
      <c r="P3" s="10"/>
      <c r="Q3" s="2"/>
      <c r="R3" s="2"/>
      <c r="S3" s="2"/>
      <c r="T3" s="2"/>
      <c r="U3" s="2"/>
      <c r="V3" s="2"/>
      <c r="W3" s="6"/>
      <c r="X3" s="12" t="s">
        <v>7</v>
      </c>
      <c r="Y3" s="12"/>
    </row>
    <row r="4" spans="1:26" x14ac:dyDescent="0.2">
      <c r="A4" s="601" t="s">
        <v>8</v>
      </c>
      <c r="B4" s="14"/>
      <c r="C4" s="15" t="s">
        <v>8</v>
      </c>
      <c r="D4" s="15"/>
      <c r="E4" s="15"/>
      <c r="F4" s="1097" t="s">
        <v>8</v>
      </c>
      <c r="G4" s="46" t="str">
        <f>HYPERLINK("http://kaart.delfi.ee//?bookmark=02a763eb5e2ccd81dd84675ce47ef3f0","Jüri")</f>
        <v>Jüri</v>
      </c>
      <c r="H4" s="46" t="str">
        <f>HYPERLINK("http://kaart.delfi.ee//?bookmark=02a763eb5e2ccd81dd84675ce47ef3f0","Jüri")</f>
        <v>Jüri</v>
      </c>
      <c r="I4" s="140" t="str">
        <f>HYPERLINK("http://kaart.delfi.ee/?bookmark=fe8345aadbbb857f009aae03c00eea11","Tallinn")</f>
        <v>Tallinn</v>
      </c>
      <c r="J4" s="46" t="str">
        <f>HYPERLINK("http://kaart.delfi.ee//?bookmark=36ee67ba7cba151859305c222805d114","Saku")</f>
        <v>Saku</v>
      </c>
      <c r="K4" s="50" t="str">
        <f>HYPERLINK("http://kaart.delfi.ee/?bookmark=a13a9530590da153a95a150c883f6040","Viljandi")</f>
        <v>Viljandi</v>
      </c>
      <c r="L4" s="50" t="str">
        <f>HYPERLINK("http://kaart.delfi.ee/?bookmark=a13a9530590da153a95a150c883f6040","Viljandi")</f>
        <v>Viljandi</v>
      </c>
      <c r="M4" s="513" t="s">
        <v>785</v>
      </c>
      <c r="N4" s="601" t="s">
        <v>785</v>
      </c>
      <c r="O4" s="47" t="str">
        <f>HYPERLINK("http://kaart.delfi.ee/?bookmark=037591353bf9698628b723dab6c5e799","Valga")</f>
        <v>Valga</v>
      </c>
      <c r="P4" s="50" t="str">
        <f>HYPERLINK("http://kaart.delfi.ee/?bookmark=037591353bf9698628b723dab6c5e799","Valga")</f>
        <v>Valga</v>
      </c>
      <c r="Q4" s="47" t="str">
        <f>HYPERLINK("http://kaart.delfi.ee/?bookmark=0eb4bf4e7fb4b30009b7d7543818abd1","Kärdla")</f>
        <v>Kärdla</v>
      </c>
      <c r="R4" s="50" t="str">
        <f>HYPERLINK("http://kaart.delfi.ee/?bookmark=0eb4bf4e7fb4b30009b7d7543818abd1","Kärdla")</f>
        <v>Kärdla</v>
      </c>
      <c r="S4" s="51" t="s">
        <v>9</v>
      </c>
      <c r="T4" s="601" t="s">
        <v>785</v>
      </c>
      <c r="U4" s="47" t="str">
        <f>HYPERLINK("http://kaart.delfi.ee/?bookmark=521b80d6ceeefbe3e5d227267242b576","K-Järve")</f>
        <v>K-Järve</v>
      </c>
      <c r="V4" s="46" t="str">
        <f>HYPERLINK("http://kaart.delfi.ee/?bookmark=521b80d6ceeefbe3e5d227267242b576","K-Järve")</f>
        <v>K-Järve</v>
      </c>
      <c r="W4" s="16" t="s">
        <v>10</v>
      </c>
      <c r="X4" s="17"/>
      <c r="Y4" s="18"/>
      <c r="Z4" s="19"/>
    </row>
    <row r="5" spans="1:26" ht="13.5" thickBot="1" x14ac:dyDescent="0.25">
      <c r="A5" s="601" t="s">
        <v>8</v>
      </c>
      <c r="B5" s="56" t="s">
        <v>1072</v>
      </c>
      <c r="C5" s="15" t="s">
        <v>8</v>
      </c>
      <c r="D5" s="15"/>
      <c r="E5" s="15"/>
      <c r="F5" s="1098" t="s">
        <v>11</v>
      </c>
      <c r="G5" s="333" t="s">
        <v>3</v>
      </c>
      <c r="H5" s="333" t="s">
        <v>1067</v>
      </c>
      <c r="I5" s="848" t="s">
        <v>2</v>
      </c>
      <c r="J5" s="849" t="s">
        <v>3</v>
      </c>
      <c r="K5" s="333" t="s">
        <v>3</v>
      </c>
      <c r="L5" s="333" t="s">
        <v>1068</v>
      </c>
      <c r="M5" s="848" t="s">
        <v>2</v>
      </c>
      <c r="N5" s="849" t="s">
        <v>3</v>
      </c>
      <c r="O5" s="626" t="s">
        <v>2</v>
      </c>
      <c r="P5" s="333" t="s">
        <v>3</v>
      </c>
      <c r="Q5" s="848" t="s">
        <v>2</v>
      </c>
      <c r="R5" s="849" t="s">
        <v>3</v>
      </c>
      <c r="S5" s="626" t="s">
        <v>2</v>
      </c>
      <c r="T5" s="849" t="s">
        <v>3</v>
      </c>
      <c r="U5" s="626" t="s">
        <v>2</v>
      </c>
      <c r="V5" s="333" t="s">
        <v>1069</v>
      </c>
      <c r="W5" s="20" t="s">
        <v>8</v>
      </c>
      <c r="X5" s="16" t="s">
        <v>12</v>
      </c>
      <c r="Y5" s="18"/>
      <c r="Z5" s="21" t="s">
        <v>13</v>
      </c>
    </row>
    <row r="6" spans="1:26" x14ac:dyDescent="0.2">
      <c r="A6" s="67"/>
      <c r="B6" s="15" t="s">
        <v>8</v>
      </c>
      <c r="C6" s="15" t="s">
        <v>8</v>
      </c>
      <c r="D6" s="15"/>
      <c r="E6" s="15"/>
      <c r="F6" s="1098" t="s">
        <v>14</v>
      </c>
      <c r="G6" s="290" t="str">
        <f>HYPERLINK("http://www.petanque.ee/index.php?id=103738&amp;cid=416",MID(Kalend!A6,4,5))</f>
        <v>07.05</v>
      </c>
      <c r="H6" s="290" t="str">
        <f>HYPERLINK("http://www.petanque.ee/index.php?id=103738&amp;cid=417",MID(Kalend!A7,4,5))</f>
        <v>08.05</v>
      </c>
      <c r="I6" s="850" t="str">
        <f>HYPERLINK("http://www.petanque.ee/index.php?id=103738&amp;cid=420",MID(Kalend!A9,4,5))</f>
        <v>21.05</v>
      </c>
      <c r="J6" s="851" t="str">
        <f>HYPERLINK("http://www.petanque.ee/index.php?id=103738&amp;cid=421",MID(Kalend!A10,4,5))</f>
        <v>22.05</v>
      </c>
      <c r="K6" s="290" t="str">
        <f>HYPERLINK("http://www.petanque.ee/index.php?id=103738&amp;cid=423",MID(Kalend!A14,4,5))</f>
        <v>04.06</v>
      </c>
      <c r="L6" s="290" t="str">
        <f>HYPERLINK("http://www.petanque.ee/index.php?id=103738&amp;cid=424",MID(Kalend!A15,4,5))</f>
        <v>05.06</v>
      </c>
      <c r="M6" s="850" t="str">
        <f>HYPERLINK("http://www.petanque.ee/index.php?id=103738&amp;cid=427",MID(Kalend!A19,4,5))</f>
        <v>18.06</v>
      </c>
      <c r="N6" s="851" t="str">
        <f>HYPERLINK("http://www.petanque.ee/index.php?id=103738&amp;cid=428",MID(Kalend!A20,4,5))</f>
        <v>19.06</v>
      </c>
      <c r="O6" s="48" t="str">
        <f>HYPERLINK("http://www.petanque.ee/index.php?id=103738&amp;cid=432",MID(Kalend!A23,4,5))</f>
        <v>09.07</v>
      </c>
      <c r="P6" s="290" t="str">
        <f>HYPERLINK("http://www.petanque.ee/index.php?id=103738&amp;cid=433",MID(Kalend!A24,4,5))</f>
        <v>10.07</v>
      </c>
      <c r="Q6" s="850" t="str">
        <f>HYPERLINK("http://www.petanque.ee/index.php?id=103738&amp;cid=434",MID(Kalend!A25,4,5))</f>
        <v>16.07</v>
      </c>
      <c r="R6" s="851" t="str">
        <f>HYPERLINK("http://www.petanque.ee/index.php?id=103738&amp;cid=435",MID(Kalend!A26,4,5))</f>
        <v>17.07</v>
      </c>
      <c r="S6" s="48" t="str">
        <f>HYPERLINK("http://www.petanque.ee/index.php?id=103738&amp;cid=437",MID(Kalend!A27,4,5))</f>
        <v>24.07</v>
      </c>
      <c r="T6" s="851" t="str">
        <f>HYPERLINK("http://www.petanque.ee/index.php?id=103738&amp;cid=442",MID(Kalend!A30,4,5))</f>
        <v>07.08</v>
      </c>
      <c r="U6" s="846" t="str">
        <f>HYPERLINK("http://www.petanque.ee/index.php?id=103738&amp;cid=443",MID(Kalend!A31,4,5))</f>
        <v>13.08</v>
      </c>
      <c r="V6" s="847" t="str">
        <f>HYPERLINK("http://www.petanque.ee/index.php?id=103738&amp;cid=444",MID(Kalend!A32,4,5))</f>
        <v>14.08</v>
      </c>
      <c r="W6" s="23"/>
      <c r="X6" s="20" t="s">
        <v>15</v>
      </c>
      <c r="Y6" s="24" t="s">
        <v>16</v>
      </c>
      <c r="Z6" s="21" t="s">
        <v>17</v>
      </c>
    </row>
    <row r="7" spans="1:26" x14ac:dyDescent="0.2">
      <c r="A7" s="872" t="s">
        <v>28</v>
      </c>
      <c r="B7" s="15" t="s">
        <v>8</v>
      </c>
      <c r="C7" s="871" t="s">
        <v>30</v>
      </c>
      <c r="D7" s="73" t="s">
        <v>31</v>
      </c>
      <c r="E7" s="73" t="s">
        <v>32</v>
      </c>
      <c r="F7" s="1098" t="s">
        <v>18</v>
      </c>
      <c r="G7" s="25" t="s">
        <v>19</v>
      </c>
      <c r="H7" s="25" t="s">
        <v>20</v>
      </c>
      <c r="I7" s="805" t="s">
        <v>21</v>
      </c>
      <c r="J7" s="806" t="s">
        <v>19</v>
      </c>
      <c r="K7" s="25" t="s">
        <v>20</v>
      </c>
      <c r="L7" s="25" t="s">
        <v>19</v>
      </c>
      <c r="M7" s="805" t="s">
        <v>22</v>
      </c>
      <c r="N7" s="806" t="s">
        <v>20</v>
      </c>
      <c r="O7" s="26" t="s">
        <v>23</v>
      </c>
      <c r="P7" s="25" t="s">
        <v>19</v>
      </c>
      <c r="Q7" s="807" t="s">
        <v>20</v>
      </c>
      <c r="R7" s="806" t="s">
        <v>19</v>
      </c>
      <c r="S7" s="26" t="s">
        <v>24</v>
      </c>
      <c r="T7" s="806" t="s">
        <v>20</v>
      </c>
      <c r="U7" s="26" t="s">
        <v>19</v>
      </c>
      <c r="V7" s="25" t="s">
        <v>20</v>
      </c>
      <c r="W7" s="23"/>
      <c r="X7" s="20"/>
      <c r="Y7" s="20" t="s">
        <v>25</v>
      </c>
      <c r="Z7" s="21" t="s">
        <v>26</v>
      </c>
    </row>
    <row r="8" spans="1:26" x14ac:dyDescent="0.2">
      <c r="A8" s="872"/>
      <c r="B8" s="14" t="s">
        <v>29</v>
      </c>
      <c r="C8" s="871"/>
      <c r="D8" s="73"/>
      <c r="E8" s="73"/>
      <c r="F8" s="1099" t="s">
        <v>8</v>
      </c>
      <c r="G8" s="628" t="str">
        <f>HYPERLINK("#1!G1"," 1 ")</f>
        <v xml:space="preserve"> 1 </v>
      </c>
      <c r="H8" s="628" t="str">
        <f>HYPERLINK("#2!I1"," 2 ")</f>
        <v xml:space="preserve"> 2 </v>
      </c>
      <c r="I8" s="627" t="str">
        <f>HYPERLINK("#3 M!H1"," 3 ")</f>
        <v xml:space="preserve"> 3 </v>
      </c>
      <c r="J8" s="628" t="str">
        <f>HYPERLINK("#4!G1"," 4 ")</f>
        <v xml:space="preserve"> 4 </v>
      </c>
      <c r="K8" s="628" t="str">
        <f>HYPERLINK("#5!G1"," 5 ")</f>
        <v xml:space="preserve"> 5 </v>
      </c>
      <c r="L8" s="628" t="str">
        <f>HYPERLINK("#6!G1"," 6 ")</f>
        <v xml:space="preserve"> 6 </v>
      </c>
      <c r="M8" s="627" t="str">
        <f>HYPERLINK("#7!G1"," 7 ")</f>
        <v xml:space="preserve"> 7 </v>
      </c>
      <c r="N8" s="628" t="str">
        <f>HYPERLINK("#8!G1"," 8 ")</f>
        <v xml:space="preserve"> 8 </v>
      </c>
      <c r="O8" s="627" t="str">
        <f>HYPERLINK("#9!G1"," 9 ")</f>
        <v xml:space="preserve"> 9 </v>
      </c>
      <c r="P8" s="45" t="str">
        <f>HYPERLINK("#10!G1","10 ")</f>
        <v xml:space="preserve">10 </v>
      </c>
      <c r="Q8" s="627" t="str">
        <f>HYPERLINK("#11!G1","11 ")</f>
        <v xml:space="preserve">11 </v>
      </c>
      <c r="R8" s="628" t="str">
        <f>HYPERLINK("#12!G1","12 ")</f>
        <v xml:space="preserve">12 </v>
      </c>
      <c r="S8" s="48" t="str">
        <f>HYPERLINK("#13 M!G1","13 ")</f>
        <v xml:space="preserve">13 </v>
      </c>
      <c r="T8" s="628" t="str">
        <f>HYPERLINK("#14!G1","14 ")</f>
        <v xml:space="preserve">14 </v>
      </c>
      <c r="U8" s="627" t="str">
        <f>HYPERLINK("#15!G1","15 ")</f>
        <v xml:space="preserve">15 </v>
      </c>
      <c r="V8" s="628" t="str">
        <f>HYPERLINK("#16!G1","16 ")</f>
        <v xml:space="preserve">16 </v>
      </c>
      <c r="W8" s="28"/>
      <c r="X8" s="29"/>
      <c r="Y8" s="29"/>
      <c r="Z8" s="30"/>
    </row>
    <row r="9" spans="1:26" x14ac:dyDescent="0.2">
      <c r="A9" s="139">
        <v>1</v>
      </c>
      <c r="B9" s="813" t="s">
        <v>36</v>
      </c>
      <c r="C9" s="139">
        <v>1426</v>
      </c>
      <c r="D9" s="64"/>
      <c r="E9" s="64"/>
      <c r="F9" s="1100">
        <v>31</v>
      </c>
      <c r="G9" s="575" t="s">
        <v>397</v>
      </c>
      <c r="H9" s="575" t="s">
        <v>397</v>
      </c>
      <c r="I9" s="575">
        <v>65</v>
      </c>
      <c r="J9" s="575" t="s">
        <v>397</v>
      </c>
      <c r="K9" s="15">
        <v>79</v>
      </c>
      <c r="L9" s="15">
        <v>74</v>
      </c>
      <c r="M9" s="32">
        <v>158</v>
      </c>
      <c r="N9" s="15">
        <v>115</v>
      </c>
      <c r="O9" s="15">
        <v>126</v>
      </c>
      <c r="P9" s="15">
        <v>115</v>
      </c>
      <c r="Q9" s="15">
        <v>78</v>
      </c>
      <c r="R9" s="15">
        <v>84</v>
      </c>
      <c r="S9" s="15">
        <v>173</v>
      </c>
      <c r="T9" s="15">
        <v>115</v>
      </c>
      <c r="U9" s="15">
        <v>173</v>
      </c>
      <c r="V9" s="15">
        <v>105</v>
      </c>
      <c r="W9" s="636">
        <f>COUNTIF(G9:V9,"&gt;=0")</f>
        <v>13</v>
      </c>
      <c r="X9" s="439">
        <f t="shared" ref="X9:X40" si="0">COUNTIF(G9:H9,"&gt;=97")+COUNTIF(J9:L9,"&gt;=97")+COUNTIF(N9,"&gt;=97")+COUNTIF(P9,"&gt;=97")+COUNTIF(R9,"&gt;=97")+COUNTIF(T9,"&gt;=97")+COUNTIF(V9,"&gt;=97")+COUNTIF(I9,"&gt;=146")+COUNTIF(M9,"&gt;=146")+COUNTIF(O9,"&gt;=146")+COUNTIF(Q9,"&gt;=146")+COUNTIF(S9,"&gt;=146")+COUNTIF(U9,"&gt;=146")+IF((D9="n"),(COUNTIF(I9,"=83")+COUNTIF(I9,"=93")+COUNTIF(I9,"=105")+COUNTIF(S9,"=83")+COUNTIF(S9,"=93")+COUNTIF(S9,"=105")))+IF((E9="j"),(COUNTIF(I9,"=33")+COUNTIF(I9,"=42")+COUNTIF(I9,"=53")+COUNTIF(S9,"=33")+COUNTIF(S9,"=42")+COUNTIF(S9,"=53")))</f>
        <v>7</v>
      </c>
      <c r="Y9" s="510">
        <f t="shared" ref="Y9:Y40" si="1">COUNTIF(G9:H9,"=115")+COUNTIF(J9:L9,"=115")+COUNTIF(N9,"=115")+COUNTIF(P9,"=115")+COUNTIF(R9,"=115")+COUNTIF(T9,"=115")+COUNTIF(V9,"=115")+COUNTIF(G9:V9,"=173")</f>
        <v>5</v>
      </c>
      <c r="Z9" s="511">
        <f t="shared" ref="Z9:Z40" si="2">COUNTIF(G9:V9,"=173")</f>
        <v>2</v>
      </c>
    </row>
    <row r="10" spans="1:26" x14ac:dyDescent="0.2">
      <c r="A10" s="139">
        <v>2</v>
      </c>
      <c r="B10" s="814" t="s">
        <v>41</v>
      </c>
      <c r="C10" s="870">
        <v>1418</v>
      </c>
      <c r="D10" s="64"/>
      <c r="E10" s="64"/>
      <c r="F10" s="1100">
        <v>105</v>
      </c>
      <c r="G10" s="575">
        <v>79</v>
      </c>
      <c r="H10" s="15">
        <v>115</v>
      </c>
      <c r="I10" s="15">
        <v>135</v>
      </c>
      <c r="J10" s="15">
        <v>90</v>
      </c>
      <c r="K10" s="575" t="s">
        <v>397</v>
      </c>
      <c r="L10" s="15">
        <v>84</v>
      </c>
      <c r="M10" s="32">
        <v>146</v>
      </c>
      <c r="N10" s="15">
        <v>90</v>
      </c>
      <c r="O10" s="15">
        <v>96</v>
      </c>
      <c r="P10" s="15">
        <v>84</v>
      </c>
      <c r="Q10" s="430">
        <v>135</v>
      </c>
      <c r="R10" s="15">
        <v>97</v>
      </c>
      <c r="S10" s="575">
        <v>71.5</v>
      </c>
      <c r="T10" s="575">
        <v>79</v>
      </c>
      <c r="U10" s="15">
        <v>126</v>
      </c>
      <c r="V10" s="15">
        <v>115</v>
      </c>
      <c r="W10" s="635">
        <f t="shared" ref="W10:W73" si="3">COUNTIF(G10:V10,"&gt;=0")</f>
        <v>15</v>
      </c>
      <c r="X10" s="440">
        <f t="shared" si="0"/>
        <v>4</v>
      </c>
      <c r="Y10" s="441">
        <f t="shared" si="1"/>
        <v>2</v>
      </c>
      <c r="Z10" s="34">
        <f t="shared" si="2"/>
        <v>0</v>
      </c>
    </row>
    <row r="11" spans="1:26" x14ac:dyDescent="0.2">
      <c r="A11" s="139">
        <v>3</v>
      </c>
      <c r="B11" s="810" t="s">
        <v>33</v>
      </c>
      <c r="C11" s="139">
        <v>1258</v>
      </c>
      <c r="D11" s="64"/>
      <c r="E11" s="64"/>
      <c r="F11" s="1100">
        <v>52</v>
      </c>
      <c r="G11" s="15">
        <v>105</v>
      </c>
      <c r="H11" s="575">
        <v>64</v>
      </c>
      <c r="I11" s="15">
        <v>119</v>
      </c>
      <c r="J11" s="15">
        <v>115</v>
      </c>
      <c r="K11" s="15">
        <v>64</v>
      </c>
      <c r="L11" s="575">
        <v>60</v>
      </c>
      <c r="M11" s="15">
        <v>111</v>
      </c>
      <c r="N11" s="15">
        <v>84</v>
      </c>
      <c r="O11" s="15">
        <v>84</v>
      </c>
      <c r="P11" s="15">
        <v>84</v>
      </c>
      <c r="Q11" s="575">
        <v>74</v>
      </c>
      <c r="R11" s="15">
        <v>64</v>
      </c>
      <c r="S11" s="15">
        <v>146</v>
      </c>
      <c r="T11" s="15">
        <v>84</v>
      </c>
      <c r="U11" s="15">
        <v>146</v>
      </c>
      <c r="V11" s="575">
        <v>60</v>
      </c>
      <c r="W11" s="635">
        <f t="shared" si="3"/>
        <v>16</v>
      </c>
      <c r="X11" s="440">
        <f t="shared" si="0"/>
        <v>4</v>
      </c>
      <c r="Y11" s="441">
        <f t="shared" si="1"/>
        <v>1</v>
      </c>
      <c r="Z11" s="34">
        <f t="shared" si="2"/>
        <v>0</v>
      </c>
    </row>
    <row r="12" spans="1:26" x14ac:dyDescent="0.2">
      <c r="A12" s="139">
        <v>4</v>
      </c>
      <c r="B12" s="601" t="s">
        <v>38</v>
      </c>
      <c r="C12" s="139">
        <v>1216</v>
      </c>
      <c r="D12" s="64"/>
      <c r="E12" s="64"/>
      <c r="F12" s="1100">
        <v>97</v>
      </c>
      <c r="G12" s="15">
        <v>79</v>
      </c>
      <c r="H12" s="15">
        <v>115</v>
      </c>
      <c r="I12" s="15">
        <v>47</v>
      </c>
      <c r="J12" s="15">
        <v>90</v>
      </c>
      <c r="K12" s="15">
        <v>74</v>
      </c>
      <c r="L12" s="15">
        <v>84</v>
      </c>
      <c r="M12" s="32">
        <v>146</v>
      </c>
      <c r="N12" s="15">
        <v>90</v>
      </c>
      <c r="O12" s="575" t="s">
        <v>397</v>
      </c>
      <c r="P12" s="575" t="s">
        <v>397</v>
      </c>
      <c r="Q12" s="15">
        <v>74</v>
      </c>
      <c r="R12" s="575">
        <v>64</v>
      </c>
      <c r="S12" s="15">
        <v>111</v>
      </c>
      <c r="T12" s="15">
        <v>105</v>
      </c>
      <c r="U12" s="15">
        <v>104</v>
      </c>
      <c r="V12" s="575">
        <v>56</v>
      </c>
      <c r="W12" s="635">
        <f t="shared" si="3"/>
        <v>14</v>
      </c>
      <c r="X12" s="440">
        <f t="shared" si="0"/>
        <v>3</v>
      </c>
      <c r="Y12" s="441">
        <f t="shared" si="1"/>
        <v>1</v>
      </c>
      <c r="Z12" s="34">
        <f t="shared" si="2"/>
        <v>0</v>
      </c>
    </row>
    <row r="13" spans="1:26" x14ac:dyDescent="0.2">
      <c r="A13" s="139">
        <v>5</v>
      </c>
      <c r="B13" s="67" t="s">
        <v>68</v>
      </c>
      <c r="C13" s="870">
        <v>1152</v>
      </c>
      <c r="D13" s="64"/>
      <c r="E13" s="64"/>
      <c r="F13" s="1100">
        <v>84</v>
      </c>
      <c r="G13" s="575" t="s">
        <v>397</v>
      </c>
      <c r="H13" s="575" t="s">
        <v>397</v>
      </c>
      <c r="I13" s="15">
        <v>38</v>
      </c>
      <c r="J13" s="15">
        <v>97</v>
      </c>
      <c r="K13" s="15">
        <v>79</v>
      </c>
      <c r="L13" s="15">
        <v>115</v>
      </c>
      <c r="M13" s="15">
        <v>126</v>
      </c>
      <c r="N13" s="15">
        <v>105</v>
      </c>
      <c r="O13" s="575" t="s">
        <v>397</v>
      </c>
      <c r="P13" s="15">
        <v>79</v>
      </c>
      <c r="Q13" s="15"/>
      <c r="R13" s="575" t="s">
        <v>397</v>
      </c>
      <c r="S13" s="15">
        <v>158</v>
      </c>
      <c r="T13" s="15">
        <v>97</v>
      </c>
      <c r="U13" s="15">
        <v>90</v>
      </c>
      <c r="V13" s="15">
        <v>84</v>
      </c>
      <c r="W13" s="635">
        <f t="shared" si="3"/>
        <v>11</v>
      </c>
      <c r="X13" s="440">
        <f t="shared" si="0"/>
        <v>5</v>
      </c>
      <c r="Y13" s="441">
        <f t="shared" si="1"/>
        <v>1</v>
      </c>
      <c r="Z13" s="34">
        <f t="shared" si="2"/>
        <v>0</v>
      </c>
    </row>
    <row r="14" spans="1:26" x14ac:dyDescent="0.2">
      <c r="A14" s="139">
        <v>6</v>
      </c>
      <c r="B14" s="601" t="s">
        <v>47</v>
      </c>
      <c r="C14" s="139">
        <v>1136.5</v>
      </c>
      <c r="D14" s="64"/>
      <c r="E14" s="64"/>
      <c r="F14" s="1100">
        <v>12</v>
      </c>
      <c r="G14" s="15">
        <v>105</v>
      </c>
      <c r="H14" s="15">
        <v>90</v>
      </c>
      <c r="I14" s="15">
        <v>60</v>
      </c>
      <c r="J14" s="15">
        <v>115</v>
      </c>
      <c r="K14" s="575">
        <v>64</v>
      </c>
      <c r="L14" s="575">
        <v>60</v>
      </c>
      <c r="M14" s="32">
        <v>111</v>
      </c>
      <c r="N14" s="15">
        <v>84</v>
      </c>
      <c r="O14" s="15">
        <v>84</v>
      </c>
      <c r="P14" s="15">
        <v>84</v>
      </c>
      <c r="Q14" s="575" t="s">
        <v>397</v>
      </c>
      <c r="R14" s="575" t="s">
        <v>397</v>
      </c>
      <c r="S14" s="15">
        <v>71.5</v>
      </c>
      <c r="T14" s="15">
        <v>84</v>
      </c>
      <c r="U14" s="15">
        <v>146</v>
      </c>
      <c r="V14" s="15">
        <v>90</v>
      </c>
      <c r="W14" s="635">
        <f t="shared" si="3"/>
        <v>14</v>
      </c>
      <c r="X14" s="440">
        <f t="shared" si="0"/>
        <v>3</v>
      </c>
      <c r="Y14" s="441">
        <f t="shared" si="1"/>
        <v>1</v>
      </c>
      <c r="Z14" s="34">
        <f t="shared" si="2"/>
        <v>0</v>
      </c>
    </row>
    <row r="15" spans="1:26" x14ac:dyDescent="0.2">
      <c r="A15" s="139">
        <v>7</v>
      </c>
      <c r="B15" s="629" t="s">
        <v>553</v>
      </c>
      <c r="C15" s="139">
        <v>1111</v>
      </c>
      <c r="D15" s="64"/>
      <c r="E15" s="64"/>
      <c r="F15" s="1100"/>
      <c r="G15" s="575" t="s">
        <v>397</v>
      </c>
      <c r="H15" s="575" t="s">
        <v>397</v>
      </c>
      <c r="I15" s="575" t="s">
        <v>397</v>
      </c>
      <c r="J15" s="575" t="s">
        <v>397</v>
      </c>
      <c r="K15" s="15"/>
      <c r="L15" s="15"/>
      <c r="M15" s="15">
        <v>158</v>
      </c>
      <c r="N15" s="15">
        <v>115</v>
      </c>
      <c r="O15" s="15">
        <v>90</v>
      </c>
      <c r="P15" s="15">
        <v>115</v>
      </c>
      <c r="Q15" s="15">
        <v>78</v>
      </c>
      <c r="R15" s="15">
        <v>84</v>
      </c>
      <c r="S15" s="15">
        <v>135</v>
      </c>
      <c r="T15" s="15">
        <v>79</v>
      </c>
      <c r="U15" s="15">
        <v>173</v>
      </c>
      <c r="V15" s="15">
        <v>84</v>
      </c>
      <c r="W15" s="33">
        <f t="shared" si="3"/>
        <v>10</v>
      </c>
      <c r="X15" s="440">
        <f t="shared" si="0"/>
        <v>4</v>
      </c>
      <c r="Y15" s="441">
        <f t="shared" si="1"/>
        <v>3</v>
      </c>
      <c r="Z15" s="34">
        <f t="shared" si="2"/>
        <v>1</v>
      </c>
    </row>
    <row r="16" spans="1:26" x14ac:dyDescent="0.2">
      <c r="A16" s="139">
        <v>8</v>
      </c>
      <c r="B16" s="67" t="s">
        <v>66</v>
      </c>
      <c r="C16" s="870">
        <v>1046</v>
      </c>
      <c r="D16" s="64"/>
      <c r="E16" s="64"/>
      <c r="F16" s="1100">
        <v>69</v>
      </c>
      <c r="G16" s="575" t="s">
        <v>397</v>
      </c>
      <c r="H16" s="15">
        <v>69</v>
      </c>
      <c r="I16" s="15">
        <v>42</v>
      </c>
      <c r="J16" s="15">
        <v>105</v>
      </c>
      <c r="K16" s="575" t="s">
        <v>397</v>
      </c>
      <c r="L16" s="15">
        <v>79</v>
      </c>
      <c r="M16" s="32">
        <v>135</v>
      </c>
      <c r="N16" s="575">
        <v>46</v>
      </c>
      <c r="O16" s="575" t="s">
        <v>397</v>
      </c>
      <c r="P16" s="15">
        <v>97</v>
      </c>
      <c r="Q16" s="15">
        <v>96</v>
      </c>
      <c r="R16" s="15">
        <v>74</v>
      </c>
      <c r="S16" s="15"/>
      <c r="T16" s="15">
        <v>97</v>
      </c>
      <c r="U16" s="15">
        <v>119</v>
      </c>
      <c r="V16" s="15">
        <v>64</v>
      </c>
      <c r="W16" s="33">
        <f t="shared" si="3"/>
        <v>12</v>
      </c>
      <c r="X16" s="440">
        <f t="shared" si="0"/>
        <v>3</v>
      </c>
      <c r="Y16" s="441">
        <f t="shared" si="1"/>
        <v>0</v>
      </c>
      <c r="Z16" s="34">
        <f t="shared" si="2"/>
        <v>0</v>
      </c>
    </row>
    <row r="17" spans="1:26" x14ac:dyDescent="0.2">
      <c r="A17" s="139">
        <v>9</v>
      </c>
      <c r="B17" s="601" t="s">
        <v>71</v>
      </c>
      <c r="C17" s="139">
        <v>1011</v>
      </c>
      <c r="D17" s="64"/>
      <c r="E17" s="64"/>
      <c r="F17" s="1100">
        <v>1</v>
      </c>
      <c r="G17" s="15">
        <v>115</v>
      </c>
      <c r="H17" s="575" t="s">
        <v>397</v>
      </c>
      <c r="I17" s="15">
        <v>126</v>
      </c>
      <c r="J17" s="15">
        <v>84</v>
      </c>
      <c r="K17" s="15">
        <v>37</v>
      </c>
      <c r="L17" s="15">
        <v>105</v>
      </c>
      <c r="M17" s="15">
        <v>173</v>
      </c>
      <c r="N17" s="575" t="s">
        <v>397</v>
      </c>
      <c r="O17" s="575" t="s">
        <v>397</v>
      </c>
      <c r="P17" s="575" t="s">
        <v>397</v>
      </c>
      <c r="Q17" s="15">
        <v>146</v>
      </c>
      <c r="R17" s="15">
        <v>105</v>
      </c>
      <c r="S17" s="15">
        <v>119</v>
      </c>
      <c r="T17" s="15"/>
      <c r="U17" s="15"/>
      <c r="V17" s="15"/>
      <c r="W17" s="33">
        <f t="shared" si="3"/>
        <v>9</v>
      </c>
      <c r="X17" s="440">
        <f t="shared" si="0"/>
        <v>5</v>
      </c>
      <c r="Y17" s="441">
        <f t="shared" si="1"/>
        <v>2</v>
      </c>
      <c r="Z17" s="34">
        <f t="shared" si="2"/>
        <v>1</v>
      </c>
    </row>
    <row r="18" spans="1:26" x14ac:dyDescent="0.2">
      <c r="A18" s="139">
        <v>10</v>
      </c>
      <c r="B18" s="67" t="s">
        <v>51</v>
      </c>
      <c r="C18" s="870">
        <v>990.5</v>
      </c>
      <c r="D18" s="64"/>
      <c r="E18" s="64"/>
      <c r="F18" s="1100">
        <v>1</v>
      </c>
      <c r="G18" s="15">
        <v>64</v>
      </c>
      <c r="H18" s="15">
        <v>79</v>
      </c>
      <c r="I18" s="15">
        <v>78</v>
      </c>
      <c r="J18" s="15">
        <v>64</v>
      </c>
      <c r="K18" s="15">
        <v>69</v>
      </c>
      <c r="L18" s="15">
        <v>79</v>
      </c>
      <c r="M18" s="15">
        <v>96</v>
      </c>
      <c r="N18" s="575">
        <v>60</v>
      </c>
      <c r="O18" s="575" t="s">
        <v>397</v>
      </c>
      <c r="P18" s="15">
        <v>97</v>
      </c>
      <c r="Q18" s="15">
        <v>69</v>
      </c>
      <c r="R18" s="15">
        <v>74</v>
      </c>
      <c r="S18" s="15">
        <v>62.5</v>
      </c>
      <c r="T18" s="575">
        <v>52</v>
      </c>
      <c r="U18" s="15">
        <v>158</v>
      </c>
      <c r="V18" s="575">
        <v>49</v>
      </c>
      <c r="W18" s="33">
        <f t="shared" si="3"/>
        <v>15</v>
      </c>
      <c r="X18" s="440">
        <f t="shared" si="0"/>
        <v>2</v>
      </c>
      <c r="Y18" s="441">
        <f t="shared" si="1"/>
        <v>0</v>
      </c>
      <c r="Z18" s="34">
        <f t="shared" si="2"/>
        <v>0</v>
      </c>
    </row>
    <row r="19" spans="1:26" x14ac:dyDescent="0.2">
      <c r="A19" s="139">
        <v>11</v>
      </c>
      <c r="B19" s="601" t="s">
        <v>44</v>
      </c>
      <c r="C19" s="139">
        <v>969</v>
      </c>
      <c r="D19" s="64"/>
      <c r="E19" s="64"/>
      <c r="F19" s="1100">
        <v>1</v>
      </c>
      <c r="G19" s="575" t="s">
        <v>397</v>
      </c>
      <c r="H19" s="15">
        <v>84</v>
      </c>
      <c r="I19" s="15">
        <v>84</v>
      </c>
      <c r="J19" s="575" t="s">
        <v>397</v>
      </c>
      <c r="K19" s="575" t="s">
        <v>397</v>
      </c>
      <c r="L19" s="15">
        <v>74</v>
      </c>
      <c r="M19" s="575" t="s">
        <v>397</v>
      </c>
      <c r="N19" s="15"/>
      <c r="O19" s="15">
        <v>173</v>
      </c>
      <c r="P19" s="15">
        <v>64</v>
      </c>
      <c r="Q19" s="15"/>
      <c r="R19" s="15"/>
      <c r="S19" s="15">
        <v>96</v>
      </c>
      <c r="T19" s="15">
        <v>115</v>
      </c>
      <c r="U19" s="15">
        <v>173</v>
      </c>
      <c r="V19" s="15">
        <v>105</v>
      </c>
      <c r="W19" s="33">
        <f t="shared" si="3"/>
        <v>9</v>
      </c>
      <c r="X19" s="440">
        <f t="shared" si="0"/>
        <v>4</v>
      </c>
      <c r="Y19" s="441">
        <f t="shared" si="1"/>
        <v>3</v>
      </c>
      <c r="Z19" s="34">
        <f t="shared" si="2"/>
        <v>2</v>
      </c>
    </row>
    <row r="20" spans="1:26" x14ac:dyDescent="0.2">
      <c r="A20" s="139">
        <v>12</v>
      </c>
      <c r="B20" s="601" t="s">
        <v>40</v>
      </c>
      <c r="C20" s="139">
        <v>914</v>
      </c>
      <c r="D20" s="64"/>
      <c r="E20" s="64"/>
      <c r="F20" s="1100">
        <v>40</v>
      </c>
      <c r="G20" s="15">
        <v>105</v>
      </c>
      <c r="H20" s="15">
        <v>64</v>
      </c>
      <c r="I20" s="15">
        <v>90</v>
      </c>
      <c r="J20" s="15">
        <v>115</v>
      </c>
      <c r="K20" s="15">
        <v>105</v>
      </c>
      <c r="L20" s="15">
        <v>69</v>
      </c>
      <c r="M20" s="575" t="s">
        <v>397</v>
      </c>
      <c r="N20" s="575" t="s">
        <v>397</v>
      </c>
      <c r="O20" s="15"/>
      <c r="P20" s="575" t="s">
        <v>397</v>
      </c>
      <c r="Q20" s="15"/>
      <c r="R20" s="575" t="s">
        <v>397</v>
      </c>
      <c r="S20" s="15">
        <v>90</v>
      </c>
      <c r="T20" s="15"/>
      <c r="U20" s="15">
        <v>146</v>
      </c>
      <c r="V20" s="15">
        <v>90</v>
      </c>
      <c r="W20" s="33">
        <f t="shared" si="3"/>
        <v>9</v>
      </c>
      <c r="X20" s="440">
        <f t="shared" si="0"/>
        <v>4</v>
      </c>
      <c r="Y20" s="441">
        <f t="shared" si="1"/>
        <v>1</v>
      </c>
      <c r="Z20" s="34">
        <f t="shared" si="2"/>
        <v>0</v>
      </c>
    </row>
    <row r="21" spans="1:26" x14ac:dyDescent="0.2">
      <c r="A21" s="139">
        <v>13</v>
      </c>
      <c r="B21" s="71" t="s">
        <v>49</v>
      </c>
      <c r="C21" s="870">
        <v>906</v>
      </c>
      <c r="D21" s="64"/>
      <c r="E21" s="64" t="s">
        <v>50</v>
      </c>
      <c r="F21" s="1100">
        <v>1</v>
      </c>
      <c r="G21" s="15">
        <v>64</v>
      </c>
      <c r="H21" s="15">
        <v>79</v>
      </c>
      <c r="I21" s="62">
        <v>42</v>
      </c>
      <c r="J21" s="15">
        <v>64</v>
      </c>
      <c r="K21" s="15">
        <v>69</v>
      </c>
      <c r="L21" s="15">
        <v>79</v>
      </c>
      <c r="M21" s="15">
        <v>96</v>
      </c>
      <c r="N21" s="15">
        <v>60</v>
      </c>
      <c r="O21" s="575" t="s">
        <v>397</v>
      </c>
      <c r="P21" s="575">
        <v>40</v>
      </c>
      <c r="Q21" s="15">
        <v>69</v>
      </c>
      <c r="R21" s="15">
        <v>74</v>
      </c>
      <c r="S21" s="15">
        <v>51</v>
      </c>
      <c r="T21" s="575">
        <v>56</v>
      </c>
      <c r="U21" s="15">
        <v>158</v>
      </c>
      <c r="V21" s="575">
        <v>46</v>
      </c>
      <c r="W21" s="33">
        <f t="shared" si="3"/>
        <v>15</v>
      </c>
      <c r="X21" s="440">
        <f t="shared" si="0"/>
        <v>2</v>
      </c>
      <c r="Y21" s="441">
        <f t="shared" si="1"/>
        <v>0</v>
      </c>
      <c r="Z21" s="34">
        <f t="shared" si="2"/>
        <v>0</v>
      </c>
    </row>
    <row r="22" spans="1:26" x14ac:dyDescent="0.2">
      <c r="A22" s="139">
        <v>14</v>
      </c>
      <c r="B22" s="67" t="s">
        <v>60</v>
      </c>
      <c r="C22" s="870">
        <v>906</v>
      </c>
      <c r="D22" s="64"/>
      <c r="E22" s="64"/>
      <c r="F22" s="1100">
        <v>64</v>
      </c>
      <c r="G22" s="15">
        <v>79</v>
      </c>
      <c r="H22" s="575" t="s">
        <v>397</v>
      </c>
      <c r="I22" s="575" t="s">
        <v>397</v>
      </c>
      <c r="J22" s="15">
        <v>90</v>
      </c>
      <c r="K22" s="575" t="s">
        <v>397</v>
      </c>
      <c r="L22" s="15">
        <v>84</v>
      </c>
      <c r="M22" s="32">
        <v>135</v>
      </c>
      <c r="N22" s="15">
        <v>46</v>
      </c>
      <c r="O22" s="15"/>
      <c r="P22" s="575" t="s">
        <v>397</v>
      </c>
      <c r="Q22" s="15">
        <v>96</v>
      </c>
      <c r="R22" s="15">
        <v>97</v>
      </c>
      <c r="S22" s="15"/>
      <c r="T22" s="15">
        <v>25</v>
      </c>
      <c r="U22" s="15">
        <v>126</v>
      </c>
      <c r="V22" s="15">
        <v>64</v>
      </c>
      <c r="W22" s="33">
        <f t="shared" si="3"/>
        <v>10</v>
      </c>
      <c r="X22" s="440">
        <f t="shared" si="0"/>
        <v>1</v>
      </c>
      <c r="Y22" s="441">
        <f t="shared" si="1"/>
        <v>0</v>
      </c>
      <c r="Z22" s="34">
        <f t="shared" si="2"/>
        <v>0</v>
      </c>
    </row>
    <row r="23" spans="1:26" x14ac:dyDescent="0.2">
      <c r="A23" s="139">
        <v>15</v>
      </c>
      <c r="B23" s="166" t="s">
        <v>345</v>
      </c>
      <c r="C23" s="139">
        <v>861</v>
      </c>
      <c r="D23" s="64"/>
      <c r="E23" s="64" t="s">
        <v>50</v>
      </c>
      <c r="F23" s="1100"/>
      <c r="G23" s="15">
        <v>74</v>
      </c>
      <c r="H23" s="575" t="s">
        <v>397</v>
      </c>
      <c r="I23" s="575">
        <v>27</v>
      </c>
      <c r="J23" s="575" t="s">
        <v>397</v>
      </c>
      <c r="K23" s="575">
        <v>16</v>
      </c>
      <c r="L23" s="15">
        <v>43</v>
      </c>
      <c r="M23" s="15">
        <v>90</v>
      </c>
      <c r="N23" s="15">
        <v>52</v>
      </c>
      <c r="O23" s="15">
        <v>78</v>
      </c>
      <c r="P23" s="15">
        <v>43</v>
      </c>
      <c r="Q23" s="15">
        <v>84</v>
      </c>
      <c r="R23" s="15">
        <v>64</v>
      </c>
      <c r="S23" s="15">
        <v>78</v>
      </c>
      <c r="T23" s="15">
        <v>90</v>
      </c>
      <c r="U23" s="15">
        <v>119</v>
      </c>
      <c r="V23" s="15">
        <v>46</v>
      </c>
      <c r="W23" s="33">
        <f t="shared" si="3"/>
        <v>14</v>
      </c>
      <c r="X23" s="440">
        <f t="shared" si="0"/>
        <v>0</v>
      </c>
      <c r="Y23" s="441">
        <f t="shared" si="1"/>
        <v>0</v>
      </c>
      <c r="Z23" s="34">
        <f t="shared" si="2"/>
        <v>0</v>
      </c>
    </row>
    <row r="24" spans="1:26" x14ac:dyDescent="0.2">
      <c r="A24" s="139">
        <v>16</v>
      </c>
      <c r="B24" s="601" t="s">
        <v>61</v>
      </c>
      <c r="C24" s="139">
        <v>843</v>
      </c>
      <c r="D24" s="64"/>
      <c r="E24" s="64"/>
      <c r="F24" s="1100">
        <v>115</v>
      </c>
      <c r="G24" s="575" t="s">
        <v>397</v>
      </c>
      <c r="H24" s="575" t="s">
        <v>397</v>
      </c>
      <c r="I24" s="15">
        <v>96</v>
      </c>
      <c r="J24" s="15">
        <v>97</v>
      </c>
      <c r="K24" s="575" t="s">
        <v>397</v>
      </c>
      <c r="L24" s="15"/>
      <c r="M24" s="575" t="s">
        <v>397</v>
      </c>
      <c r="N24" s="15"/>
      <c r="O24" s="15">
        <v>104</v>
      </c>
      <c r="P24" s="15">
        <v>79</v>
      </c>
      <c r="Q24" s="430">
        <v>119</v>
      </c>
      <c r="R24" s="15">
        <v>69</v>
      </c>
      <c r="S24" s="15"/>
      <c r="T24" s="15"/>
      <c r="U24" s="15">
        <v>90</v>
      </c>
      <c r="V24" s="15">
        <v>74</v>
      </c>
      <c r="W24" s="33">
        <f t="shared" si="3"/>
        <v>8</v>
      </c>
      <c r="X24" s="440">
        <f t="shared" si="0"/>
        <v>1</v>
      </c>
      <c r="Y24" s="441">
        <f t="shared" si="1"/>
        <v>0</v>
      </c>
      <c r="Z24" s="34">
        <f t="shared" si="2"/>
        <v>0</v>
      </c>
    </row>
    <row r="25" spans="1:26" x14ac:dyDescent="0.2">
      <c r="A25" s="139">
        <v>17</v>
      </c>
      <c r="B25" s="67" t="s">
        <v>436</v>
      </c>
      <c r="C25" s="870">
        <v>810</v>
      </c>
      <c r="D25" s="64"/>
      <c r="E25" s="64"/>
      <c r="F25" s="1100"/>
      <c r="G25" s="575" t="s">
        <v>397</v>
      </c>
      <c r="H25" s="575" t="s">
        <v>397</v>
      </c>
      <c r="I25" s="575" t="s">
        <v>397</v>
      </c>
      <c r="J25" s="15">
        <v>105</v>
      </c>
      <c r="K25" s="15">
        <v>60</v>
      </c>
      <c r="L25" s="15">
        <v>115</v>
      </c>
      <c r="M25" s="15">
        <v>126</v>
      </c>
      <c r="N25" s="15">
        <v>105</v>
      </c>
      <c r="O25" s="15">
        <v>135</v>
      </c>
      <c r="P25" s="575" t="s">
        <v>397</v>
      </c>
      <c r="Q25" s="15">
        <v>104</v>
      </c>
      <c r="R25" s="15">
        <v>60</v>
      </c>
      <c r="S25" s="15"/>
      <c r="T25" s="15"/>
      <c r="U25" s="15"/>
      <c r="V25" s="15"/>
      <c r="W25" s="33">
        <f t="shared" si="3"/>
        <v>8</v>
      </c>
      <c r="X25" s="440">
        <f t="shared" si="0"/>
        <v>3</v>
      </c>
      <c r="Y25" s="441">
        <f t="shared" si="1"/>
        <v>1</v>
      </c>
      <c r="Z25" s="34">
        <f t="shared" si="2"/>
        <v>0</v>
      </c>
    </row>
    <row r="26" spans="1:26" x14ac:dyDescent="0.2">
      <c r="A26" s="139">
        <v>18</v>
      </c>
      <c r="B26" s="601" t="s">
        <v>77</v>
      </c>
      <c r="C26" s="139">
        <v>715</v>
      </c>
      <c r="D26" s="64"/>
      <c r="E26" s="64"/>
      <c r="F26" s="1100">
        <v>74</v>
      </c>
      <c r="G26" s="15">
        <v>90</v>
      </c>
      <c r="H26" s="15">
        <v>90</v>
      </c>
      <c r="I26" s="575" t="s">
        <v>397</v>
      </c>
      <c r="J26" s="575" t="s">
        <v>397</v>
      </c>
      <c r="K26" s="15">
        <v>84</v>
      </c>
      <c r="L26" s="575" t="s">
        <v>397</v>
      </c>
      <c r="M26" s="32">
        <v>119</v>
      </c>
      <c r="N26" s="15">
        <v>74</v>
      </c>
      <c r="O26" s="15"/>
      <c r="P26" s="575" t="s">
        <v>397</v>
      </c>
      <c r="Q26" s="15"/>
      <c r="R26" s="15"/>
      <c r="S26" s="15"/>
      <c r="T26" s="15">
        <v>49</v>
      </c>
      <c r="U26" s="15">
        <v>135</v>
      </c>
      <c r="V26" s="15"/>
      <c r="W26" s="33">
        <f t="shared" si="3"/>
        <v>7</v>
      </c>
      <c r="X26" s="440">
        <f t="shared" si="0"/>
        <v>0</v>
      </c>
      <c r="Y26" s="441">
        <f t="shared" si="1"/>
        <v>0</v>
      </c>
      <c r="Z26" s="34">
        <f t="shared" si="2"/>
        <v>0</v>
      </c>
    </row>
    <row r="27" spans="1:26" x14ac:dyDescent="0.2">
      <c r="A27" s="139">
        <v>19</v>
      </c>
      <c r="B27" s="601" t="s">
        <v>80</v>
      </c>
      <c r="C27" s="139">
        <v>655</v>
      </c>
      <c r="D27" s="64"/>
      <c r="E27" s="64"/>
      <c r="F27" s="1100">
        <v>1</v>
      </c>
      <c r="G27" s="575" t="s">
        <v>397</v>
      </c>
      <c r="H27" s="575" t="s">
        <v>397</v>
      </c>
      <c r="I27" s="15">
        <v>51</v>
      </c>
      <c r="J27" s="15">
        <v>84</v>
      </c>
      <c r="K27" s="575" t="s">
        <v>397</v>
      </c>
      <c r="L27" s="15">
        <v>105</v>
      </c>
      <c r="M27" s="575" t="s">
        <v>397</v>
      </c>
      <c r="N27" s="15">
        <v>79</v>
      </c>
      <c r="O27" s="15"/>
      <c r="P27" s="15"/>
      <c r="Q27" s="15">
        <v>146</v>
      </c>
      <c r="R27" s="15">
        <v>105</v>
      </c>
      <c r="S27" s="15">
        <v>84</v>
      </c>
      <c r="T27" s="15"/>
      <c r="U27" s="15"/>
      <c r="V27" s="15"/>
      <c r="W27" s="33">
        <f t="shared" si="3"/>
        <v>7</v>
      </c>
      <c r="X27" s="440">
        <f t="shared" si="0"/>
        <v>3</v>
      </c>
      <c r="Y27" s="441">
        <f t="shared" si="1"/>
        <v>0</v>
      </c>
      <c r="Z27" s="34">
        <f t="shared" si="2"/>
        <v>0</v>
      </c>
    </row>
    <row r="28" spans="1:26" x14ac:dyDescent="0.2">
      <c r="A28" s="139">
        <v>20</v>
      </c>
      <c r="B28" s="55" t="s">
        <v>1156</v>
      </c>
      <c r="C28" s="877">
        <v>620</v>
      </c>
      <c r="D28" s="64"/>
      <c r="E28" s="64"/>
      <c r="F28" s="1100">
        <v>5</v>
      </c>
      <c r="G28" s="575" t="s">
        <v>397</v>
      </c>
      <c r="H28" s="15">
        <v>97</v>
      </c>
      <c r="I28" s="575" t="s">
        <v>397</v>
      </c>
      <c r="J28" s="575" t="s">
        <v>397</v>
      </c>
      <c r="K28" s="15">
        <v>37</v>
      </c>
      <c r="L28" s="15">
        <v>105</v>
      </c>
      <c r="M28" s="15"/>
      <c r="N28" s="15">
        <v>79</v>
      </c>
      <c r="O28" s="15"/>
      <c r="P28" s="575" t="s">
        <v>397</v>
      </c>
      <c r="Q28" s="15">
        <v>158</v>
      </c>
      <c r="R28" s="15">
        <v>105</v>
      </c>
      <c r="S28" s="15"/>
      <c r="T28" s="15">
        <v>34</v>
      </c>
      <c r="U28" s="15"/>
      <c r="V28" s="15"/>
      <c r="W28" s="33">
        <f t="shared" si="3"/>
        <v>7</v>
      </c>
      <c r="X28" s="440">
        <f t="shared" si="0"/>
        <v>4</v>
      </c>
      <c r="Y28" s="441">
        <f t="shared" si="1"/>
        <v>0</v>
      </c>
      <c r="Z28" s="34">
        <f t="shared" si="2"/>
        <v>0</v>
      </c>
    </row>
    <row r="29" spans="1:26" x14ac:dyDescent="0.2">
      <c r="A29" s="139">
        <v>21</v>
      </c>
      <c r="B29" s="67" t="s">
        <v>64</v>
      </c>
      <c r="C29" s="870">
        <v>600</v>
      </c>
      <c r="D29" s="64"/>
      <c r="E29" s="64"/>
      <c r="F29" s="1100">
        <v>1</v>
      </c>
      <c r="G29" s="15">
        <v>64</v>
      </c>
      <c r="H29" s="575" t="s">
        <v>397</v>
      </c>
      <c r="I29" s="15">
        <v>111</v>
      </c>
      <c r="J29" s="15">
        <v>64</v>
      </c>
      <c r="K29" s="15">
        <v>105</v>
      </c>
      <c r="L29" s="575" t="s">
        <v>397</v>
      </c>
      <c r="M29" s="575" t="s">
        <v>397</v>
      </c>
      <c r="N29" s="575" t="s">
        <v>397</v>
      </c>
      <c r="O29" s="15"/>
      <c r="P29" s="15"/>
      <c r="Q29" s="15"/>
      <c r="R29" s="15"/>
      <c r="S29" s="15"/>
      <c r="T29" s="15"/>
      <c r="U29" s="15">
        <v>158</v>
      </c>
      <c r="V29" s="15">
        <v>97</v>
      </c>
      <c r="W29" s="33">
        <f t="shared" si="3"/>
        <v>6</v>
      </c>
      <c r="X29" s="440">
        <f t="shared" si="0"/>
        <v>3</v>
      </c>
      <c r="Y29" s="441">
        <f t="shared" si="1"/>
        <v>0</v>
      </c>
      <c r="Z29" s="34">
        <f t="shared" si="2"/>
        <v>0</v>
      </c>
    </row>
    <row r="30" spans="1:26" x14ac:dyDescent="0.2">
      <c r="A30" s="139">
        <v>22</v>
      </c>
      <c r="B30" s="630" t="s">
        <v>90</v>
      </c>
      <c r="C30" s="139">
        <v>527</v>
      </c>
      <c r="D30" s="64"/>
      <c r="E30" s="64" t="s">
        <v>50</v>
      </c>
      <c r="F30" s="1100">
        <v>1</v>
      </c>
      <c r="G30" s="575" t="s">
        <v>397</v>
      </c>
      <c r="H30" s="15">
        <v>52</v>
      </c>
      <c r="I30" s="208">
        <v>33</v>
      </c>
      <c r="J30" s="575" t="s">
        <v>397</v>
      </c>
      <c r="K30" s="575" t="s">
        <v>397</v>
      </c>
      <c r="L30" s="15"/>
      <c r="M30" s="15">
        <v>104</v>
      </c>
      <c r="N30" s="15">
        <v>97</v>
      </c>
      <c r="O30" s="575" t="s">
        <v>397</v>
      </c>
      <c r="P30" s="15"/>
      <c r="Q30" s="15"/>
      <c r="R30" s="15"/>
      <c r="S30" s="15">
        <v>56</v>
      </c>
      <c r="T30" s="15">
        <v>49</v>
      </c>
      <c r="U30" s="15">
        <v>135</v>
      </c>
      <c r="V30" s="15"/>
      <c r="W30" s="33">
        <f t="shared" si="3"/>
        <v>7</v>
      </c>
      <c r="X30" s="440">
        <f t="shared" si="0"/>
        <v>2</v>
      </c>
      <c r="Y30" s="441">
        <f t="shared" si="1"/>
        <v>0</v>
      </c>
      <c r="Z30" s="34">
        <f t="shared" si="2"/>
        <v>0</v>
      </c>
    </row>
    <row r="31" spans="1:26" x14ac:dyDescent="0.2">
      <c r="A31" s="139">
        <v>23</v>
      </c>
      <c r="B31" s="601" t="s">
        <v>519</v>
      </c>
      <c r="C31" s="139">
        <v>454</v>
      </c>
      <c r="D31" s="64"/>
      <c r="E31" s="64"/>
      <c r="F31" s="1100"/>
      <c r="G31" s="575" t="s">
        <v>397</v>
      </c>
      <c r="H31" s="575" t="s">
        <v>397</v>
      </c>
      <c r="I31" s="575" t="s">
        <v>397</v>
      </c>
      <c r="J31" s="575" t="s">
        <v>397</v>
      </c>
      <c r="K31" s="15">
        <v>40</v>
      </c>
      <c r="L31" s="15"/>
      <c r="M31" s="15"/>
      <c r="N31" s="15"/>
      <c r="O31" s="15"/>
      <c r="P31" s="15"/>
      <c r="Q31" s="15">
        <v>173</v>
      </c>
      <c r="R31" s="15">
        <v>115</v>
      </c>
      <c r="S31" s="15">
        <v>126</v>
      </c>
      <c r="T31" s="15"/>
      <c r="U31" s="15"/>
      <c r="V31" s="15"/>
      <c r="W31" s="33">
        <f t="shared" si="3"/>
        <v>4</v>
      </c>
      <c r="X31" s="440">
        <f t="shared" si="0"/>
        <v>2</v>
      </c>
      <c r="Y31" s="441">
        <f t="shared" si="1"/>
        <v>2</v>
      </c>
      <c r="Z31" s="34">
        <f t="shared" si="2"/>
        <v>1</v>
      </c>
    </row>
    <row r="32" spans="1:26" x14ac:dyDescent="0.2">
      <c r="A32" s="139">
        <v>24</v>
      </c>
      <c r="B32" s="601" t="s">
        <v>422</v>
      </c>
      <c r="C32" s="139">
        <v>449</v>
      </c>
      <c r="D32" s="64"/>
      <c r="E32" s="64"/>
      <c r="F32" s="1100"/>
      <c r="G32" s="575" t="s">
        <v>397</v>
      </c>
      <c r="H32" s="575" t="s">
        <v>397</v>
      </c>
      <c r="I32" s="15">
        <v>158</v>
      </c>
      <c r="J32" s="575" t="s">
        <v>397</v>
      </c>
      <c r="K32" s="15"/>
      <c r="L32" s="15"/>
      <c r="M32" s="575" t="s">
        <v>397</v>
      </c>
      <c r="N32" s="15"/>
      <c r="O32" s="15">
        <v>158</v>
      </c>
      <c r="P32" s="15">
        <v>69</v>
      </c>
      <c r="Q32" s="15"/>
      <c r="R32" s="15"/>
      <c r="S32" s="15"/>
      <c r="T32" s="15">
        <v>64</v>
      </c>
      <c r="U32" s="15"/>
      <c r="V32" s="15"/>
      <c r="W32" s="33">
        <f t="shared" si="3"/>
        <v>4</v>
      </c>
      <c r="X32" s="440">
        <f t="shared" si="0"/>
        <v>2</v>
      </c>
      <c r="Y32" s="441">
        <f t="shared" si="1"/>
        <v>0</v>
      </c>
      <c r="Z32" s="34">
        <f t="shared" si="2"/>
        <v>0</v>
      </c>
    </row>
    <row r="33" spans="1:26" x14ac:dyDescent="0.2">
      <c r="A33" s="139">
        <v>25</v>
      </c>
      <c r="B33" s="166" t="s">
        <v>427</v>
      </c>
      <c r="C33" s="139">
        <v>434</v>
      </c>
      <c r="D33" s="64"/>
      <c r="E33" s="64" t="s">
        <v>50</v>
      </c>
      <c r="F33" s="1100"/>
      <c r="G33" s="575" t="s">
        <v>397</v>
      </c>
      <c r="H33" s="575" t="s">
        <v>397</v>
      </c>
      <c r="I33" s="207">
        <v>53</v>
      </c>
      <c r="J33" s="15">
        <v>97</v>
      </c>
      <c r="K33" s="575" t="s">
        <v>397</v>
      </c>
      <c r="L33" s="15"/>
      <c r="M33" s="575" t="s">
        <v>397</v>
      </c>
      <c r="N33" s="15"/>
      <c r="O33" s="15">
        <v>119</v>
      </c>
      <c r="P33" s="15">
        <v>40</v>
      </c>
      <c r="Q33" s="15">
        <v>56</v>
      </c>
      <c r="R33" s="15">
        <v>69</v>
      </c>
      <c r="S33" s="15"/>
      <c r="T33" s="15"/>
      <c r="U33" s="15"/>
      <c r="V33" s="15"/>
      <c r="W33" s="33">
        <f t="shared" si="3"/>
        <v>6</v>
      </c>
      <c r="X33" s="440">
        <f t="shared" si="0"/>
        <v>2</v>
      </c>
      <c r="Y33" s="441">
        <f t="shared" si="1"/>
        <v>0</v>
      </c>
      <c r="Z33" s="34">
        <f t="shared" si="2"/>
        <v>0</v>
      </c>
    </row>
    <row r="34" spans="1:26" x14ac:dyDescent="0.2">
      <c r="A34" s="139">
        <v>26</v>
      </c>
      <c r="B34" s="601" t="s">
        <v>84</v>
      </c>
      <c r="C34" s="139">
        <v>427</v>
      </c>
      <c r="D34" s="64"/>
      <c r="E34" s="64"/>
      <c r="F34" s="1100">
        <v>1</v>
      </c>
      <c r="G34" s="575" t="s">
        <v>397</v>
      </c>
      <c r="H34" s="15">
        <v>52</v>
      </c>
      <c r="I34" s="15">
        <v>69</v>
      </c>
      <c r="J34" s="575" t="s">
        <v>397</v>
      </c>
      <c r="K34" s="575" t="s">
        <v>397</v>
      </c>
      <c r="L34" s="15"/>
      <c r="M34" s="15">
        <v>104</v>
      </c>
      <c r="N34" s="15">
        <v>97</v>
      </c>
      <c r="O34" s="575" t="s">
        <v>397</v>
      </c>
      <c r="P34" s="15"/>
      <c r="Q34" s="15"/>
      <c r="R34" s="15"/>
      <c r="S34" s="15">
        <v>104</v>
      </c>
      <c r="T34" s="15"/>
      <c r="U34" s="15"/>
      <c r="V34" s="15"/>
      <c r="W34" s="33">
        <f t="shared" si="3"/>
        <v>5</v>
      </c>
      <c r="X34" s="440">
        <f t="shared" si="0"/>
        <v>1</v>
      </c>
      <c r="Y34" s="441">
        <f t="shared" si="1"/>
        <v>0</v>
      </c>
      <c r="Z34" s="34">
        <f t="shared" si="2"/>
        <v>0</v>
      </c>
    </row>
    <row r="35" spans="1:26" x14ac:dyDescent="0.2">
      <c r="A35" s="139">
        <v>27</v>
      </c>
      <c r="B35" s="601" t="s">
        <v>69</v>
      </c>
      <c r="C35" s="139">
        <v>425.5</v>
      </c>
      <c r="D35" s="64"/>
      <c r="E35" s="64"/>
      <c r="F35" s="1101">
        <v>17.5</v>
      </c>
      <c r="G35" s="15">
        <v>115</v>
      </c>
      <c r="H35" s="575" t="s">
        <v>397</v>
      </c>
      <c r="I35" s="15">
        <v>29</v>
      </c>
      <c r="J35" s="575" t="s">
        <v>397</v>
      </c>
      <c r="K35" s="15">
        <v>97</v>
      </c>
      <c r="L35" s="15">
        <v>69</v>
      </c>
      <c r="M35" s="575" t="s">
        <v>397</v>
      </c>
      <c r="N35" s="15">
        <v>64</v>
      </c>
      <c r="O35" s="15"/>
      <c r="P35" s="575" t="s">
        <v>397</v>
      </c>
      <c r="Q35" s="15"/>
      <c r="R35" s="15"/>
      <c r="S35" s="15"/>
      <c r="T35" s="15">
        <v>34</v>
      </c>
      <c r="U35" s="15"/>
      <c r="V35" s="15"/>
      <c r="W35" s="33">
        <f t="shared" si="3"/>
        <v>6</v>
      </c>
      <c r="X35" s="440">
        <f t="shared" si="0"/>
        <v>2</v>
      </c>
      <c r="Y35" s="441">
        <f t="shared" si="1"/>
        <v>1</v>
      </c>
      <c r="Z35" s="34">
        <f t="shared" si="2"/>
        <v>0</v>
      </c>
    </row>
    <row r="36" spans="1:26" x14ac:dyDescent="0.2">
      <c r="A36" s="139">
        <v>28</v>
      </c>
      <c r="B36" s="601" t="s">
        <v>72</v>
      </c>
      <c r="C36" s="139">
        <v>350</v>
      </c>
      <c r="D36" s="64"/>
      <c r="E36" s="64"/>
      <c r="F36" s="1100">
        <v>25</v>
      </c>
      <c r="G36" s="575" t="s">
        <v>397</v>
      </c>
      <c r="H36" s="575" t="s">
        <v>397</v>
      </c>
      <c r="I36" s="575" t="s">
        <v>397</v>
      </c>
      <c r="J36" s="575" t="s">
        <v>397</v>
      </c>
      <c r="K36" s="15"/>
      <c r="L36" s="15"/>
      <c r="M36" s="15"/>
      <c r="N36" s="15"/>
      <c r="O36" s="15">
        <v>146</v>
      </c>
      <c r="P36" s="15">
        <v>105</v>
      </c>
      <c r="Q36" s="15"/>
      <c r="R36" s="15"/>
      <c r="S36" s="15"/>
      <c r="T36" s="15">
        <v>74</v>
      </c>
      <c r="U36" s="15"/>
      <c r="V36" s="15"/>
      <c r="W36" s="33">
        <f t="shared" si="3"/>
        <v>3</v>
      </c>
      <c r="X36" s="440">
        <f t="shared" si="0"/>
        <v>2</v>
      </c>
      <c r="Y36" s="441">
        <f t="shared" si="1"/>
        <v>0</v>
      </c>
      <c r="Z36" s="34">
        <f t="shared" si="2"/>
        <v>0</v>
      </c>
    </row>
    <row r="37" spans="1:26" x14ac:dyDescent="0.2">
      <c r="A37" s="139">
        <v>29</v>
      </c>
      <c r="B37" s="601" t="s">
        <v>423</v>
      </c>
      <c r="C37" s="139">
        <v>327</v>
      </c>
      <c r="D37" s="64"/>
      <c r="E37" s="64"/>
      <c r="F37" s="1100"/>
      <c r="G37" s="575" t="s">
        <v>397</v>
      </c>
      <c r="H37" s="575" t="s">
        <v>397</v>
      </c>
      <c r="I37" s="15">
        <v>173</v>
      </c>
      <c r="J37" s="575" t="s">
        <v>397</v>
      </c>
      <c r="K37" s="15"/>
      <c r="L37" s="15">
        <v>64</v>
      </c>
      <c r="M37" s="575" t="s">
        <v>397</v>
      </c>
      <c r="N37" s="15"/>
      <c r="O37" s="15"/>
      <c r="P37" s="15">
        <v>90</v>
      </c>
      <c r="Q37" s="15"/>
      <c r="R37" s="15"/>
      <c r="S37" s="15"/>
      <c r="T37" s="15"/>
      <c r="U37" s="15"/>
      <c r="V37" s="15"/>
      <c r="W37" s="33">
        <f t="shared" si="3"/>
        <v>3</v>
      </c>
      <c r="X37" s="440">
        <f t="shared" si="0"/>
        <v>1</v>
      </c>
      <c r="Y37" s="441">
        <f t="shared" si="1"/>
        <v>1</v>
      </c>
      <c r="Z37" s="34">
        <f t="shared" si="2"/>
        <v>1</v>
      </c>
    </row>
    <row r="38" spans="1:26" x14ac:dyDescent="0.2">
      <c r="A38" s="139">
        <v>30</v>
      </c>
      <c r="B38" s="601" t="s">
        <v>439</v>
      </c>
      <c r="C38" s="139">
        <v>317</v>
      </c>
      <c r="D38" s="64"/>
      <c r="E38" s="64"/>
      <c r="F38" s="1100"/>
      <c r="G38" s="575" t="s">
        <v>397</v>
      </c>
      <c r="H38" s="575" t="s">
        <v>397</v>
      </c>
      <c r="I38" s="575" t="s">
        <v>397</v>
      </c>
      <c r="J38" s="15">
        <v>79</v>
      </c>
      <c r="K38" s="575" t="s">
        <v>397</v>
      </c>
      <c r="L38" s="15"/>
      <c r="M38" s="15">
        <v>173</v>
      </c>
      <c r="N38" s="15"/>
      <c r="O38" s="15">
        <v>65</v>
      </c>
      <c r="P38" s="15"/>
      <c r="Q38" s="15"/>
      <c r="R38" s="15"/>
      <c r="S38" s="15"/>
      <c r="T38" s="15"/>
      <c r="U38" s="15"/>
      <c r="V38" s="15"/>
      <c r="W38" s="33">
        <f t="shared" si="3"/>
        <v>3</v>
      </c>
      <c r="X38" s="440">
        <f t="shared" si="0"/>
        <v>1</v>
      </c>
      <c r="Y38" s="441">
        <f t="shared" si="1"/>
        <v>1</v>
      </c>
      <c r="Z38" s="34">
        <f t="shared" si="2"/>
        <v>1</v>
      </c>
    </row>
    <row r="39" spans="1:26" x14ac:dyDescent="0.2">
      <c r="A39" s="139">
        <v>31</v>
      </c>
      <c r="B39" s="601" t="s">
        <v>79</v>
      </c>
      <c r="C39" s="139">
        <v>315</v>
      </c>
      <c r="D39" s="64"/>
      <c r="E39" s="64"/>
      <c r="F39" s="1100">
        <v>1</v>
      </c>
      <c r="G39" s="15">
        <v>69</v>
      </c>
      <c r="H39" s="15">
        <v>60</v>
      </c>
      <c r="I39" s="575" t="s">
        <v>397</v>
      </c>
      <c r="J39" s="575" t="s">
        <v>397</v>
      </c>
      <c r="K39" s="575" t="s">
        <v>397</v>
      </c>
      <c r="L39" s="15">
        <v>37</v>
      </c>
      <c r="M39" s="15"/>
      <c r="N39" s="15">
        <v>56</v>
      </c>
      <c r="O39" s="15"/>
      <c r="P39" s="15">
        <v>52</v>
      </c>
      <c r="Q39" s="15"/>
      <c r="R39" s="575" t="s">
        <v>397</v>
      </c>
      <c r="S39" s="15"/>
      <c r="T39" s="15">
        <v>40</v>
      </c>
      <c r="U39" s="15"/>
      <c r="V39" s="15"/>
      <c r="W39" s="33">
        <f t="shared" si="3"/>
        <v>6</v>
      </c>
      <c r="X39" s="440">
        <f t="shared" si="0"/>
        <v>0</v>
      </c>
      <c r="Y39" s="441">
        <f t="shared" si="1"/>
        <v>0</v>
      </c>
      <c r="Z39" s="34">
        <f t="shared" si="2"/>
        <v>0</v>
      </c>
    </row>
    <row r="40" spans="1:26" x14ac:dyDescent="0.2">
      <c r="A40" s="139">
        <v>32</v>
      </c>
      <c r="B40" s="601" t="s">
        <v>73</v>
      </c>
      <c r="C40" s="139">
        <v>305</v>
      </c>
      <c r="D40" s="64"/>
      <c r="E40" s="64"/>
      <c r="F40" s="1100">
        <v>1</v>
      </c>
      <c r="G40" s="575" t="s">
        <v>397</v>
      </c>
      <c r="H40" s="15">
        <v>84</v>
      </c>
      <c r="I40" s="15">
        <v>146</v>
      </c>
      <c r="J40" s="575" t="s">
        <v>397</v>
      </c>
      <c r="K40" s="575" t="s">
        <v>397</v>
      </c>
      <c r="L40" s="15">
        <v>74</v>
      </c>
      <c r="M40" s="575" t="s">
        <v>397</v>
      </c>
      <c r="N40" s="15"/>
      <c r="O40" s="15"/>
      <c r="P40" s="15"/>
      <c r="Q40" s="15"/>
      <c r="R40" s="15"/>
      <c r="S40" s="15"/>
      <c r="T40" s="15"/>
      <c r="U40" s="15"/>
      <c r="V40" s="15"/>
      <c r="W40" s="33">
        <f t="shared" si="3"/>
        <v>3</v>
      </c>
      <c r="X40" s="440">
        <f t="shared" si="0"/>
        <v>1</v>
      </c>
      <c r="Y40" s="441">
        <f t="shared" si="1"/>
        <v>0</v>
      </c>
      <c r="Z40" s="34">
        <f t="shared" si="2"/>
        <v>0</v>
      </c>
    </row>
    <row r="41" spans="1:26" x14ac:dyDescent="0.2">
      <c r="A41" s="139">
        <v>33</v>
      </c>
      <c r="B41" s="601" t="s">
        <v>62</v>
      </c>
      <c r="C41" s="139">
        <v>304</v>
      </c>
      <c r="D41" s="64"/>
      <c r="E41" s="64"/>
      <c r="F41" s="1101">
        <v>17.5</v>
      </c>
      <c r="G41" s="575" t="s">
        <v>397</v>
      </c>
      <c r="H41" s="575" t="s">
        <v>397</v>
      </c>
      <c r="I41" s="15">
        <v>21</v>
      </c>
      <c r="J41" s="575" t="s">
        <v>397</v>
      </c>
      <c r="K41" s="15">
        <v>19</v>
      </c>
      <c r="L41" s="15">
        <v>60</v>
      </c>
      <c r="M41" s="575" t="s">
        <v>397</v>
      </c>
      <c r="N41" s="15">
        <v>64</v>
      </c>
      <c r="O41" s="15"/>
      <c r="P41" s="15"/>
      <c r="Q41" s="15"/>
      <c r="R41" s="15"/>
      <c r="S41" s="15">
        <v>62.5</v>
      </c>
      <c r="T41" s="15">
        <v>60</v>
      </c>
      <c r="U41" s="15"/>
      <c r="V41" s="15"/>
      <c r="W41" s="33">
        <f t="shared" si="3"/>
        <v>6</v>
      </c>
      <c r="X41" s="440">
        <f t="shared" ref="X41:X72" si="4">COUNTIF(G41:H41,"&gt;=97")+COUNTIF(J41:L41,"&gt;=97")+COUNTIF(N41,"&gt;=97")+COUNTIF(P41,"&gt;=97")+COUNTIF(R41,"&gt;=97")+COUNTIF(T41,"&gt;=97")+COUNTIF(V41,"&gt;=97")+COUNTIF(I41,"&gt;=146")+COUNTIF(M41,"&gt;=146")+COUNTIF(O41,"&gt;=146")+COUNTIF(Q41,"&gt;=146")+COUNTIF(S41,"&gt;=146")+COUNTIF(U41,"&gt;=146")+IF((D41="n"),(COUNTIF(I41,"=83")+COUNTIF(I41,"=93")+COUNTIF(I41,"=105")+COUNTIF(S41,"=83")+COUNTIF(S41,"=93")+COUNTIF(S41,"=105")))+IF((E41="j"),(COUNTIF(I41,"=33")+COUNTIF(I41,"=42")+COUNTIF(I41,"=53")+COUNTIF(S41,"=33")+COUNTIF(S41,"=42")+COUNTIF(S41,"=53")))</f>
        <v>0</v>
      </c>
      <c r="Y41" s="441">
        <f t="shared" ref="Y41:Y72" si="5">COUNTIF(G41:H41,"=115")+COUNTIF(J41:L41,"=115")+COUNTIF(N41,"=115")+COUNTIF(P41,"=115")+COUNTIF(R41,"=115")+COUNTIF(T41,"=115")+COUNTIF(V41,"=115")+COUNTIF(G41:V41,"=173")</f>
        <v>0</v>
      </c>
      <c r="Z41" s="34">
        <f t="shared" ref="Z41:Z72" si="6">COUNTIF(G41:V41,"=173")</f>
        <v>0</v>
      </c>
    </row>
    <row r="42" spans="1:26" x14ac:dyDescent="0.2">
      <c r="A42" s="139">
        <v>34</v>
      </c>
      <c r="B42" s="852" t="s">
        <v>881</v>
      </c>
      <c r="C42" s="139">
        <v>288</v>
      </c>
      <c r="D42" s="64"/>
      <c r="E42" s="64"/>
      <c r="F42" s="1100"/>
      <c r="G42" s="575" t="s">
        <v>397</v>
      </c>
      <c r="H42" s="575" t="s">
        <v>397</v>
      </c>
      <c r="I42" s="575" t="s">
        <v>397</v>
      </c>
      <c r="J42" s="575" t="s">
        <v>397</v>
      </c>
      <c r="K42" s="15"/>
      <c r="L42" s="15"/>
      <c r="M42" s="15"/>
      <c r="N42" s="15"/>
      <c r="O42" s="15"/>
      <c r="P42" s="15"/>
      <c r="Q42" s="15">
        <v>173</v>
      </c>
      <c r="R42" s="15">
        <v>115</v>
      </c>
      <c r="S42" s="15"/>
      <c r="T42" s="15"/>
      <c r="U42" s="15"/>
      <c r="V42" s="15"/>
      <c r="W42" s="33">
        <f t="shared" si="3"/>
        <v>2</v>
      </c>
      <c r="X42" s="440">
        <f t="shared" si="4"/>
        <v>2</v>
      </c>
      <c r="Y42" s="441">
        <f t="shared" si="5"/>
        <v>2</v>
      </c>
      <c r="Z42" s="34">
        <f t="shared" si="6"/>
        <v>1</v>
      </c>
    </row>
    <row r="43" spans="1:26" x14ac:dyDescent="0.2">
      <c r="A43" s="139">
        <v>35</v>
      </c>
      <c r="B43" s="601" t="s">
        <v>513</v>
      </c>
      <c r="C43" s="139">
        <v>288</v>
      </c>
      <c r="D43" s="64"/>
      <c r="E43" s="64"/>
      <c r="F43" s="1100"/>
      <c r="G43" s="575" t="s">
        <v>397</v>
      </c>
      <c r="H43" s="575" t="s">
        <v>397</v>
      </c>
      <c r="I43" s="575" t="s">
        <v>397</v>
      </c>
      <c r="J43" s="575" t="s">
        <v>397</v>
      </c>
      <c r="K43" s="15">
        <v>84</v>
      </c>
      <c r="L43" s="15">
        <v>56</v>
      </c>
      <c r="M43" s="15"/>
      <c r="N43" s="15"/>
      <c r="O43" s="15"/>
      <c r="P43" s="15">
        <v>105</v>
      </c>
      <c r="Q43" s="15"/>
      <c r="R43" s="15"/>
      <c r="S43" s="15"/>
      <c r="T43" s="15">
        <v>43</v>
      </c>
      <c r="U43" s="15"/>
      <c r="V43" s="15"/>
      <c r="W43" s="33">
        <f t="shared" si="3"/>
        <v>4</v>
      </c>
      <c r="X43" s="440">
        <f t="shared" si="4"/>
        <v>1</v>
      </c>
      <c r="Y43" s="441">
        <f t="shared" si="5"/>
        <v>0</v>
      </c>
      <c r="Z43" s="34">
        <f t="shared" si="6"/>
        <v>0</v>
      </c>
    </row>
    <row r="44" spans="1:26" x14ac:dyDescent="0.2">
      <c r="A44" s="139">
        <v>36</v>
      </c>
      <c r="B44" s="601" t="s">
        <v>437</v>
      </c>
      <c r="C44" s="139">
        <v>271</v>
      </c>
      <c r="D44" s="64"/>
      <c r="E44" s="64"/>
      <c r="F44" s="1100"/>
      <c r="G44" s="575" t="s">
        <v>397</v>
      </c>
      <c r="H44" s="575" t="s">
        <v>397</v>
      </c>
      <c r="I44" s="575" t="s">
        <v>397</v>
      </c>
      <c r="J44" s="15">
        <v>105</v>
      </c>
      <c r="K44" s="15">
        <v>97</v>
      </c>
      <c r="L44" s="15">
        <v>69</v>
      </c>
      <c r="M44" s="15"/>
      <c r="N44" s="575" t="s">
        <v>397</v>
      </c>
      <c r="O44" s="15"/>
      <c r="P44" s="15"/>
      <c r="Q44" s="15"/>
      <c r="R44" s="15"/>
      <c r="S44" s="15"/>
      <c r="T44" s="15"/>
      <c r="U44" s="15"/>
      <c r="V44" s="15"/>
      <c r="W44" s="33">
        <f t="shared" si="3"/>
        <v>3</v>
      </c>
      <c r="X44" s="440">
        <f t="shared" si="4"/>
        <v>2</v>
      </c>
      <c r="Y44" s="441">
        <f t="shared" si="5"/>
        <v>0</v>
      </c>
      <c r="Z44" s="34">
        <f t="shared" si="6"/>
        <v>0</v>
      </c>
    </row>
    <row r="45" spans="1:26" x14ac:dyDescent="0.2">
      <c r="A45" s="139">
        <v>37</v>
      </c>
      <c r="B45" s="601" t="s">
        <v>53</v>
      </c>
      <c r="C45" s="139">
        <v>268</v>
      </c>
      <c r="D45" s="64"/>
      <c r="E45" s="64"/>
      <c r="F45" s="1100">
        <v>49</v>
      </c>
      <c r="G45" s="15">
        <v>115</v>
      </c>
      <c r="H45" s="575" t="s">
        <v>397</v>
      </c>
      <c r="I45" s="15">
        <v>104</v>
      </c>
      <c r="J45" s="575" t="s">
        <v>397</v>
      </c>
      <c r="K45" s="575" t="s">
        <v>397</v>
      </c>
      <c r="L45" s="15"/>
      <c r="M45" s="575" t="s">
        <v>397</v>
      </c>
      <c r="N45" s="15"/>
      <c r="O45" s="15"/>
      <c r="P45" s="15"/>
      <c r="Q45" s="15"/>
      <c r="R45" s="15"/>
      <c r="S45" s="15"/>
      <c r="T45" s="15"/>
      <c r="U45" s="15"/>
      <c r="V45" s="15"/>
      <c r="W45" s="33">
        <f t="shared" si="3"/>
        <v>2</v>
      </c>
      <c r="X45" s="440">
        <f t="shared" si="4"/>
        <v>1</v>
      </c>
      <c r="Y45" s="441">
        <f t="shared" si="5"/>
        <v>1</v>
      </c>
      <c r="Z45" s="34">
        <f t="shared" si="6"/>
        <v>0</v>
      </c>
    </row>
    <row r="46" spans="1:26" x14ac:dyDescent="0.2">
      <c r="A46" s="139">
        <v>38</v>
      </c>
      <c r="B46" s="67" t="s">
        <v>710</v>
      </c>
      <c r="C46" s="870">
        <v>257</v>
      </c>
      <c r="D46" s="64"/>
      <c r="E46" s="64"/>
      <c r="F46" s="1100"/>
      <c r="G46" s="575" t="s">
        <v>397</v>
      </c>
      <c r="H46" s="575" t="s">
        <v>397</v>
      </c>
      <c r="I46" s="575" t="s">
        <v>397</v>
      </c>
      <c r="J46" s="575" t="s">
        <v>397</v>
      </c>
      <c r="K46" s="15"/>
      <c r="L46" s="15"/>
      <c r="M46" s="15"/>
      <c r="N46" s="15"/>
      <c r="O46" s="15"/>
      <c r="P46" s="15">
        <v>97</v>
      </c>
      <c r="Q46" s="15"/>
      <c r="R46" s="15"/>
      <c r="S46" s="15"/>
      <c r="T46" s="15"/>
      <c r="U46" s="15">
        <v>111</v>
      </c>
      <c r="V46" s="15">
        <v>49</v>
      </c>
      <c r="W46" s="33">
        <f t="shared" si="3"/>
        <v>3</v>
      </c>
      <c r="X46" s="440">
        <f t="shared" si="4"/>
        <v>1</v>
      </c>
      <c r="Y46" s="441">
        <f t="shared" si="5"/>
        <v>0</v>
      </c>
      <c r="Z46" s="34">
        <f t="shared" si="6"/>
        <v>0</v>
      </c>
    </row>
    <row r="47" spans="1:26" x14ac:dyDescent="0.2">
      <c r="A47" s="139">
        <v>39</v>
      </c>
      <c r="B47" s="67" t="s">
        <v>88</v>
      </c>
      <c r="C47" s="870">
        <v>233</v>
      </c>
      <c r="D47" s="64"/>
      <c r="E47" s="64"/>
      <c r="F47" s="1100">
        <v>1</v>
      </c>
      <c r="G47" s="575" t="s">
        <v>397</v>
      </c>
      <c r="H47" s="575" t="s">
        <v>397</v>
      </c>
      <c r="I47" s="15">
        <v>24</v>
      </c>
      <c r="J47" s="575" t="s">
        <v>397</v>
      </c>
      <c r="K47" s="15"/>
      <c r="L47" s="15"/>
      <c r="M47" s="575" t="s">
        <v>397</v>
      </c>
      <c r="N47" s="15"/>
      <c r="O47" s="15"/>
      <c r="P47" s="15"/>
      <c r="Q47" s="15"/>
      <c r="R47" s="15"/>
      <c r="S47" s="15"/>
      <c r="T47" s="15"/>
      <c r="U47" s="15">
        <v>111</v>
      </c>
      <c r="V47" s="15">
        <v>97</v>
      </c>
      <c r="W47" s="33">
        <f t="shared" si="3"/>
        <v>3</v>
      </c>
      <c r="X47" s="440">
        <f t="shared" si="4"/>
        <v>1</v>
      </c>
      <c r="Y47" s="441">
        <f t="shared" si="5"/>
        <v>0</v>
      </c>
      <c r="Z47" s="34">
        <f t="shared" si="6"/>
        <v>0</v>
      </c>
    </row>
    <row r="48" spans="1:26" x14ac:dyDescent="0.2">
      <c r="A48" s="139">
        <v>40</v>
      </c>
      <c r="B48" s="601" t="s">
        <v>424</v>
      </c>
      <c r="C48" s="139">
        <v>221</v>
      </c>
      <c r="D48" s="64"/>
      <c r="E48" s="64"/>
      <c r="F48" s="1100"/>
      <c r="G48" s="575" t="s">
        <v>397</v>
      </c>
      <c r="H48" s="575" t="s">
        <v>397</v>
      </c>
      <c r="I48" s="15">
        <v>56</v>
      </c>
      <c r="J48" s="575" t="s">
        <v>397</v>
      </c>
      <c r="K48" s="15">
        <v>22</v>
      </c>
      <c r="L48" s="15"/>
      <c r="M48" s="575" t="s">
        <v>397</v>
      </c>
      <c r="N48" s="15"/>
      <c r="O48" s="15">
        <v>69</v>
      </c>
      <c r="P48" s="15">
        <v>74</v>
      </c>
      <c r="Q48" s="15"/>
      <c r="R48" s="15"/>
      <c r="S48" s="15"/>
      <c r="T48" s="15"/>
      <c r="U48" s="15"/>
      <c r="V48" s="15"/>
      <c r="W48" s="33">
        <f t="shared" si="3"/>
        <v>4</v>
      </c>
      <c r="X48" s="440">
        <f t="shared" si="4"/>
        <v>0</v>
      </c>
      <c r="Y48" s="441">
        <f t="shared" si="5"/>
        <v>0</v>
      </c>
      <c r="Z48" s="34">
        <f t="shared" si="6"/>
        <v>0</v>
      </c>
    </row>
    <row r="49" spans="1:26" x14ac:dyDescent="0.2">
      <c r="A49" s="139">
        <v>41</v>
      </c>
      <c r="B49" s="601" t="s">
        <v>745</v>
      </c>
      <c r="C49" s="139">
        <v>216</v>
      </c>
      <c r="D49" s="64"/>
      <c r="E49" s="64"/>
      <c r="F49" s="1100"/>
      <c r="G49" s="575" t="s">
        <v>397</v>
      </c>
      <c r="H49" s="575" t="s">
        <v>397</v>
      </c>
      <c r="I49" s="575" t="s">
        <v>397</v>
      </c>
      <c r="J49" s="575" t="s">
        <v>397</v>
      </c>
      <c r="K49" s="15"/>
      <c r="L49" s="15"/>
      <c r="M49" s="15"/>
      <c r="N49" s="15"/>
      <c r="O49" s="15"/>
      <c r="P49" s="15"/>
      <c r="Q49" s="15">
        <v>126</v>
      </c>
      <c r="R49" s="15">
        <v>90</v>
      </c>
      <c r="S49" s="15"/>
      <c r="T49" s="15"/>
      <c r="U49" s="15"/>
      <c r="V49" s="15"/>
      <c r="W49" s="33">
        <f t="shared" si="3"/>
        <v>2</v>
      </c>
      <c r="X49" s="440">
        <f t="shared" si="4"/>
        <v>0</v>
      </c>
      <c r="Y49" s="441">
        <f t="shared" si="5"/>
        <v>0</v>
      </c>
      <c r="Z49" s="34">
        <f t="shared" si="6"/>
        <v>0</v>
      </c>
    </row>
    <row r="50" spans="1:26" x14ac:dyDescent="0.2">
      <c r="A50" s="139">
        <v>42</v>
      </c>
      <c r="B50" s="601" t="s">
        <v>42</v>
      </c>
      <c r="C50" s="139">
        <v>214</v>
      </c>
      <c r="D50" s="64"/>
      <c r="E50" s="64"/>
      <c r="F50" s="1100">
        <v>34</v>
      </c>
      <c r="G50" s="575" t="s">
        <v>397</v>
      </c>
      <c r="H50" s="575" t="s">
        <v>397</v>
      </c>
      <c r="I50" s="575" t="s">
        <v>397</v>
      </c>
      <c r="J50" s="575" t="s">
        <v>397</v>
      </c>
      <c r="K50" s="15"/>
      <c r="L50" s="15"/>
      <c r="M50" s="32"/>
      <c r="N50" s="15"/>
      <c r="O50" s="15"/>
      <c r="P50" s="15"/>
      <c r="Q50" s="15">
        <v>65</v>
      </c>
      <c r="R50" s="15">
        <v>115</v>
      </c>
      <c r="S50" s="15"/>
      <c r="T50" s="15"/>
      <c r="U50" s="15"/>
      <c r="V50" s="15"/>
      <c r="W50" s="33">
        <f t="shared" si="3"/>
        <v>2</v>
      </c>
      <c r="X50" s="440">
        <f t="shared" si="4"/>
        <v>1</v>
      </c>
      <c r="Y50" s="441">
        <f t="shared" si="5"/>
        <v>1</v>
      </c>
      <c r="Z50" s="34">
        <f t="shared" si="6"/>
        <v>0</v>
      </c>
    </row>
    <row r="51" spans="1:26" x14ac:dyDescent="0.2">
      <c r="A51" s="139">
        <v>43</v>
      </c>
      <c r="B51" s="601" t="s">
        <v>681</v>
      </c>
      <c r="C51" s="139">
        <v>204</v>
      </c>
      <c r="D51" s="64"/>
      <c r="E51" s="64"/>
      <c r="F51" s="1100"/>
      <c r="G51" s="575" t="s">
        <v>397</v>
      </c>
      <c r="H51" s="575" t="s">
        <v>397</v>
      </c>
      <c r="I51" s="575" t="s">
        <v>397</v>
      </c>
      <c r="J51" s="575" t="s">
        <v>397</v>
      </c>
      <c r="K51" s="15"/>
      <c r="L51" s="15"/>
      <c r="M51" s="15"/>
      <c r="N51" s="15"/>
      <c r="O51" s="15">
        <v>111</v>
      </c>
      <c r="P51" s="15">
        <v>74</v>
      </c>
      <c r="Q51" s="15"/>
      <c r="R51" s="15"/>
      <c r="S51" s="15"/>
      <c r="T51" s="15">
        <v>19</v>
      </c>
      <c r="U51" s="15"/>
      <c r="V51" s="15"/>
      <c r="W51" s="33">
        <f t="shared" si="3"/>
        <v>3</v>
      </c>
      <c r="X51" s="440">
        <f t="shared" si="4"/>
        <v>0</v>
      </c>
      <c r="Y51" s="441">
        <f t="shared" si="5"/>
        <v>0</v>
      </c>
      <c r="Z51" s="34">
        <f t="shared" si="6"/>
        <v>0</v>
      </c>
    </row>
    <row r="52" spans="1:26" x14ac:dyDescent="0.2">
      <c r="A52" s="139">
        <v>44</v>
      </c>
      <c r="B52" s="601" t="s">
        <v>743</v>
      </c>
      <c r="C52" s="139">
        <v>201</v>
      </c>
      <c r="D52" s="64"/>
      <c r="E52" s="64"/>
      <c r="F52" s="1100"/>
      <c r="G52" s="575" t="s">
        <v>397</v>
      </c>
      <c r="H52" s="575" t="s">
        <v>397</v>
      </c>
      <c r="I52" s="575" t="s">
        <v>397</v>
      </c>
      <c r="J52" s="575" t="s">
        <v>397</v>
      </c>
      <c r="K52" s="15"/>
      <c r="L52" s="15"/>
      <c r="M52" s="15"/>
      <c r="N52" s="15"/>
      <c r="O52" s="15"/>
      <c r="P52" s="15"/>
      <c r="Q52" s="15">
        <v>111</v>
      </c>
      <c r="R52" s="15">
        <v>90</v>
      </c>
      <c r="S52" s="15"/>
      <c r="T52" s="15"/>
      <c r="U52" s="15"/>
      <c r="V52" s="15"/>
      <c r="W52" s="33">
        <f t="shared" si="3"/>
        <v>2</v>
      </c>
      <c r="X52" s="440">
        <f t="shared" si="4"/>
        <v>0</v>
      </c>
      <c r="Y52" s="441">
        <f t="shared" si="5"/>
        <v>0</v>
      </c>
      <c r="Z52" s="34">
        <f t="shared" si="6"/>
        <v>0</v>
      </c>
    </row>
    <row r="53" spans="1:26" x14ac:dyDescent="0.2">
      <c r="A53" s="139">
        <v>45</v>
      </c>
      <c r="B53" s="345" t="s">
        <v>746</v>
      </c>
      <c r="C53" s="139">
        <v>186</v>
      </c>
      <c r="D53" s="64"/>
      <c r="E53" s="64"/>
      <c r="F53" s="1100"/>
      <c r="G53" s="575" t="s">
        <v>397</v>
      </c>
      <c r="H53" s="575" t="s">
        <v>397</v>
      </c>
      <c r="I53" s="575" t="s">
        <v>397</v>
      </c>
      <c r="J53" s="575" t="s">
        <v>397</v>
      </c>
      <c r="K53" s="15"/>
      <c r="L53" s="15"/>
      <c r="M53" s="15"/>
      <c r="N53" s="15"/>
      <c r="O53" s="15"/>
      <c r="P53" s="15"/>
      <c r="Q53" s="15">
        <v>126</v>
      </c>
      <c r="R53" s="15">
        <v>60</v>
      </c>
      <c r="S53" s="15"/>
      <c r="T53" s="15"/>
      <c r="U53" s="15"/>
      <c r="V53" s="15"/>
      <c r="W53" s="33">
        <f t="shared" si="3"/>
        <v>2</v>
      </c>
      <c r="X53" s="440">
        <f t="shared" si="4"/>
        <v>0</v>
      </c>
      <c r="Y53" s="441">
        <f t="shared" si="5"/>
        <v>0</v>
      </c>
      <c r="Z53" s="34">
        <f t="shared" si="6"/>
        <v>0</v>
      </c>
    </row>
    <row r="54" spans="1:26" x14ac:dyDescent="0.2">
      <c r="A54" s="139">
        <v>46</v>
      </c>
      <c r="B54" s="601" t="s">
        <v>744</v>
      </c>
      <c r="C54" s="139">
        <v>167</v>
      </c>
      <c r="D54" s="64"/>
      <c r="E54" s="64"/>
      <c r="F54" s="1100"/>
      <c r="G54" s="575" t="s">
        <v>397</v>
      </c>
      <c r="H54" s="575" t="s">
        <v>397</v>
      </c>
      <c r="I54" s="575" t="s">
        <v>397</v>
      </c>
      <c r="J54" s="575" t="s">
        <v>397</v>
      </c>
      <c r="K54" s="15"/>
      <c r="L54" s="15"/>
      <c r="M54" s="15"/>
      <c r="N54" s="15"/>
      <c r="O54" s="15"/>
      <c r="P54" s="15"/>
      <c r="Q54" s="15">
        <v>111</v>
      </c>
      <c r="R54" s="15">
        <v>56</v>
      </c>
      <c r="S54" s="15"/>
      <c r="T54" s="15"/>
      <c r="U54" s="15"/>
      <c r="V54" s="15"/>
      <c r="W54" s="33">
        <f t="shared" si="3"/>
        <v>2</v>
      </c>
      <c r="X54" s="440">
        <f t="shared" si="4"/>
        <v>0</v>
      </c>
      <c r="Y54" s="441">
        <f t="shared" si="5"/>
        <v>0</v>
      </c>
      <c r="Z54" s="34">
        <f t="shared" si="6"/>
        <v>0</v>
      </c>
    </row>
    <row r="55" spans="1:26" x14ac:dyDescent="0.2">
      <c r="A55" s="139">
        <v>47</v>
      </c>
      <c r="B55" s="601" t="s">
        <v>520</v>
      </c>
      <c r="C55" s="139">
        <v>167</v>
      </c>
      <c r="D55" s="64"/>
      <c r="E55" s="64"/>
      <c r="F55" s="1100"/>
      <c r="G55" s="575" t="s">
        <v>397</v>
      </c>
      <c r="H55" s="575" t="s">
        <v>397</v>
      </c>
      <c r="I55" s="575" t="s">
        <v>397</v>
      </c>
      <c r="J55" s="575" t="s">
        <v>397</v>
      </c>
      <c r="K55" s="15">
        <v>31</v>
      </c>
      <c r="L55" s="15">
        <v>90</v>
      </c>
      <c r="M55" s="15"/>
      <c r="N55" s="15"/>
      <c r="O55" s="15"/>
      <c r="P55" s="15">
        <v>46</v>
      </c>
      <c r="Q55" s="15"/>
      <c r="R55" s="15"/>
      <c r="S55" s="15"/>
      <c r="T55" s="15"/>
      <c r="U55" s="15"/>
      <c r="V55" s="15"/>
      <c r="W55" s="33">
        <f t="shared" si="3"/>
        <v>3</v>
      </c>
      <c r="X55" s="440">
        <f t="shared" si="4"/>
        <v>0</v>
      </c>
      <c r="Y55" s="441">
        <f t="shared" si="5"/>
        <v>0</v>
      </c>
      <c r="Z55" s="34">
        <f t="shared" si="6"/>
        <v>0</v>
      </c>
    </row>
    <row r="56" spans="1:26" x14ac:dyDescent="0.2">
      <c r="A56" s="139">
        <v>48</v>
      </c>
      <c r="B56" s="601" t="s">
        <v>85</v>
      </c>
      <c r="C56" s="139">
        <v>167</v>
      </c>
      <c r="D56" s="64"/>
      <c r="E56" s="64"/>
      <c r="F56" s="1100">
        <v>1</v>
      </c>
      <c r="G56" s="15">
        <v>69</v>
      </c>
      <c r="H56" s="15">
        <v>60</v>
      </c>
      <c r="I56" s="575" t="s">
        <v>397</v>
      </c>
      <c r="J56" s="575" t="s">
        <v>397</v>
      </c>
      <c r="K56" s="575" t="s">
        <v>397</v>
      </c>
      <c r="L56" s="15">
        <v>37</v>
      </c>
      <c r="M56" s="15"/>
      <c r="N56" s="575" t="s">
        <v>397</v>
      </c>
      <c r="O56" s="15"/>
      <c r="P56" s="15"/>
      <c r="Q56" s="15"/>
      <c r="R56" s="15"/>
      <c r="S56" s="15"/>
      <c r="T56" s="15"/>
      <c r="U56" s="15"/>
      <c r="V56" s="15"/>
      <c r="W56" s="33">
        <f t="shared" si="3"/>
        <v>3</v>
      </c>
      <c r="X56" s="440">
        <f t="shared" si="4"/>
        <v>0</v>
      </c>
      <c r="Y56" s="441">
        <f t="shared" si="5"/>
        <v>0</v>
      </c>
      <c r="Z56" s="34">
        <f t="shared" si="6"/>
        <v>0</v>
      </c>
    </row>
    <row r="57" spans="1:26" x14ac:dyDescent="0.2">
      <c r="A57" s="139">
        <v>49</v>
      </c>
      <c r="B57" s="601" t="s">
        <v>522</v>
      </c>
      <c r="C57" s="139">
        <v>164</v>
      </c>
      <c r="D57" s="64"/>
      <c r="E57" s="64"/>
      <c r="F57" s="1100"/>
      <c r="G57" s="575" t="s">
        <v>397</v>
      </c>
      <c r="H57" s="575" t="s">
        <v>397</v>
      </c>
      <c r="I57" s="575" t="s">
        <v>397</v>
      </c>
      <c r="J57" s="575" t="s">
        <v>397</v>
      </c>
      <c r="K57" s="15">
        <v>28</v>
      </c>
      <c r="L57" s="15">
        <v>90</v>
      </c>
      <c r="M57" s="15"/>
      <c r="N57" s="15"/>
      <c r="O57" s="15"/>
      <c r="P57" s="15">
        <v>46</v>
      </c>
      <c r="Q57" s="15"/>
      <c r="R57" s="15"/>
      <c r="S57" s="15"/>
      <c r="T57" s="15"/>
      <c r="U57" s="15"/>
      <c r="V57" s="15"/>
      <c r="W57" s="33">
        <f t="shared" si="3"/>
        <v>3</v>
      </c>
      <c r="X57" s="440">
        <f t="shared" si="4"/>
        <v>0</v>
      </c>
      <c r="Y57" s="441">
        <f t="shared" si="5"/>
        <v>0</v>
      </c>
      <c r="Z57" s="34">
        <f t="shared" si="6"/>
        <v>0</v>
      </c>
    </row>
    <row r="58" spans="1:26" x14ac:dyDescent="0.2">
      <c r="A58" s="139">
        <v>50</v>
      </c>
      <c r="B58" s="601" t="s">
        <v>670</v>
      </c>
      <c r="C58" s="139">
        <v>155</v>
      </c>
      <c r="D58" s="64"/>
      <c r="E58" s="64"/>
      <c r="F58" s="1100"/>
      <c r="G58" s="575" t="s">
        <v>397</v>
      </c>
      <c r="H58" s="575" t="s">
        <v>397</v>
      </c>
      <c r="I58" s="575" t="s">
        <v>397</v>
      </c>
      <c r="J58" s="575" t="s">
        <v>397</v>
      </c>
      <c r="K58" s="15"/>
      <c r="L58" s="15"/>
      <c r="M58" s="15"/>
      <c r="N58" s="15"/>
      <c r="O58" s="15"/>
      <c r="P58" s="15"/>
      <c r="Q58" s="15">
        <v>65</v>
      </c>
      <c r="R58" s="15">
        <v>90</v>
      </c>
      <c r="S58" s="15"/>
      <c r="T58" s="15"/>
      <c r="U58" s="15"/>
      <c r="V58" s="15"/>
      <c r="W58" s="33">
        <f t="shared" si="3"/>
        <v>2</v>
      </c>
      <c r="X58" s="440">
        <f t="shared" si="4"/>
        <v>0</v>
      </c>
      <c r="Y58" s="441">
        <f t="shared" si="5"/>
        <v>0</v>
      </c>
      <c r="Z58" s="34">
        <f t="shared" si="6"/>
        <v>0</v>
      </c>
    </row>
    <row r="59" spans="1:26" x14ac:dyDescent="0.2">
      <c r="A59" s="139">
        <v>51</v>
      </c>
      <c r="B59" s="601" t="s">
        <v>531</v>
      </c>
      <c r="C59" s="139">
        <v>154</v>
      </c>
      <c r="D59" s="64"/>
      <c r="E59" s="64"/>
      <c r="F59" s="1100"/>
      <c r="G59" s="575" t="s">
        <v>397</v>
      </c>
      <c r="H59" s="575" t="s">
        <v>397</v>
      </c>
      <c r="I59" s="575" t="s">
        <v>397</v>
      </c>
      <c r="J59" s="575" t="s">
        <v>397</v>
      </c>
      <c r="K59" s="15"/>
      <c r="L59" s="15">
        <v>64</v>
      </c>
      <c r="M59" s="15"/>
      <c r="N59" s="15"/>
      <c r="O59" s="15"/>
      <c r="P59" s="15">
        <v>90</v>
      </c>
      <c r="Q59" s="15"/>
      <c r="R59" s="15"/>
      <c r="S59" s="15"/>
      <c r="T59" s="15"/>
      <c r="U59" s="15"/>
      <c r="V59" s="15"/>
      <c r="W59" s="33">
        <f t="shared" si="3"/>
        <v>2</v>
      </c>
      <c r="X59" s="440">
        <f t="shared" si="4"/>
        <v>0</v>
      </c>
      <c r="Y59" s="441">
        <f t="shared" si="5"/>
        <v>0</v>
      </c>
      <c r="Z59" s="34">
        <f t="shared" si="6"/>
        <v>0</v>
      </c>
    </row>
    <row r="60" spans="1:26" x14ac:dyDescent="0.2">
      <c r="A60" s="139">
        <v>52</v>
      </c>
      <c r="B60" s="601" t="s">
        <v>695</v>
      </c>
      <c r="C60" s="139">
        <v>152</v>
      </c>
      <c r="D60" s="64"/>
      <c r="E60" s="64"/>
      <c r="F60" s="1100"/>
      <c r="G60" s="575" t="s">
        <v>397</v>
      </c>
      <c r="H60" s="575" t="s">
        <v>397</v>
      </c>
      <c r="I60" s="575" t="s">
        <v>397</v>
      </c>
      <c r="J60" s="575" t="s">
        <v>397</v>
      </c>
      <c r="K60" s="15"/>
      <c r="L60" s="15"/>
      <c r="M60" s="15"/>
      <c r="N60" s="15"/>
      <c r="O60" s="15">
        <v>74</v>
      </c>
      <c r="P60" s="15">
        <v>56</v>
      </c>
      <c r="Q60" s="15"/>
      <c r="R60" s="15"/>
      <c r="S60" s="15"/>
      <c r="T60" s="15">
        <v>22</v>
      </c>
      <c r="U60" s="15"/>
      <c r="V60" s="15"/>
      <c r="W60" s="33">
        <f t="shared" si="3"/>
        <v>3</v>
      </c>
      <c r="X60" s="440">
        <f t="shared" si="4"/>
        <v>0</v>
      </c>
      <c r="Y60" s="441">
        <f t="shared" si="5"/>
        <v>0</v>
      </c>
      <c r="Z60" s="34">
        <f t="shared" si="6"/>
        <v>0</v>
      </c>
    </row>
    <row r="61" spans="1:26" x14ac:dyDescent="0.2">
      <c r="A61" s="139">
        <v>53</v>
      </c>
      <c r="B61" s="601" t="s">
        <v>430</v>
      </c>
      <c r="C61" s="139">
        <v>131</v>
      </c>
      <c r="D61" s="64"/>
      <c r="E61" s="64"/>
      <c r="F61" s="1100"/>
      <c r="G61" s="575" t="s">
        <v>397</v>
      </c>
      <c r="H61" s="575" t="s">
        <v>397</v>
      </c>
      <c r="I61" s="575" t="s">
        <v>397</v>
      </c>
      <c r="J61" s="15">
        <v>74</v>
      </c>
      <c r="K61" s="15">
        <v>8</v>
      </c>
      <c r="L61" s="15">
        <v>49</v>
      </c>
      <c r="M61" s="15"/>
      <c r="N61" s="575" t="s">
        <v>397</v>
      </c>
      <c r="O61" s="15"/>
      <c r="P61" s="15"/>
      <c r="Q61" s="15"/>
      <c r="R61" s="15"/>
      <c r="S61" s="15"/>
      <c r="T61" s="15"/>
      <c r="U61" s="15"/>
      <c r="V61" s="15"/>
      <c r="W61" s="33">
        <f t="shared" si="3"/>
        <v>3</v>
      </c>
      <c r="X61" s="440">
        <f t="shared" si="4"/>
        <v>0</v>
      </c>
      <c r="Y61" s="441">
        <f t="shared" si="5"/>
        <v>0</v>
      </c>
      <c r="Z61" s="34">
        <f t="shared" si="6"/>
        <v>0</v>
      </c>
    </row>
    <row r="62" spans="1:26" x14ac:dyDescent="0.2">
      <c r="A62" s="139">
        <v>54</v>
      </c>
      <c r="B62" s="67" t="s">
        <v>314</v>
      </c>
      <c r="C62" s="870">
        <v>129</v>
      </c>
      <c r="D62" s="64"/>
      <c r="E62" s="64"/>
      <c r="F62" s="1100">
        <v>1</v>
      </c>
      <c r="G62" s="575" t="s">
        <v>397</v>
      </c>
      <c r="H62" s="575" t="s">
        <v>397</v>
      </c>
      <c r="I62" s="575" t="s">
        <v>397</v>
      </c>
      <c r="J62" s="575" t="s">
        <v>397</v>
      </c>
      <c r="K62" s="15">
        <v>49</v>
      </c>
      <c r="L62" s="15"/>
      <c r="M62" s="15"/>
      <c r="N62" s="15"/>
      <c r="O62" s="15"/>
      <c r="P62" s="15"/>
      <c r="Q62" s="15"/>
      <c r="R62" s="15"/>
      <c r="S62" s="15"/>
      <c r="T62" s="15"/>
      <c r="U62" s="15"/>
      <c r="V62" s="15">
        <v>79</v>
      </c>
      <c r="W62" s="33">
        <f t="shared" si="3"/>
        <v>2</v>
      </c>
      <c r="X62" s="440">
        <f t="shared" si="4"/>
        <v>0</v>
      </c>
      <c r="Y62" s="441">
        <f t="shared" si="5"/>
        <v>0</v>
      </c>
      <c r="Z62" s="34">
        <f t="shared" si="6"/>
        <v>0</v>
      </c>
    </row>
    <row r="63" spans="1:26" x14ac:dyDescent="0.2">
      <c r="A63" s="139">
        <v>55</v>
      </c>
      <c r="B63" s="601" t="s">
        <v>98</v>
      </c>
      <c r="C63" s="139">
        <v>129</v>
      </c>
      <c r="D63" s="64"/>
      <c r="E63" s="64"/>
      <c r="F63" s="1100">
        <v>28</v>
      </c>
      <c r="G63" s="575" t="s">
        <v>397</v>
      </c>
      <c r="H63" s="575" t="s">
        <v>397</v>
      </c>
      <c r="I63" s="575" t="s">
        <v>397</v>
      </c>
      <c r="J63" s="575" t="s">
        <v>397</v>
      </c>
      <c r="K63" s="15">
        <v>52</v>
      </c>
      <c r="L63" s="15">
        <v>49</v>
      </c>
      <c r="M63" s="15"/>
      <c r="N63" s="15"/>
      <c r="O63" s="15"/>
      <c r="P63" s="15"/>
      <c r="Q63" s="15"/>
      <c r="R63" s="15"/>
      <c r="S63" s="15"/>
      <c r="T63" s="15"/>
      <c r="U63" s="15"/>
      <c r="V63" s="15"/>
      <c r="W63" s="33">
        <f t="shared" si="3"/>
        <v>2</v>
      </c>
      <c r="X63" s="440">
        <f t="shared" si="4"/>
        <v>0</v>
      </c>
      <c r="Y63" s="441">
        <f t="shared" si="5"/>
        <v>0</v>
      </c>
      <c r="Z63" s="34">
        <f t="shared" si="6"/>
        <v>0</v>
      </c>
    </row>
    <row r="64" spans="1:26" x14ac:dyDescent="0.2">
      <c r="A64" s="139">
        <v>56</v>
      </c>
      <c r="B64" s="601" t="s">
        <v>523</v>
      </c>
      <c r="C64" s="139">
        <v>126</v>
      </c>
      <c r="D64" s="64"/>
      <c r="E64" s="64"/>
      <c r="F64" s="1100"/>
      <c r="G64" s="575" t="s">
        <v>397</v>
      </c>
      <c r="H64" s="575" t="s">
        <v>397</v>
      </c>
      <c r="I64" s="575" t="s">
        <v>397</v>
      </c>
      <c r="J64" s="575" t="s">
        <v>397</v>
      </c>
      <c r="K64" s="15">
        <v>28</v>
      </c>
      <c r="L64" s="15">
        <v>52</v>
      </c>
      <c r="M64" s="15"/>
      <c r="N64" s="15"/>
      <c r="O64" s="15"/>
      <c r="P64" s="15">
        <v>46</v>
      </c>
      <c r="Q64" s="15"/>
      <c r="R64" s="15"/>
      <c r="S64" s="15"/>
      <c r="T64" s="15"/>
      <c r="U64" s="15"/>
      <c r="V64" s="15"/>
      <c r="W64" s="33">
        <f t="shared" si="3"/>
        <v>3</v>
      </c>
      <c r="X64" s="440">
        <f t="shared" si="4"/>
        <v>0</v>
      </c>
      <c r="Y64" s="441">
        <f t="shared" si="5"/>
        <v>0</v>
      </c>
      <c r="Z64" s="34">
        <f t="shared" si="6"/>
        <v>0</v>
      </c>
    </row>
    <row r="65" spans="1:26" x14ac:dyDescent="0.2">
      <c r="A65" s="139">
        <v>57</v>
      </c>
      <c r="B65" s="601" t="s">
        <v>711</v>
      </c>
      <c r="C65" s="139">
        <v>115</v>
      </c>
      <c r="D65" s="64"/>
      <c r="E65" s="64"/>
      <c r="F65" s="1100"/>
      <c r="G65" s="575" t="s">
        <v>397</v>
      </c>
      <c r="H65" s="575" t="s">
        <v>397</v>
      </c>
      <c r="I65" s="575" t="s">
        <v>397</v>
      </c>
      <c r="J65" s="575" t="s">
        <v>397</v>
      </c>
      <c r="K65" s="15"/>
      <c r="L65" s="15"/>
      <c r="M65" s="15"/>
      <c r="N65" s="15"/>
      <c r="O65" s="15"/>
      <c r="P65" s="15">
        <v>115</v>
      </c>
      <c r="Q65" s="15"/>
      <c r="R65" s="15"/>
      <c r="S65" s="15"/>
      <c r="T65" s="15"/>
      <c r="U65" s="15"/>
      <c r="V65" s="15"/>
      <c r="W65" s="33">
        <f t="shared" si="3"/>
        <v>1</v>
      </c>
      <c r="X65" s="440">
        <f t="shared" si="4"/>
        <v>1</v>
      </c>
      <c r="Y65" s="441">
        <f t="shared" si="5"/>
        <v>1</v>
      </c>
      <c r="Z65" s="34">
        <f t="shared" si="6"/>
        <v>0</v>
      </c>
    </row>
    <row r="66" spans="1:26" x14ac:dyDescent="0.2">
      <c r="A66" s="139">
        <v>57</v>
      </c>
      <c r="B66" s="67" t="s">
        <v>879</v>
      </c>
      <c r="C66" s="870">
        <v>115</v>
      </c>
      <c r="D66" s="64"/>
      <c r="E66" s="64"/>
      <c r="F66" s="1100"/>
      <c r="G66" s="575" t="s">
        <v>397</v>
      </c>
      <c r="H66" s="575" t="s">
        <v>397</v>
      </c>
      <c r="I66" s="575" t="s">
        <v>397</v>
      </c>
      <c r="J66" s="575" t="s">
        <v>397</v>
      </c>
      <c r="K66" s="15"/>
      <c r="L66" s="15"/>
      <c r="M66" s="15"/>
      <c r="N66" s="15"/>
      <c r="O66" s="15"/>
      <c r="P66" s="15"/>
      <c r="Q66" s="15"/>
      <c r="R66" s="15"/>
      <c r="S66" s="15"/>
      <c r="T66" s="15"/>
      <c r="U66" s="15"/>
      <c r="V66" s="15">
        <v>115</v>
      </c>
      <c r="W66" s="33">
        <f t="shared" si="3"/>
        <v>1</v>
      </c>
      <c r="X66" s="440">
        <f t="shared" si="4"/>
        <v>1</v>
      </c>
      <c r="Y66" s="441">
        <f t="shared" si="5"/>
        <v>1</v>
      </c>
      <c r="Z66" s="34">
        <f t="shared" si="6"/>
        <v>0</v>
      </c>
    </row>
    <row r="67" spans="1:26" x14ac:dyDescent="0.2">
      <c r="A67" s="139">
        <v>57</v>
      </c>
      <c r="B67" s="601" t="s">
        <v>534</v>
      </c>
      <c r="C67" s="139">
        <v>115</v>
      </c>
      <c r="D67" s="64"/>
      <c r="E67" s="64"/>
      <c r="F67" s="1100"/>
      <c r="G67" s="575" t="s">
        <v>397</v>
      </c>
      <c r="H67" s="575" t="s">
        <v>397</v>
      </c>
      <c r="I67" s="575" t="s">
        <v>397</v>
      </c>
      <c r="J67" s="575" t="s">
        <v>397</v>
      </c>
      <c r="K67" s="15"/>
      <c r="L67" s="15">
        <v>46</v>
      </c>
      <c r="M67" s="15"/>
      <c r="N67" s="15"/>
      <c r="O67" s="15"/>
      <c r="P67" s="15">
        <v>69</v>
      </c>
      <c r="Q67" s="15"/>
      <c r="R67" s="15"/>
      <c r="S67" s="15"/>
      <c r="T67" s="15"/>
      <c r="U67" s="15"/>
      <c r="V67" s="15"/>
      <c r="W67" s="33">
        <f t="shared" si="3"/>
        <v>2</v>
      </c>
      <c r="X67" s="440">
        <f t="shared" si="4"/>
        <v>0</v>
      </c>
      <c r="Y67" s="441">
        <f t="shared" si="5"/>
        <v>0</v>
      </c>
      <c r="Z67" s="34">
        <f t="shared" si="6"/>
        <v>0</v>
      </c>
    </row>
    <row r="68" spans="1:26" x14ac:dyDescent="0.2">
      <c r="A68" s="139">
        <v>60</v>
      </c>
      <c r="B68" s="67" t="s">
        <v>91</v>
      </c>
      <c r="C68" s="870">
        <v>114</v>
      </c>
      <c r="D68" s="64"/>
      <c r="E68" s="64"/>
      <c r="F68" s="1100">
        <v>1</v>
      </c>
      <c r="G68" s="575" t="s">
        <v>397</v>
      </c>
      <c r="H68" s="575" t="s">
        <v>397</v>
      </c>
      <c r="I68" s="575" t="s">
        <v>397</v>
      </c>
      <c r="J68" s="575" t="s">
        <v>397</v>
      </c>
      <c r="K68" s="15">
        <v>34</v>
      </c>
      <c r="L68" s="15"/>
      <c r="M68" s="15"/>
      <c r="N68" s="15"/>
      <c r="O68" s="15"/>
      <c r="P68" s="15"/>
      <c r="Q68" s="15"/>
      <c r="R68" s="15"/>
      <c r="S68" s="15"/>
      <c r="T68" s="15"/>
      <c r="U68" s="15"/>
      <c r="V68" s="15">
        <v>79</v>
      </c>
      <c r="W68" s="33">
        <f t="shared" si="3"/>
        <v>2</v>
      </c>
      <c r="X68" s="440">
        <f t="shared" si="4"/>
        <v>0</v>
      </c>
      <c r="Y68" s="441">
        <f t="shared" si="5"/>
        <v>0</v>
      </c>
      <c r="Z68" s="34">
        <f t="shared" si="6"/>
        <v>0</v>
      </c>
    </row>
    <row r="69" spans="1:26" x14ac:dyDescent="0.2">
      <c r="A69" s="139">
        <v>61</v>
      </c>
      <c r="B69" s="67" t="s">
        <v>878</v>
      </c>
      <c r="C69" s="870">
        <v>111</v>
      </c>
      <c r="D69" s="64"/>
      <c r="E69" s="64"/>
      <c r="F69" s="1100"/>
      <c r="G69" s="575" t="s">
        <v>397</v>
      </c>
      <c r="H69" s="575" t="s">
        <v>397</v>
      </c>
      <c r="I69" s="575" t="s">
        <v>397</v>
      </c>
      <c r="J69" s="575" t="s">
        <v>397</v>
      </c>
      <c r="K69" s="15"/>
      <c r="L69" s="15"/>
      <c r="M69" s="15"/>
      <c r="N69" s="15"/>
      <c r="O69" s="15"/>
      <c r="P69" s="15"/>
      <c r="Q69" s="15"/>
      <c r="R69" s="15"/>
      <c r="S69" s="15"/>
      <c r="T69" s="15"/>
      <c r="U69" s="15">
        <v>111</v>
      </c>
      <c r="V69" s="15"/>
      <c r="W69" s="33">
        <f t="shared" si="3"/>
        <v>1</v>
      </c>
      <c r="X69" s="440">
        <f t="shared" si="4"/>
        <v>0</v>
      </c>
      <c r="Y69" s="441">
        <f t="shared" si="5"/>
        <v>0</v>
      </c>
      <c r="Z69" s="34">
        <f t="shared" si="6"/>
        <v>0</v>
      </c>
    </row>
    <row r="70" spans="1:26" x14ac:dyDescent="0.2">
      <c r="A70" s="139">
        <v>62</v>
      </c>
      <c r="B70" s="601" t="s">
        <v>323</v>
      </c>
      <c r="C70" s="139">
        <v>107</v>
      </c>
      <c r="D70" s="64"/>
      <c r="E70" s="64"/>
      <c r="F70" s="1100">
        <v>1</v>
      </c>
      <c r="G70" s="15">
        <v>69</v>
      </c>
      <c r="H70" s="575" t="s">
        <v>397</v>
      </c>
      <c r="I70" s="575" t="s">
        <v>397</v>
      </c>
      <c r="J70" s="575" t="s">
        <v>397</v>
      </c>
      <c r="K70" s="575" t="s">
        <v>397</v>
      </c>
      <c r="L70" s="15">
        <v>37</v>
      </c>
      <c r="M70" s="15"/>
      <c r="N70" s="15"/>
      <c r="O70" s="15"/>
      <c r="P70" s="15"/>
      <c r="Q70" s="15"/>
      <c r="R70" s="15"/>
      <c r="S70" s="15"/>
      <c r="T70" s="15"/>
      <c r="U70" s="15"/>
      <c r="V70" s="15"/>
      <c r="W70" s="33">
        <f t="shared" si="3"/>
        <v>2</v>
      </c>
      <c r="X70" s="440">
        <f t="shared" si="4"/>
        <v>0</v>
      </c>
      <c r="Y70" s="441">
        <f t="shared" si="5"/>
        <v>0</v>
      </c>
      <c r="Z70" s="34">
        <f t="shared" si="6"/>
        <v>0</v>
      </c>
    </row>
    <row r="71" spans="1:26" x14ac:dyDescent="0.2">
      <c r="A71" s="139">
        <v>63</v>
      </c>
      <c r="B71" s="601" t="s">
        <v>877</v>
      </c>
      <c r="C71" s="139">
        <v>104</v>
      </c>
      <c r="D71" s="64"/>
      <c r="E71" s="64"/>
      <c r="F71" s="1100"/>
      <c r="G71" s="575" t="s">
        <v>397</v>
      </c>
      <c r="H71" s="575" t="s">
        <v>397</v>
      </c>
      <c r="I71" s="575" t="s">
        <v>397</v>
      </c>
      <c r="J71" s="575" t="s">
        <v>397</v>
      </c>
      <c r="K71" s="15"/>
      <c r="L71" s="15"/>
      <c r="M71" s="15"/>
      <c r="N71" s="15"/>
      <c r="O71" s="15"/>
      <c r="P71" s="15"/>
      <c r="Q71" s="15"/>
      <c r="R71" s="15"/>
      <c r="S71" s="15"/>
      <c r="T71" s="15"/>
      <c r="U71" s="15">
        <v>104</v>
      </c>
      <c r="V71" s="15"/>
      <c r="W71" s="33">
        <f t="shared" si="3"/>
        <v>1</v>
      </c>
      <c r="X71" s="440">
        <f t="shared" si="4"/>
        <v>0</v>
      </c>
      <c r="Y71" s="441">
        <f t="shared" si="5"/>
        <v>0</v>
      </c>
      <c r="Z71" s="34">
        <f t="shared" si="6"/>
        <v>0</v>
      </c>
    </row>
    <row r="72" spans="1:26" x14ac:dyDescent="0.2">
      <c r="A72" s="139">
        <v>64</v>
      </c>
      <c r="B72" s="166" t="s">
        <v>532</v>
      </c>
      <c r="C72" s="139">
        <v>95</v>
      </c>
      <c r="D72" s="64"/>
      <c r="E72" s="64" t="s">
        <v>50</v>
      </c>
      <c r="F72" s="1100"/>
      <c r="G72" s="575" t="s">
        <v>397</v>
      </c>
      <c r="H72" s="575" t="s">
        <v>397</v>
      </c>
      <c r="I72" s="575" t="s">
        <v>397</v>
      </c>
      <c r="J72" s="575" t="s">
        <v>397</v>
      </c>
      <c r="K72" s="15"/>
      <c r="L72" s="15">
        <v>46</v>
      </c>
      <c r="M72" s="15"/>
      <c r="N72" s="15"/>
      <c r="O72" s="15"/>
      <c r="P72" s="15">
        <v>49</v>
      </c>
      <c r="Q72" s="15"/>
      <c r="R72" s="15"/>
      <c r="S72" s="15"/>
      <c r="T72" s="15"/>
      <c r="U72" s="15"/>
      <c r="V72" s="15"/>
      <c r="W72" s="33">
        <f t="shared" si="3"/>
        <v>2</v>
      </c>
      <c r="X72" s="440">
        <f t="shared" si="4"/>
        <v>0</v>
      </c>
      <c r="Y72" s="441">
        <f t="shared" si="5"/>
        <v>0</v>
      </c>
      <c r="Z72" s="34">
        <f t="shared" si="6"/>
        <v>0</v>
      </c>
    </row>
    <row r="73" spans="1:26" x14ac:dyDescent="0.2">
      <c r="A73" s="139">
        <v>64</v>
      </c>
      <c r="B73" s="601" t="s">
        <v>535</v>
      </c>
      <c r="C73" s="139">
        <v>95</v>
      </c>
      <c r="D73" s="64"/>
      <c r="E73" s="64"/>
      <c r="F73" s="1100"/>
      <c r="G73" s="575" t="s">
        <v>397</v>
      </c>
      <c r="H73" s="575" t="s">
        <v>397</v>
      </c>
      <c r="I73" s="575" t="s">
        <v>397</v>
      </c>
      <c r="J73" s="575" t="s">
        <v>397</v>
      </c>
      <c r="K73" s="15"/>
      <c r="L73" s="15">
        <v>46</v>
      </c>
      <c r="M73" s="15"/>
      <c r="N73" s="15"/>
      <c r="O73" s="15"/>
      <c r="P73" s="15">
        <v>49</v>
      </c>
      <c r="Q73" s="15"/>
      <c r="R73" s="15"/>
      <c r="S73" s="15"/>
      <c r="T73" s="15"/>
      <c r="U73" s="15"/>
      <c r="V73" s="15"/>
      <c r="W73" s="33">
        <f t="shared" si="3"/>
        <v>2</v>
      </c>
      <c r="X73" s="440">
        <f t="shared" ref="X73:X104" si="7">COUNTIF(G73:H73,"&gt;=97")+COUNTIF(J73:L73,"&gt;=97")+COUNTIF(N73,"&gt;=97")+COUNTIF(P73,"&gt;=97")+COUNTIF(R73,"&gt;=97")+COUNTIF(T73,"&gt;=97")+COUNTIF(V73,"&gt;=97")+COUNTIF(I73,"&gt;=146")+COUNTIF(M73,"&gt;=146")+COUNTIF(O73,"&gt;=146")+COUNTIF(Q73,"&gt;=146")+COUNTIF(S73,"&gt;=146")+COUNTIF(U73,"&gt;=146")+IF((D73="n"),(COUNTIF(I73,"=83")+COUNTIF(I73,"=93")+COUNTIF(I73,"=105")+COUNTIF(S73,"=83")+COUNTIF(S73,"=93")+COUNTIF(S73,"=105")))+IF((E73="j"),(COUNTIF(I73,"=33")+COUNTIF(I73,"=42")+COUNTIF(I73,"=53")+COUNTIF(S73,"=33")+COUNTIF(S73,"=42")+COUNTIF(S73,"=53")))</f>
        <v>0</v>
      </c>
      <c r="Y73" s="441">
        <f t="shared" ref="Y73:Y104" si="8">COUNTIF(G73:H73,"=115")+COUNTIF(J73:L73,"=115")+COUNTIF(N73,"=115")+COUNTIF(P73,"=115")+COUNTIF(R73,"=115")+COUNTIF(T73,"=115")+COUNTIF(V73,"=115")+COUNTIF(G73:V73,"=173")</f>
        <v>0</v>
      </c>
      <c r="Z73" s="34">
        <f t="shared" ref="Z73:Z104" si="9">COUNTIF(G73:V73,"=173")</f>
        <v>0</v>
      </c>
    </row>
    <row r="74" spans="1:26" x14ac:dyDescent="0.2">
      <c r="A74" s="139">
        <v>66</v>
      </c>
      <c r="B74" s="601" t="s">
        <v>100</v>
      </c>
      <c r="C74" s="139">
        <v>93</v>
      </c>
      <c r="D74" s="64"/>
      <c r="E74" s="64"/>
      <c r="F74" s="1100">
        <v>1</v>
      </c>
      <c r="G74" s="575" t="s">
        <v>397</v>
      </c>
      <c r="H74" s="575" t="s">
        <v>397</v>
      </c>
      <c r="I74" s="575" t="s">
        <v>397</v>
      </c>
      <c r="J74" s="575" t="s">
        <v>397</v>
      </c>
      <c r="K74" s="15"/>
      <c r="L74" s="15"/>
      <c r="M74" s="15"/>
      <c r="N74" s="15"/>
      <c r="O74" s="15"/>
      <c r="P74" s="15">
        <v>52</v>
      </c>
      <c r="Q74" s="15"/>
      <c r="R74" s="15"/>
      <c r="S74" s="15"/>
      <c r="T74" s="15">
        <v>40</v>
      </c>
      <c r="U74" s="15"/>
      <c r="V74" s="15"/>
      <c r="W74" s="33">
        <f t="shared" ref="W74:W127" si="10">COUNTIF(G74:V74,"&gt;=0")</f>
        <v>2</v>
      </c>
      <c r="X74" s="440">
        <f t="shared" si="7"/>
        <v>0</v>
      </c>
      <c r="Y74" s="441">
        <f t="shared" si="8"/>
        <v>0</v>
      </c>
      <c r="Z74" s="34">
        <f t="shared" si="9"/>
        <v>0</v>
      </c>
    </row>
    <row r="75" spans="1:26" x14ac:dyDescent="0.2">
      <c r="A75" s="139">
        <v>67</v>
      </c>
      <c r="B75" s="601" t="s">
        <v>716</v>
      </c>
      <c r="C75" s="139">
        <v>92</v>
      </c>
      <c r="D75" s="64"/>
      <c r="E75" s="64"/>
      <c r="F75" s="1100"/>
      <c r="G75" s="575" t="s">
        <v>397</v>
      </c>
      <c r="H75" s="575" t="s">
        <v>397</v>
      </c>
      <c r="I75" s="575" t="s">
        <v>397</v>
      </c>
      <c r="J75" s="575" t="s">
        <v>397</v>
      </c>
      <c r="K75" s="15"/>
      <c r="L75" s="15"/>
      <c r="M75" s="15"/>
      <c r="N75" s="15"/>
      <c r="O75" s="15"/>
      <c r="P75" s="15">
        <v>64</v>
      </c>
      <c r="Q75" s="15"/>
      <c r="R75" s="15"/>
      <c r="S75" s="15"/>
      <c r="T75" s="15">
        <v>28</v>
      </c>
      <c r="U75" s="15"/>
      <c r="V75" s="15"/>
      <c r="W75" s="33">
        <f t="shared" si="10"/>
        <v>2</v>
      </c>
      <c r="X75" s="440">
        <f t="shared" si="7"/>
        <v>0</v>
      </c>
      <c r="Y75" s="441">
        <f t="shared" si="8"/>
        <v>0</v>
      </c>
      <c r="Z75" s="34">
        <f t="shared" si="9"/>
        <v>0</v>
      </c>
    </row>
    <row r="76" spans="1:26" x14ac:dyDescent="0.2">
      <c r="A76" s="139">
        <v>68</v>
      </c>
      <c r="B76" s="601" t="s">
        <v>712</v>
      </c>
      <c r="C76" s="139">
        <v>91</v>
      </c>
      <c r="D76" s="64"/>
      <c r="E76" s="64"/>
      <c r="F76" s="1100"/>
      <c r="G76" s="575" t="s">
        <v>397</v>
      </c>
      <c r="H76" s="575" t="s">
        <v>397</v>
      </c>
      <c r="I76" s="575" t="s">
        <v>397</v>
      </c>
      <c r="J76" s="575" t="s">
        <v>397</v>
      </c>
      <c r="K76" s="15"/>
      <c r="L76" s="15"/>
      <c r="M76" s="15"/>
      <c r="N76" s="15"/>
      <c r="O76" s="15"/>
      <c r="P76" s="15">
        <v>60</v>
      </c>
      <c r="Q76" s="15"/>
      <c r="R76" s="15"/>
      <c r="S76" s="15"/>
      <c r="T76" s="15">
        <v>31</v>
      </c>
      <c r="U76" s="15"/>
      <c r="V76" s="15"/>
      <c r="W76" s="33">
        <f t="shared" si="10"/>
        <v>2</v>
      </c>
      <c r="X76" s="440">
        <f t="shared" si="7"/>
        <v>0</v>
      </c>
      <c r="Y76" s="441">
        <f t="shared" si="8"/>
        <v>0</v>
      </c>
      <c r="Z76" s="34">
        <f t="shared" si="9"/>
        <v>0</v>
      </c>
    </row>
    <row r="77" spans="1:26" x14ac:dyDescent="0.2">
      <c r="A77" s="139">
        <v>68</v>
      </c>
      <c r="B77" s="601" t="s">
        <v>714</v>
      </c>
      <c r="C77" s="139">
        <v>91</v>
      </c>
      <c r="D77" s="64"/>
      <c r="E77" s="64"/>
      <c r="F77" s="1100"/>
      <c r="G77" s="575" t="s">
        <v>397</v>
      </c>
      <c r="H77" s="575" t="s">
        <v>397</v>
      </c>
      <c r="I77" s="575" t="s">
        <v>397</v>
      </c>
      <c r="J77" s="575" t="s">
        <v>397</v>
      </c>
      <c r="K77" s="15"/>
      <c r="L77" s="15"/>
      <c r="M77" s="15"/>
      <c r="N77" s="15"/>
      <c r="O77" s="15"/>
      <c r="P77" s="15">
        <v>60</v>
      </c>
      <c r="Q77" s="15"/>
      <c r="R77" s="15"/>
      <c r="S77" s="15"/>
      <c r="T77" s="15">
        <v>31</v>
      </c>
      <c r="U77" s="15"/>
      <c r="V77" s="15"/>
      <c r="W77" s="33">
        <f t="shared" si="10"/>
        <v>2</v>
      </c>
      <c r="X77" s="440">
        <f t="shared" si="7"/>
        <v>0</v>
      </c>
      <c r="Y77" s="441">
        <f t="shared" si="8"/>
        <v>0</v>
      </c>
      <c r="Z77" s="34">
        <f t="shared" si="9"/>
        <v>0</v>
      </c>
    </row>
    <row r="78" spans="1:26" x14ac:dyDescent="0.2">
      <c r="A78" s="139">
        <v>70</v>
      </c>
      <c r="B78" s="601" t="s">
        <v>96</v>
      </c>
      <c r="C78" s="139">
        <v>88</v>
      </c>
      <c r="D78" s="64"/>
      <c r="E78" s="64"/>
      <c r="F78" s="1100">
        <v>1</v>
      </c>
      <c r="G78" s="575" t="s">
        <v>397</v>
      </c>
      <c r="H78" s="575" t="s">
        <v>397</v>
      </c>
      <c r="I78" s="575" t="s">
        <v>397</v>
      </c>
      <c r="J78" s="575" t="s">
        <v>397</v>
      </c>
      <c r="K78" s="15">
        <v>10</v>
      </c>
      <c r="L78" s="15"/>
      <c r="M78" s="15"/>
      <c r="N78" s="15"/>
      <c r="O78" s="15"/>
      <c r="P78" s="15"/>
      <c r="Q78" s="15"/>
      <c r="R78" s="15"/>
      <c r="S78" s="15"/>
      <c r="T78" s="15">
        <v>25</v>
      </c>
      <c r="U78" s="15"/>
      <c r="V78" s="15">
        <v>52</v>
      </c>
      <c r="W78" s="33">
        <f t="shared" si="10"/>
        <v>3</v>
      </c>
      <c r="X78" s="440">
        <f t="shared" si="7"/>
        <v>0</v>
      </c>
      <c r="Y78" s="441">
        <f t="shared" si="8"/>
        <v>0</v>
      </c>
      <c r="Z78" s="34">
        <f t="shared" si="9"/>
        <v>0</v>
      </c>
    </row>
    <row r="79" spans="1:26" x14ac:dyDescent="0.2">
      <c r="A79" s="139">
        <v>71</v>
      </c>
      <c r="B79" s="67" t="s">
        <v>82</v>
      </c>
      <c r="C79" s="870">
        <v>87</v>
      </c>
      <c r="D79" s="64"/>
      <c r="E79" s="64"/>
      <c r="F79" s="1100">
        <v>1</v>
      </c>
      <c r="G79" s="575" t="s">
        <v>397</v>
      </c>
      <c r="H79" s="575" t="s">
        <v>397</v>
      </c>
      <c r="I79" s="575" t="s">
        <v>397</v>
      </c>
      <c r="J79" s="575" t="s">
        <v>397</v>
      </c>
      <c r="K79" s="15">
        <v>34</v>
      </c>
      <c r="L79" s="15"/>
      <c r="M79" s="15"/>
      <c r="N79" s="15"/>
      <c r="O79" s="15"/>
      <c r="P79" s="15"/>
      <c r="Q79" s="15"/>
      <c r="R79" s="15"/>
      <c r="S79" s="15"/>
      <c r="T79" s="15">
        <v>52</v>
      </c>
      <c r="U79" s="15"/>
      <c r="V79" s="15"/>
      <c r="W79" s="33">
        <f t="shared" si="10"/>
        <v>2</v>
      </c>
      <c r="X79" s="440">
        <f t="shared" si="7"/>
        <v>0</v>
      </c>
      <c r="Y79" s="441">
        <f t="shared" si="8"/>
        <v>0</v>
      </c>
      <c r="Z79" s="34">
        <f t="shared" si="9"/>
        <v>0</v>
      </c>
    </row>
    <row r="80" spans="1:26" x14ac:dyDescent="0.2">
      <c r="A80" s="139">
        <v>72</v>
      </c>
      <c r="B80" s="345" t="s">
        <v>517</v>
      </c>
      <c r="C80" s="139">
        <v>86</v>
      </c>
      <c r="D80" s="64"/>
      <c r="E80" s="64"/>
      <c r="F80" s="1100"/>
      <c r="G80" s="575" t="s">
        <v>397</v>
      </c>
      <c r="H80" s="575" t="s">
        <v>397</v>
      </c>
      <c r="I80" s="575" t="s">
        <v>397</v>
      </c>
      <c r="J80" s="575" t="s">
        <v>397</v>
      </c>
      <c r="K80" s="15">
        <v>43</v>
      </c>
      <c r="L80" s="15">
        <v>43</v>
      </c>
      <c r="M80" s="15"/>
      <c r="N80" s="15"/>
      <c r="O80" s="15"/>
      <c r="P80" s="15"/>
      <c r="Q80" s="15"/>
      <c r="R80" s="15"/>
      <c r="S80" s="15"/>
      <c r="T80" s="15"/>
      <c r="U80" s="15"/>
      <c r="V80" s="15"/>
      <c r="W80" s="33">
        <f t="shared" si="10"/>
        <v>2</v>
      </c>
      <c r="X80" s="440">
        <f t="shared" si="7"/>
        <v>0</v>
      </c>
      <c r="Y80" s="441">
        <f t="shared" si="8"/>
        <v>0</v>
      </c>
      <c r="Z80" s="34">
        <f t="shared" si="9"/>
        <v>0</v>
      </c>
    </row>
    <row r="81" spans="1:26" x14ac:dyDescent="0.2">
      <c r="A81" s="139">
        <v>73</v>
      </c>
      <c r="B81" s="234" t="s">
        <v>1157</v>
      </c>
      <c r="C81" s="877">
        <v>84</v>
      </c>
      <c r="D81" s="64"/>
      <c r="E81" s="64"/>
      <c r="F81" s="1100"/>
      <c r="G81" s="575" t="s">
        <v>397</v>
      </c>
      <c r="H81" s="575" t="s">
        <v>397</v>
      </c>
      <c r="I81" s="575" t="s">
        <v>397</v>
      </c>
      <c r="J81" s="15">
        <v>84</v>
      </c>
      <c r="K81" s="575" t="s">
        <v>397</v>
      </c>
      <c r="L81" s="15"/>
      <c r="M81" s="15"/>
      <c r="N81" s="15"/>
      <c r="O81" s="15"/>
      <c r="P81" s="15"/>
      <c r="Q81" s="15"/>
      <c r="R81" s="15"/>
      <c r="S81" s="15"/>
      <c r="T81" s="15"/>
      <c r="U81" s="15"/>
      <c r="V81" s="15"/>
      <c r="W81" s="33">
        <f t="shared" si="10"/>
        <v>1</v>
      </c>
      <c r="X81" s="440">
        <f t="shared" si="7"/>
        <v>0</v>
      </c>
      <c r="Y81" s="441">
        <f t="shared" si="8"/>
        <v>0</v>
      </c>
      <c r="Z81" s="34">
        <f t="shared" si="9"/>
        <v>0</v>
      </c>
    </row>
    <row r="82" spans="1:26" x14ac:dyDescent="0.2">
      <c r="A82" s="139">
        <v>74</v>
      </c>
      <c r="B82" s="166" t="s">
        <v>329</v>
      </c>
      <c r="C82" s="139">
        <v>83</v>
      </c>
      <c r="D82" s="64"/>
      <c r="E82" s="64" t="s">
        <v>50</v>
      </c>
      <c r="F82" s="1100"/>
      <c r="G82" s="15">
        <v>74</v>
      </c>
      <c r="H82" s="575" t="s">
        <v>397</v>
      </c>
      <c r="I82" s="15">
        <v>9</v>
      </c>
      <c r="J82" s="575" t="s">
        <v>397</v>
      </c>
      <c r="K82" s="575" t="s">
        <v>397</v>
      </c>
      <c r="L82" s="15"/>
      <c r="M82" s="575" t="s">
        <v>397</v>
      </c>
      <c r="N82" s="15"/>
      <c r="O82" s="15"/>
      <c r="P82" s="15"/>
      <c r="Q82" s="15"/>
      <c r="R82" s="15"/>
      <c r="S82" s="15"/>
      <c r="T82" s="15"/>
      <c r="U82" s="15"/>
      <c r="V82" s="15"/>
      <c r="W82" s="33">
        <f t="shared" si="10"/>
        <v>2</v>
      </c>
      <c r="X82" s="440">
        <f t="shared" si="7"/>
        <v>0</v>
      </c>
      <c r="Y82" s="441">
        <f t="shared" si="8"/>
        <v>0</v>
      </c>
      <c r="Z82" s="34">
        <f t="shared" si="9"/>
        <v>0</v>
      </c>
    </row>
    <row r="83" spans="1:26" x14ac:dyDescent="0.2">
      <c r="A83" s="139">
        <v>75</v>
      </c>
      <c r="B83" s="601" t="s">
        <v>46</v>
      </c>
      <c r="C83" s="139">
        <v>83</v>
      </c>
      <c r="D83" s="64"/>
      <c r="E83" s="64"/>
      <c r="F83" s="1100">
        <v>1</v>
      </c>
      <c r="G83" s="575" t="s">
        <v>397</v>
      </c>
      <c r="H83" s="15">
        <v>49</v>
      </c>
      <c r="I83" s="15">
        <v>33</v>
      </c>
      <c r="J83" s="575" t="s">
        <v>397</v>
      </c>
      <c r="K83" s="575" t="s">
        <v>397</v>
      </c>
      <c r="L83" s="15"/>
      <c r="M83" s="575" t="s">
        <v>397</v>
      </c>
      <c r="N83" s="15"/>
      <c r="O83" s="15"/>
      <c r="P83" s="15"/>
      <c r="Q83" s="15"/>
      <c r="R83" s="15"/>
      <c r="S83" s="15"/>
      <c r="T83" s="15"/>
      <c r="U83" s="15"/>
      <c r="V83" s="15"/>
      <c r="W83" s="33">
        <f t="shared" si="10"/>
        <v>2</v>
      </c>
      <c r="X83" s="440">
        <f t="shared" si="7"/>
        <v>0</v>
      </c>
      <c r="Y83" s="441">
        <f t="shared" si="8"/>
        <v>0</v>
      </c>
      <c r="Z83" s="34">
        <f t="shared" si="9"/>
        <v>0</v>
      </c>
    </row>
    <row r="84" spans="1:26" x14ac:dyDescent="0.2">
      <c r="A84" s="139">
        <v>76</v>
      </c>
      <c r="B84" s="601" t="s">
        <v>58</v>
      </c>
      <c r="C84" s="139">
        <v>80</v>
      </c>
      <c r="D84" s="64"/>
      <c r="E84" s="64"/>
      <c r="F84" s="1100">
        <v>6</v>
      </c>
      <c r="G84" s="575" t="s">
        <v>397</v>
      </c>
      <c r="H84" s="575" t="s">
        <v>397</v>
      </c>
      <c r="I84" s="15">
        <v>74</v>
      </c>
      <c r="J84" s="575" t="s">
        <v>397</v>
      </c>
      <c r="K84" s="15"/>
      <c r="L84" s="15"/>
      <c r="M84" s="575" t="s">
        <v>397</v>
      </c>
      <c r="N84" s="15"/>
      <c r="O84" s="15"/>
      <c r="P84" s="15"/>
      <c r="Q84" s="15"/>
      <c r="R84" s="15"/>
      <c r="S84" s="15"/>
      <c r="T84" s="15"/>
      <c r="U84" s="15"/>
      <c r="V84" s="15"/>
      <c r="W84" s="33">
        <f t="shared" si="10"/>
        <v>1</v>
      </c>
      <c r="X84" s="440">
        <f t="shared" si="7"/>
        <v>0</v>
      </c>
      <c r="Y84" s="441">
        <f t="shared" si="8"/>
        <v>0</v>
      </c>
      <c r="Z84" s="34">
        <f t="shared" si="9"/>
        <v>0</v>
      </c>
    </row>
    <row r="85" spans="1:26" x14ac:dyDescent="0.2">
      <c r="A85" s="139">
        <v>77</v>
      </c>
      <c r="B85" s="601" t="s">
        <v>76</v>
      </c>
      <c r="C85" s="139">
        <v>75</v>
      </c>
      <c r="D85" s="64"/>
      <c r="E85" s="64"/>
      <c r="F85" s="1100">
        <v>1</v>
      </c>
      <c r="G85" s="575" t="s">
        <v>397</v>
      </c>
      <c r="H85" s="575" t="s">
        <v>397</v>
      </c>
      <c r="I85" s="575" t="s">
        <v>397</v>
      </c>
      <c r="J85" s="575" t="s">
        <v>397</v>
      </c>
      <c r="K85" s="15"/>
      <c r="L85" s="15">
        <v>74</v>
      </c>
      <c r="M85" s="32"/>
      <c r="N85" s="15"/>
      <c r="O85" s="15"/>
      <c r="P85" s="15"/>
      <c r="Q85" s="15"/>
      <c r="R85" s="15"/>
      <c r="S85" s="15"/>
      <c r="T85" s="15"/>
      <c r="U85" s="15"/>
      <c r="V85" s="15"/>
      <c r="W85" s="33">
        <f t="shared" si="10"/>
        <v>1</v>
      </c>
      <c r="X85" s="440">
        <f t="shared" si="7"/>
        <v>0</v>
      </c>
      <c r="Y85" s="441">
        <f t="shared" si="8"/>
        <v>0</v>
      </c>
      <c r="Z85" s="34">
        <f t="shared" si="9"/>
        <v>0</v>
      </c>
    </row>
    <row r="86" spans="1:26" x14ac:dyDescent="0.2">
      <c r="A86" s="139">
        <v>78</v>
      </c>
      <c r="B86" s="631" t="s">
        <v>328</v>
      </c>
      <c r="C86" s="139">
        <v>74</v>
      </c>
      <c r="D86" s="64"/>
      <c r="E86" s="64" t="s">
        <v>50</v>
      </c>
      <c r="F86" s="1100"/>
      <c r="G86" s="15">
        <v>74</v>
      </c>
      <c r="H86" s="575" t="s">
        <v>397</v>
      </c>
      <c r="I86" s="575" t="s">
        <v>397</v>
      </c>
      <c r="J86" s="575" t="s">
        <v>397</v>
      </c>
      <c r="K86" s="575" t="s">
        <v>397</v>
      </c>
      <c r="L86" s="15"/>
      <c r="M86" s="15"/>
      <c r="N86" s="15"/>
      <c r="O86" s="15"/>
      <c r="P86" s="15"/>
      <c r="Q86" s="15"/>
      <c r="R86" s="15"/>
      <c r="S86" s="15"/>
      <c r="T86" s="15"/>
      <c r="U86" s="15"/>
      <c r="V86" s="15"/>
      <c r="W86" s="33">
        <f t="shared" si="10"/>
        <v>1</v>
      </c>
      <c r="X86" s="440">
        <f t="shared" si="7"/>
        <v>0</v>
      </c>
      <c r="Y86" s="441">
        <f t="shared" si="8"/>
        <v>0</v>
      </c>
      <c r="Z86" s="34">
        <f t="shared" si="9"/>
        <v>0</v>
      </c>
    </row>
    <row r="87" spans="1:26" x14ac:dyDescent="0.2">
      <c r="A87" s="139">
        <v>78</v>
      </c>
      <c r="B87" s="601" t="s">
        <v>429</v>
      </c>
      <c r="C87" s="139">
        <v>74</v>
      </c>
      <c r="D87" s="64"/>
      <c r="E87" s="64"/>
      <c r="F87" s="1100"/>
      <c r="G87" s="575" t="s">
        <v>397</v>
      </c>
      <c r="H87" s="575" t="s">
        <v>397</v>
      </c>
      <c r="I87" s="575" t="s">
        <v>397</v>
      </c>
      <c r="J87" s="15">
        <v>74</v>
      </c>
      <c r="K87" s="575" t="s">
        <v>397</v>
      </c>
      <c r="L87" s="15"/>
      <c r="M87" s="15"/>
      <c r="N87" s="15"/>
      <c r="O87" s="15"/>
      <c r="P87" s="15"/>
      <c r="Q87" s="15"/>
      <c r="R87" s="15"/>
      <c r="S87" s="15"/>
      <c r="T87" s="15"/>
      <c r="U87" s="15"/>
      <c r="V87" s="15"/>
      <c r="W87" s="33">
        <f t="shared" si="10"/>
        <v>1</v>
      </c>
      <c r="X87" s="440">
        <f t="shared" si="7"/>
        <v>0</v>
      </c>
      <c r="Y87" s="441">
        <f t="shared" si="8"/>
        <v>0</v>
      </c>
      <c r="Z87" s="34">
        <f t="shared" si="9"/>
        <v>0</v>
      </c>
    </row>
    <row r="88" spans="1:26" x14ac:dyDescent="0.2">
      <c r="A88" s="139">
        <v>78</v>
      </c>
      <c r="B88" s="601" t="s">
        <v>554</v>
      </c>
      <c r="C88" s="139">
        <v>74</v>
      </c>
      <c r="D88" s="64"/>
      <c r="E88" s="64"/>
      <c r="F88" s="1100"/>
      <c r="G88" s="575" t="s">
        <v>397</v>
      </c>
      <c r="H88" s="575" t="s">
        <v>397</v>
      </c>
      <c r="I88" s="575" t="s">
        <v>397</v>
      </c>
      <c r="J88" s="575" t="s">
        <v>397</v>
      </c>
      <c r="K88" s="15"/>
      <c r="L88" s="15"/>
      <c r="M88" s="15"/>
      <c r="N88" s="15">
        <v>74</v>
      </c>
      <c r="O88" s="15"/>
      <c r="P88" s="15"/>
      <c r="Q88" s="15"/>
      <c r="R88" s="15"/>
      <c r="S88" s="15"/>
      <c r="T88" s="15"/>
      <c r="U88" s="15"/>
      <c r="V88" s="15"/>
      <c r="W88" s="33">
        <f t="shared" si="10"/>
        <v>1</v>
      </c>
      <c r="X88" s="440">
        <f t="shared" si="7"/>
        <v>0</v>
      </c>
      <c r="Y88" s="441">
        <f t="shared" si="8"/>
        <v>0</v>
      </c>
      <c r="Z88" s="34">
        <f t="shared" si="9"/>
        <v>0</v>
      </c>
    </row>
    <row r="89" spans="1:26" x14ac:dyDescent="0.2">
      <c r="A89" s="139">
        <v>81</v>
      </c>
      <c r="B89" s="601" t="s">
        <v>787</v>
      </c>
      <c r="C89" s="139">
        <v>69</v>
      </c>
      <c r="D89" s="64"/>
      <c r="E89" s="64"/>
      <c r="F89" s="1100"/>
      <c r="G89" s="575" t="s">
        <v>397</v>
      </c>
      <c r="H89" s="575" t="s">
        <v>397</v>
      </c>
      <c r="I89" s="575" t="s">
        <v>397</v>
      </c>
      <c r="J89" s="575" t="s">
        <v>397</v>
      </c>
      <c r="K89" s="15"/>
      <c r="L89" s="15"/>
      <c r="M89" s="15"/>
      <c r="N89" s="15"/>
      <c r="O89" s="15"/>
      <c r="P89" s="15"/>
      <c r="Q89" s="15"/>
      <c r="R89" s="15"/>
      <c r="S89" s="15"/>
      <c r="T89" s="15">
        <v>69</v>
      </c>
      <c r="U89" s="15"/>
      <c r="V89" s="15"/>
      <c r="W89" s="33">
        <f t="shared" si="10"/>
        <v>1</v>
      </c>
      <c r="X89" s="440">
        <f t="shared" si="7"/>
        <v>0</v>
      </c>
      <c r="Y89" s="441">
        <f t="shared" si="8"/>
        <v>0</v>
      </c>
      <c r="Z89" s="34">
        <f t="shared" si="9"/>
        <v>0</v>
      </c>
    </row>
    <row r="90" spans="1:26" x14ac:dyDescent="0.2">
      <c r="A90" s="139">
        <v>81</v>
      </c>
      <c r="B90" s="601" t="s">
        <v>788</v>
      </c>
      <c r="C90" s="139">
        <v>69</v>
      </c>
      <c r="D90" s="64"/>
      <c r="E90" s="64"/>
      <c r="F90" s="1100"/>
      <c r="G90" s="575" t="s">
        <v>397</v>
      </c>
      <c r="H90" s="575" t="s">
        <v>397</v>
      </c>
      <c r="I90" s="575" t="s">
        <v>397</v>
      </c>
      <c r="J90" s="575" t="s">
        <v>397</v>
      </c>
      <c r="K90" s="15"/>
      <c r="L90" s="15"/>
      <c r="M90" s="15"/>
      <c r="N90" s="15"/>
      <c r="O90" s="15"/>
      <c r="P90" s="15"/>
      <c r="Q90" s="15"/>
      <c r="R90" s="15"/>
      <c r="S90" s="15"/>
      <c r="T90" s="15">
        <v>69</v>
      </c>
      <c r="U90" s="15"/>
      <c r="V90" s="15"/>
      <c r="W90" s="33">
        <f t="shared" si="10"/>
        <v>1</v>
      </c>
      <c r="X90" s="440">
        <f t="shared" si="7"/>
        <v>0</v>
      </c>
      <c r="Y90" s="441">
        <f t="shared" si="8"/>
        <v>0</v>
      </c>
      <c r="Z90" s="34">
        <f t="shared" si="9"/>
        <v>0</v>
      </c>
    </row>
    <row r="91" spans="1:26" x14ac:dyDescent="0.2">
      <c r="A91" s="139">
        <v>83</v>
      </c>
      <c r="B91" s="601" t="s">
        <v>530</v>
      </c>
      <c r="C91" s="139">
        <v>64</v>
      </c>
      <c r="D91" s="64"/>
      <c r="E91" s="64"/>
      <c r="F91" s="1100"/>
      <c r="G91" s="575" t="s">
        <v>397</v>
      </c>
      <c r="H91" s="575" t="s">
        <v>397</v>
      </c>
      <c r="I91" s="575" t="s">
        <v>397</v>
      </c>
      <c r="J91" s="575" t="s">
        <v>397</v>
      </c>
      <c r="K91" s="15"/>
      <c r="L91" s="15">
        <v>64</v>
      </c>
      <c r="M91" s="15"/>
      <c r="N91" s="15"/>
      <c r="O91" s="15"/>
      <c r="P91" s="15"/>
      <c r="Q91" s="15"/>
      <c r="R91" s="15"/>
      <c r="S91" s="15"/>
      <c r="T91" s="15"/>
      <c r="U91" s="15"/>
      <c r="V91" s="15"/>
      <c r="W91" s="33">
        <f t="shared" si="10"/>
        <v>1</v>
      </c>
      <c r="X91" s="440">
        <f t="shared" si="7"/>
        <v>0</v>
      </c>
      <c r="Y91" s="441">
        <f t="shared" si="8"/>
        <v>0</v>
      </c>
      <c r="Z91" s="34">
        <f t="shared" si="9"/>
        <v>0</v>
      </c>
    </row>
    <row r="92" spans="1:26" x14ac:dyDescent="0.2">
      <c r="A92" s="139">
        <v>84</v>
      </c>
      <c r="B92" s="601" t="s">
        <v>526</v>
      </c>
      <c r="C92" s="139">
        <v>64</v>
      </c>
      <c r="D92" s="64"/>
      <c r="E92" s="64"/>
      <c r="F92" s="1100"/>
      <c r="G92" s="575" t="s">
        <v>397</v>
      </c>
      <c r="H92" s="575" t="s">
        <v>397</v>
      </c>
      <c r="I92" s="575" t="s">
        <v>397</v>
      </c>
      <c r="J92" s="575" t="s">
        <v>397</v>
      </c>
      <c r="K92" s="15">
        <v>12</v>
      </c>
      <c r="L92" s="15">
        <v>52</v>
      </c>
      <c r="M92" s="15"/>
      <c r="N92" s="15"/>
      <c r="O92" s="15"/>
      <c r="P92" s="15"/>
      <c r="Q92" s="15"/>
      <c r="R92" s="15"/>
      <c r="S92" s="15"/>
      <c r="T92" s="15"/>
      <c r="U92" s="15"/>
      <c r="V92" s="15"/>
      <c r="W92" s="33">
        <f t="shared" si="10"/>
        <v>2</v>
      </c>
      <c r="X92" s="440">
        <f t="shared" si="7"/>
        <v>0</v>
      </c>
      <c r="Y92" s="441">
        <f t="shared" si="8"/>
        <v>0</v>
      </c>
      <c r="Z92" s="34">
        <f t="shared" si="9"/>
        <v>0</v>
      </c>
    </row>
    <row r="93" spans="1:26" x14ac:dyDescent="0.2">
      <c r="A93" s="139">
        <v>84</v>
      </c>
      <c r="B93" s="601" t="s">
        <v>527</v>
      </c>
      <c r="C93" s="139">
        <v>64</v>
      </c>
      <c r="D93" s="64"/>
      <c r="E93" s="64"/>
      <c r="F93" s="1100"/>
      <c r="G93" s="575" t="s">
        <v>397</v>
      </c>
      <c r="H93" s="575" t="s">
        <v>397</v>
      </c>
      <c r="I93" s="575" t="s">
        <v>397</v>
      </c>
      <c r="J93" s="575" t="s">
        <v>397</v>
      </c>
      <c r="K93" s="15">
        <v>12</v>
      </c>
      <c r="L93" s="15">
        <v>52</v>
      </c>
      <c r="M93" s="15"/>
      <c r="N93" s="15"/>
      <c r="O93" s="15"/>
      <c r="P93" s="15"/>
      <c r="Q93" s="15"/>
      <c r="R93" s="15"/>
      <c r="S93" s="15"/>
      <c r="T93" s="15"/>
      <c r="U93" s="15"/>
      <c r="V93" s="15"/>
      <c r="W93" s="33">
        <f t="shared" si="10"/>
        <v>2</v>
      </c>
      <c r="X93" s="440">
        <f t="shared" si="7"/>
        <v>0</v>
      </c>
      <c r="Y93" s="441">
        <f t="shared" si="8"/>
        <v>0</v>
      </c>
      <c r="Z93" s="34">
        <f t="shared" si="9"/>
        <v>0</v>
      </c>
    </row>
    <row r="94" spans="1:26" x14ac:dyDescent="0.2">
      <c r="A94" s="139">
        <v>86</v>
      </c>
      <c r="B94" s="601" t="s">
        <v>713</v>
      </c>
      <c r="C94" s="139">
        <v>60</v>
      </c>
      <c r="D94" s="64"/>
      <c r="E94" s="64"/>
      <c r="F94" s="1100"/>
      <c r="G94" s="575" t="s">
        <v>397</v>
      </c>
      <c r="H94" s="575" t="s">
        <v>397</v>
      </c>
      <c r="I94" s="575" t="s">
        <v>397</v>
      </c>
      <c r="J94" s="575" t="s">
        <v>397</v>
      </c>
      <c r="K94" s="15"/>
      <c r="L94" s="15"/>
      <c r="M94" s="15"/>
      <c r="N94" s="15"/>
      <c r="O94" s="15"/>
      <c r="P94" s="15">
        <v>60</v>
      </c>
      <c r="Q94" s="15"/>
      <c r="R94" s="15"/>
      <c r="S94" s="15"/>
      <c r="T94" s="15"/>
      <c r="U94" s="15"/>
      <c r="V94" s="15"/>
      <c r="W94" s="33">
        <f t="shared" si="10"/>
        <v>1</v>
      </c>
      <c r="X94" s="440">
        <f t="shared" si="7"/>
        <v>0</v>
      </c>
      <c r="Y94" s="441">
        <f t="shared" si="8"/>
        <v>0</v>
      </c>
      <c r="Z94" s="34">
        <f t="shared" si="9"/>
        <v>0</v>
      </c>
    </row>
    <row r="95" spans="1:26" x14ac:dyDescent="0.2">
      <c r="A95" s="139">
        <v>87</v>
      </c>
      <c r="B95" s="601" t="s">
        <v>309</v>
      </c>
      <c r="C95" s="637">
        <v>58</v>
      </c>
      <c r="D95" s="64"/>
      <c r="E95" s="64"/>
      <c r="F95" s="1100">
        <v>1</v>
      </c>
      <c r="G95" s="575" t="s">
        <v>397</v>
      </c>
      <c r="H95" s="575" t="s">
        <v>397</v>
      </c>
      <c r="I95" s="575" t="s">
        <v>397</v>
      </c>
      <c r="J95" s="575" t="s">
        <v>397</v>
      </c>
      <c r="K95" s="15"/>
      <c r="L95" s="15"/>
      <c r="M95" s="15"/>
      <c r="N95" s="15"/>
      <c r="O95" s="15"/>
      <c r="P95" s="15"/>
      <c r="Q95" s="15"/>
      <c r="R95" s="15"/>
      <c r="S95" s="15"/>
      <c r="T95" s="15">
        <v>14</v>
      </c>
      <c r="U95" s="15"/>
      <c r="V95" s="15">
        <v>43</v>
      </c>
      <c r="W95" s="33">
        <f t="shared" si="10"/>
        <v>2</v>
      </c>
      <c r="X95" s="440">
        <f t="shared" si="7"/>
        <v>0</v>
      </c>
      <c r="Y95" s="441">
        <f t="shared" si="8"/>
        <v>0</v>
      </c>
      <c r="Z95" s="34">
        <f t="shared" si="9"/>
        <v>0</v>
      </c>
    </row>
    <row r="96" spans="1:26" x14ac:dyDescent="0.2">
      <c r="A96" s="139">
        <v>88</v>
      </c>
      <c r="B96" s="601" t="s">
        <v>514</v>
      </c>
      <c r="C96" s="139">
        <v>56</v>
      </c>
      <c r="D96" s="64"/>
      <c r="E96" s="64"/>
      <c r="F96" s="1100"/>
      <c r="G96" s="575" t="s">
        <v>397</v>
      </c>
      <c r="H96" s="575" t="s">
        <v>397</v>
      </c>
      <c r="I96" s="575" t="s">
        <v>397</v>
      </c>
      <c r="J96" s="575" t="s">
        <v>397</v>
      </c>
      <c r="K96" s="15">
        <v>56</v>
      </c>
      <c r="L96" s="15"/>
      <c r="M96" s="15"/>
      <c r="N96" s="15"/>
      <c r="O96" s="15"/>
      <c r="P96" s="15"/>
      <c r="Q96" s="15"/>
      <c r="R96" s="15"/>
      <c r="S96" s="15"/>
      <c r="T96" s="15"/>
      <c r="U96" s="15"/>
      <c r="V96" s="15"/>
      <c r="W96" s="33">
        <f t="shared" si="10"/>
        <v>1</v>
      </c>
      <c r="X96" s="440">
        <f t="shared" si="7"/>
        <v>0</v>
      </c>
      <c r="Y96" s="441">
        <f t="shared" si="8"/>
        <v>0</v>
      </c>
      <c r="Z96" s="34">
        <f t="shared" si="9"/>
        <v>0</v>
      </c>
    </row>
    <row r="97" spans="1:26" x14ac:dyDescent="0.2">
      <c r="A97" s="139">
        <v>88</v>
      </c>
      <c r="B97" s="601" t="s">
        <v>515</v>
      </c>
      <c r="C97" s="139">
        <v>56</v>
      </c>
      <c r="D97" s="64"/>
      <c r="E97" s="64"/>
      <c r="F97" s="1100"/>
      <c r="G97" s="575" t="s">
        <v>397</v>
      </c>
      <c r="H97" s="575" t="s">
        <v>397</v>
      </c>
      <c r="I97" s="575" t="s">
        <v>397</v>
      </c>
      <c r="J97" s="575" t="s">
        <v>397</v>
      </c>
      <c r="K97" s="15">
        <v>56</v>
      </c>
      <c r="L97" s="15"/>
      <c r="M97" s="15"/>
      <c r="N97" s="15"/>
      <c r="O97" s="15"/>
      <c r="P97" s="15"/>
      <c r="Q97" s="15"/>
      <c r="R97" s="15"/>
      <c r="S97" s="15"/>
      <c r="T97" s="15"/>
      <c r="U97" s="15"/>
      <c r="V97" s="15"/>
      <c r="W97" s="33">
        <f t="shared" si="10"/>
        <v>1</v>
      </c>
      <c r="X97" s="440">
        <f t="shared" si="7"/>
        <v>0</v>
      </c>
      <c r="Y97" s="441">
        <f t="shared" si="8"/>
        <v>0</v>
      </c>
      <c r="Z97" s="34">
        <f t="shared" si="9"/>
        <v>0</v>
      </c>
    </row>
    <row r="98" spans="1:26" x14ac:dyDescent="0.2">
      <c r="A98" s="139">
        <v>88</v>
      </c>
      <c r="B98" s="601" t="s">
        <v>715</v>
      </c>
      <c r="C98" s="139">
        <v>56</v>
      </c>
      <c r="D98" s="64"/>
      <c r="E98" s="64"/>
      <c r="F98" s="1100"/>
      <c r="G98" s="575" t="s">
        <v>397</v>
      </c>
      <c r="H98" s="575" t="s">
        <v>397</v>
      </c>
      <c r="I98" s="575" t="s">
        <v>397</v>
      </c>
      <c r="J98" s="575" t="s">
        <v>397</v>
      </c>
      <c r="K98" s="15"/>
      <c r="L98" s="15"/>
      <c r="M98" s="15"/>
      <c r="N98" s="15"/>
      <c r="O98" s="15"/>
      <c r="P98" s="15">
        <v>56</v>
      </c>
      <c r="Q98" s="15"/>
      <c r="R98" s="15"/>
      <c r="S98" s="15"/>
      <c r="T98" s="15"/>
      <c r="U98" s="15"/>
      <c r="V98" s="15"/>
      <c r="W98" s="33">
        <f t="shared" si="10"/>
        <v>1</v>
      </c>
      <c r="X98" s="440">
        <f t="shared" si="7"/>
        <v>0</v>
      </c>
      <c r="Y98" s="441">
        <f t="shared" si="8"/>
        <v>0</v>
      </c>
      <c r="Z98" s="34">
        <f t="shared" si="9"/>
        <v>0</v>
      </c>
    </row>
    <row r="99" spans="1:26" x14ac:dyDescent="0.2">
      <c r="A99" s="139">
        <v>88</v>
      </c>
      <c r="B99" s="601" t="s">
        <v>747</v>
      </c>
      <c r="C99" s="139">
        <v>56</v>
      </c>
      <c r="D99" s="64"/>
      <c r="E99" s="64"/>
      <c r="F99" s="1100"/>
      <c r="G99" s="575" t="s">
        <v>397</v>
      </c>
      <c r="H99" s="575" t="s">
        <v>397</v>
      </c>
      <c r="I99" s="575" t="s">
        <v>397</v>
      </c>
      <c r="J99" s="575" t="s">
        <v>397</v>
      </c>
      <c r="K99" s="15"/>
      <c r="L99" s="15"/>
      <c r="M99" s="15"/>
      <c r="N99" s="15"/>
      <c r="O99" s="15"/>
      <c r="P99" s="15"/>
      <c r="Q99" s="15"/>
      <c r="R99" s="15">
        <v>56</v>
      </c>
      <c r="S99" s="15"/>
      <c r="T99" s="15"/>
      <c r="U99" s="15"/>
      <c r="V99" s="15"/>
      <c r="W99" s="33">
        <f t="shared" si="10"/>
        <v>1</v>
      </c>
      <c r="X99" s="440">
        <f t="shared" si="7"/>
        <v>0</v>
      </c>
      <c r="Y99" s="441">
        <f t="shared" si="8"/>
        <v>0</v>
      </c>
      <c r="Z99" s="34">
        <f t="shared" si="9"/>
        <v>0</v>
      </c>
    </row>
    <row r="100" spans="1:26" x14ac:dyDescent="0.2">
      <c r="A100" s="139">
        <v>88</v>
      </c>
      <c r="B100" s="601" t="s">
        <v>750</v>
      </c>
      <c r="C100" s="139">
        <v>56</v>
      </c>
      <c r="D100" s="64"/>
      <c r="E100" s="64"/>
      <c r="F100" s="1100"/>
      <c r="G100" s="575" t="s">
        <v>397</v>
      </c>
      <c r="H100" s="575" t="s">
        <v>397</v>
      </c>
      <c r="I100" s="575" t="s">
        <v>397</v>
      </c>
      <c r="J100" s="575" t="s">
        <v>397</v>
      </c>
      <c r="K100" s="15"/>
      <c r="L100" s="15"/>
      <c r="M100" s="15"/>
      <c r="N100" s="15"/>
      <c r="O100" s="15"/>
      <c r="P100" s="15"/>
      <c r="Q100" s="15"/>
      <c r="R100" s="15">
        <v>56</v>
      </c>
      <c r="S100" s="15"/>
      <c r="T100" s="15"/>
      <c r="U100" s="15"/>
      <c r="V100" s="15"/>
      <c r="W100" s="33">
        <f t="shared" si="10"/>
        <v>1</v>
      </c>
      <c r="X100" s="440">
        <f t="shared" si="7"/>
        <v>0</v>
      </c>
      <c r="Y100" s="441">
        <f t="shared" si="8"/>
        <v>0</v>
      </c>
      <c r="Z100" s="34">
        <f t="shared" si="9"/>
        <v>0</v>
      </c>
    </row>
    <row r="101" spans="1:26" x14ac:dyDescent="0.2">
      <c r="A101" s="139">
        <v>93</v>
      </c>
      <c r="B101" s="601" t="s">
        <v>748</v>
      </c>
      <c r="C101" s="139">
        <v>52</v>
      </c>
      <c r="D101" s="64"/>
      <c r="E101" s="64"/>
      <c r="F101" s="1100"/>
      <c r="G101" s="575" t="s">
        <v>397</v>
      </c>
      <c r="H101" s="575" t="s">
        <v>397</v>
      </c>
      <c r="I101" s="575" t="s">
        <v>397</v>
      </c>
      <c r="J101" s="575" t="s">
        <v>397</v>
      </c>
      <c r="K101" s="15"/>
      <c r="L101" s="15"/>
      <c r="M101" s="15"/>
      <c r="N101" s="15"/>
      <c r="O101" s="15"/>
      <c r="P101" s="15"/>
      <c r="Q101" s="15"/>
      <c r="R101" s="15">
        <v>52</v>
      </c>
      <c r="S101" s="15"/>
      <c r="T101" s="15"/>
      <c r="U101" s="15"/>
      <c r="V101" s="15"/>
      <c r="W101" s="33">
        <f t="shared" si="10"/>
        <v>1</v>
      </c>
      <c r="X101" s="440">
        <f t="shared" si="7"/>
        <v>0</v>
      </c>
      <c r="Y101" s="441">
        <f t="shared" si="8"/>
        <v>0</v>
      </c>
      <c r="Z101" s="34">
        <f t="shared" si="9"/>
        <v>0</v>
      </c>
    </row>
    <row r="102" spans="1:26" x14ac:dyDescent="0.2">
      <c r="A102" s="139">
        <v>93</v>
      </c>
      <c r="B102" s="601" t="s">
        <v>749</v>
      </c>
      <c r="C102" s="139">
        <v>52</v>
      </c>
      <c r="D102" s="64"/>
      <c r="E102" s="64"/>
      <c r="F102" s="1100"/>
      <c r="G102" s="575" t="s">
        <v>397</v>
      </c>
      <c r="H102" s="575" t="s">
        <v>397</v>
      </c>
      <c r="I102" s="575" t="s">
        <v>397</v>
      </c>
      <c r="J102" s="575" t="s">
        <v>397</v>
      </c>
      <c r="K102" s="15"/>
      <c r="L102" s="15"/>
      <c r="M102" s="15"/>
      <c r="N102" s="15"/>
      <c r="O102" s="15"/>
      <c r="P102" s="15"/>
      <c r="Q102" s="15"/>
      <c r="R102" s="15">
        <v>52</v>
      </c>
      <c r="S102" s="15"/>
      <c r="T102" s="15"/>
      <c r="U102" s="15"/>
      <c r="V102" s="15"/>
      <c r="W102" s="33">
        <f t="shared" si="10"/>
        <v>1</v>
      </c>
      <c r="X102" s="440">
        <f t="shared" si="7"/>
        <v>0</v>
      </c>
      <c r="Y102" s="441">
        <f t="shared" si="8"/>
        <v>0</v>
      </c>
      <c r="Z102" s="34">
        <f t="shared" si="9"/>
        <v>0</v>
      </c>
    </row>
    <row r="103" spans="1:26" x14ac:dyDescent="0.2">
      <c r="A103" s="139">
        <v>95</v>
      </c>
      <c r="B103" s="601" t="s">
        <v>92</v>
      </c>
      <c r="C103" s="139">
        <v>41</v>
      </c>
      <c r="D103" s="64"/>
      <c r="E103" s="64"/>
      <c r="F103" s="1100">
        <v>1</v>
      </c>
      <c r="G103" s="575" t="s">
        <v>397</v>
      </c>
      <c r="H103" s="575" t="s">
        <v>397</v>
      </c>
      <c r="I103" s="575" t="s">
        <v>397</v>
      </c>
      <c r="J103" s="575" t="s">
        <v>397</v>
      </c>
      <c r="K103" s="15"/>
      <c r="L103" s="15"/>
      <c r="M103" s="15"/>
      <c r="N103" s="15">
        <v>40</v>
      </c>
      <c r="O103" s="15"/>
      <c r="P103" s="15"/>
      <c r="Q103" s="15"/>
      <c r="R103" s="15"/>
      <c r="S103" s="15"/>
      <c r="T103" s="15"/>
      <c r="U103" s="15"/>
      <c r="V103" s="15"/>
      <c r="W103" s="33">
        <f t="shared" si="10"/>
        <v>1</v>
      </c>
      <c r="X103" s="440">
        <f t="shared" si="7"/>
        <v>0</v>
      </c>
      <c r="Y103" s="441">
        <f t="shared" si="8"/>
        <v>0</v>
      </c>
      <c r="Z103" s="34">
        <f t="shared" si="9"/>
        <v>0</v>
      </c>
    </row>
    <row r="104" spans="1:26" x14ac:dyDescent="0.2">
      <c r="A104" s="139">
        <v>96</v>
      </c>
      <c r="B104" s="601" t="s">
        <v>518</v>
      </c>
      <c r="C104" s="139">
        <v>40</v>
      </c>
      <c r="D104" s="64"/>
      <c r="E104" s="64"/>
      <c r="F104" s="1100"/>
      <c r="G104" s="575" t="s">
        <v>397</v>
      </c>
      <c r="H104" s="575" t="s">
        <v>397</v>
      </c>
      <c r="I104" s="575" t="s">
        <v>397</v>
      </c>
      <c r="J104" s="575" t="s">
        <v>397</v>
      </c>
      <c r="K104" s="15">
        <v>40</v>
      </c>
      <c r="L104" s="15"/>
      <c r="M104" s="15"/>
      <c r="N104" s="15"/>
      <c r="O104" s="15"/>
      <c r="P104" s="15"/>
      <c r="Q104" s="15"/>
      <c r="R104" s="15"/>
      <c r="S104" s="15"/>
      <c r="T104" s="15"/>
      <c r="U104" s="15"/>
      <c r="V104" s="15"/>
      <c r="W104" s="33">
        <f t="shared" si="10"/>
        <v>1</v>
      </c>
      <c r="X104" s="440">
        <f t="shared" si="7"/>
        <v>0</v>
      </c>
      <c r="Y104" s="441">
        <f t="shared" si="8"/>
        <v>0</v>
      </c>
      <c r="Z104" s="34">
        <f t="shared" si="9"/>
        <v>0</v>
      </c>
    </row>
    <row r="105" spans="1:26" x14ac:dyDescent="0.2">
      <c r="A105" s="139">
        <v>97</v>
      </c>
      <c r="B105" s="601" t="s">
        <v>324</v>
      </c>
      <c r="C105" s="139">
        <v>38</v>
      </c>
      <c r="D105" s="64"/>
      <c r="E105" s="64"/>
      <c r="F105" s="1100">
        <v>1</v>
      </c>
      <c r="G105" s="575" t="s">
        <v>397</v>
      </c>
      <c r="H105" s="575" t="s">
        <v>397</v>
      </c>
      <c r="I105" s="575" t="s">
        <v>397</v>
      </c>
      <c r="J105" s="575" t="s">
        <v>397</v>
      </c>
      <c r="K105" s="15"/>
      <c r="L105" s="15"/>
      <c r="M105" s="15"/>
      <c r="N105" s="15"/>
      <c r="O105" s="15"/>
      <c r="P105" s="15"/>
      <c r="Q105" s="15"/>
      <c r="R105" s="15"/>
      <c r="S105" s="15"/>
      <c r="T105" s="15">
        <v>37</v>
      </c>
      <c r="U105" s="15"/>
      <c r="V105" s="15"/>
      <c r="W105" s="33">
        <f t="shared" si="10"/>
        <v>1</v>
      </c>
      <c r="X105" s="440">
        <f t="shared" ref="X105:X127" si="11">COUNTIF(G105:H105,"&gt;=97")+COUNTIF(J105:L105,"&gt;=97")+COUNTIF(N105,"&gt;=97")+COUNTIF(P105,"&gt;=97")+COUNTIF(R105,"&gt;=97")+COUNTIF(T105,"&gt;=97")+COUNTIF(V105,"&gt;=97")+COUNTIF(I105,"&gt;=146")+COUNTIF(M105,"&gt;=146")+COUNTIF(O105,"&gt;=146")+COUNTIF(Q105,"&gt;=146")+COUNTIF(S105,"&gt;=146")+COUNTIF(U105,"&gt;=146")+IF((D105="n"),(COUNTIF(I105,"=83")+COUNTIF(I105,"=93")+COUNTIF(I105,"=105")+COUNTIF(S105,"=83")+COUNTIF(S105,"=93")+COUNTIF(S105,"=105")))+IF((E105="j"),(COUNTIF(I105,"=33")+COUNTIF(I105,"=42")+COUNTIF(I105,"=53")+COUNTIF(S105,"=33")+COUNTIF(S105,"=42")+COUNTIF(S105,"=53")))</f>
        <v>0</v>
      </c>
      <c r="Y105" s="441">
        <f t="shared" ref="Y105:Y127" si="12">COUNTIF(G105:H105,"=115")+COUNTIF(J105:L105,"=115")+COUNTIF(N105,"=115")+COUNTIF(P105,"=115")+COUNTIF(R105,"=115")+COUNTIF(T105,"=115")+COUNTIF(V105,"=115")+COUNTIF(G105:V105,"=173")</f>
        <v>0</v>
      </c>
      <c r="Z105" s="34">
        <f t="shared" ref="Z105:Z127" si="13">COUNTIF(G105:V105,"=173")</f>
        <v>0</v>
      </c>
    </row>
    <row r="106" spans="1:26" x14ac:dyDescent="0.2">
      <c r="A106" s="139">
        <v>98</v>
      </c>
      <c r="B106" s="629" t="s">
        <v>786</v>
      </c>
      <c r="C106" s="139">
        <v>22</v>
      </c>
      <c r="D106" s="64"/>
      <c r="E106" s="64"/>
      <c r="F106" s="1100"/>
      <c r="G106" s="575" t="s">
        <v>397</v>
      </c>
      <c r="H106" s="575" t="s">
        <v>397</v>
      </c>
      <c r="I106" s="575" t="s">
        <v>397</v>
      </c>
      <c r="J106" s="575" t="s">
        <v>397</v>
      </c>
      <c r="K106" s="15"/>
      <c r="L106" s="15"/>
      <c r="M106" s="15"/>
      <c r="N106" s="15"/>
      <c r="O106" s="15"/>
      <c r="P106" s="15"/>
      <c r="Q106" s="15"/>
      <c r="R106" s="15"/>
      <c r="S106" s="15"/>
      <c r="T106" s="15">
        <v>22</v>
      </c>
      <c r="U106" s="15"/>
      <c r="V106" s="15"/>
      <c r="W106" s="33">
        <f t="shared" si="10"/>
        <v>1</v>
      </c>
      <c r="X106" s="440">
        <f t="shared" si="11"/>
        <v>0</v>
      </c>
      <c r="Y106" s="441">
        <f t="shared" si="12"/>
        <v>0</v>
      </c>
      <c r="Z106" s="34">
        <f t="shared" si="13"/>
        <v>0</v>
      </c>
    </row>
    <row r="107" spans="1:26" x14ac:dyDescent="0.2">
      <c r="A107" s="139">
        <v>99</v>
      </c>
      <c r="B107" s="601" t="s">
        <v>789</v>
      </c>
      <c r="C107" s="139">
        <v>16</v>
      </c>
      <c r="D107" s="64"/>
      <c r="E107" s="64"/>
      <c r="F107" s="1100"/>
      <c r="G107" s="575" t="s">
        <v>397</v>
      </c>
      <c r="H107" s="575" t="s">
        <v>397</v>
      </c>
      <c r="I107" s="575" t="s">
        <v>397</v>
      </c>
      <c r="J107" s="575" t="s">
        <v>397</v>
      </c>
      <c r="K107" s="15"/>
      <c r="L107" s="15"/>
      <c r="M107" s="15"/>
      <c r="N107" s="15"/>
      <c r="O107" s="15"/>
      <c r="P107" s="15"/>
      <c r="Q107" s="15"/>
      <c r="R107" s="15"/>
      <c r="S107" s="15"/>
      <c r="T107" s="15">
        <v>16</v>
      </c>
      <c r="U107" s="15"/>
      <c r="V107" s="15"/>
      <c r="W107" s="33">
        <f t="shared" si="10"/>
        <v>1</v>
      </c>
      <c r="X107" s="440">
        <f t="shared" si="11"/>
        <v>0</v>
      </c>
      <c r="Y107" s="441">
        <f t="shared" si="12"/>
        <v>0</v>
      </c>
      <c r="Z107" s="34">
        <f t="shared" si="13"/>
        <v>0</v>
      </c>
    </row>
    <row r="108" spans="1:26" x14ac:dyDescent="0.2">
      <c r="A108" s="139">
        <v>100</v>
      </c>
      <c r="B108" s="601" t="s">
        <v>57</v>
      </c>
      <c r="C108" s="139">
        <v>15</v>
      </c>
      <c r="D108" s="64"/>
      <c r="E108" s="64"/>
      <c r="F108" s="1100">
        <v>1</v>
      </c>
      <c r="G108" s="575" t="s">
        <v>397</v>
      </c>
      <c r="H108" s="575" t="s">
        <v>397</v>
      </c>
      <c r="I108" s="575" t="s">
        <v>397</v>
      </c>
      <c r="J108" s="575" t="s">
        <v>397</v>
      </c>
      <c r="K108" s="15">
        <v>14</v>
      </c>
      <c r="L108" s="15"/>
      <c r="M108" s="15"/>
      <c r="N108" s="15"/>
      <c r="O108" s="15"/>
      <c r="P108" s="15"/>
      <c r="Q108" s="15"/>
      <c r="R108" s="15"/>
      <c r="S108" s="15"/>
      <c r="T108" s="15"/>
      <c r="U108" s="15"/>
      <c r="V108" s="15"/>
      <c r="W108" s="33">
        <f t="shared" si="10"/>
        <v>1</v>
      </c>
      <c r="X108" s="440">
        <f t="shared" si="11"/>
        <v>0</v>
      </c>
      <c r="Y108" s="441">
        <f t="shared" si="12"/>
        <v>0</v>
      </c>
      <c r="Z108" s="34">
        <f t="shared" si="13"/>
        <v>0</v>
      </c>
    </row>
    <row r="109" spans="1:26" x14ac:dyDescent="0.2">
      <c r="A109" s="139">
        <v>101</v>
      </c>
      <c r="B109" s="601" t="s">
        <v>525</v>
      </c>
      <c r="C109" s="139">
        <v>14</v>
      </c>
      <c r="D109" s="64"/>
      <c r="E109" s="64"/>
      <c r="F109" s="1100"/>
      <c r="G109" s="575" t="s">
        <v>397</v>
      </c>
      <c r="H109" s="575" t="s">
        <v>397</v>
      </c>
      <c r="I109" s="575" t="s">
        <v>397</v>
      </c>
      <c r="J109" s="575" t="s">
        <v>397</v>
      </c>
      <c r="K109" s="15">
        <v>14</v>
      </c>
      <c r="L109" s="15"/>
      <c r="M109" s="15"/>
      <c r="N109" s="15"/>
      <c r="O109" s="15"/>
      <c r="P109" s="15"/>
      <c r="Q109" s="15"/>
      <c r="R109" s="15"/>
      <c r="S109" s="15"/>
      <c r="T109" s="15"/>
      <c r="U109" s="15"/>
      <c r="V109" s="15"/>
      <c r="W109" s="33">
        <f t="shared" si="10"/>
        <v>1</v>
      </c>
      <c r="X109" s="440">
        <f t="shared" si="11"/>
        <v>0</v>
      </c>
      <c r="Y109" s="441">
        <f t="shared" si="12"/>
        <v>0</v>
      </c>
      <c r="Z109" s="34">
        <f t="shared" si="13"/>
        <v>0</v>
      </c>
    </row>
    <row r="110" spans="1:26" x14ac:dyDescent="0.2">
      <c r="A110" s="139">
        <v>102</v>
      </c>
      <c r="B110" s="67" t="s">
        <v>83</v>
      </c>
      <c r="C110" s="870">
        <v>3.5</v>
      </c>
      <c r="D110" s="64"/>
      <c r="E110" s="64"/>
      <c r="F110" s="1101">
        <v>3.5</v>
      </c>
      <c r="G110" s="575" t="s">
        <v>397</v>
      </c>
      <c r="H110" s="575" t="s">
        <v>397</v>
      </c>
      <c r="I110" s="575" t="s">
        <v>397</v>
      </c>
      <c r="J110" s="575" t="s">
        <v>397</v>
      </c>
      <c r="K110" s="15"/>
      <c r="L110" s="15"/>
      <c r="M110" s="15"/>
      <c r="N110" s="15"/>
      <c r="O110" s="15"/>
      <c r="P110" s="15"/>
      <c r="Q110" s="15"/>
      <c r="R110" s="15"/>
      <c r="S110" s="15"/>
      <c r="T110" s="15"/>
      <c r="U110" s="15"/>
      <c r="V110" s="15"/>
      <c r="W110" s="33">
        <f t="shared" si="10"/>
        <v>0</v>
      </c>
      <c r="X110" s="440">
        <f t="shared" si="11"/>
        <v>0</v>
      </c>
      <c r="Y110" s="441">
        <f t="shared" si="12"/>
        <v>0</v>
      </c>
      <c r="Z110" s="34">
        <f t="shared" si="13"/>
        <v>0</v>
      </c>
    </row>
    <row r="111" spans="1:26" x14ac:dyDescent="0.2">
      <c r="A111" s="139">
        <v>102</v>
      </c>
      <c r="B111" s="67" t="s">
        <v>305</v>
      </c>
      <c r="C111" s="870">
        <v>3.5</v>
      </c>
      <c r="D111" s="64"/>
      <c r="E111" s="64"/>
      <c r="F111" s="1101">
        <v>3.5</v>
      </c>
      <c r="G111" s="575" t="s">
        <v>397</v>
      </c>
      <c r="H111" s="575" t="s">
        <v>397</v>
      </c>
      <c r="I111" s="575" t="s">
        <v>397</v>
      </c>
      <c r="J111" s="575" t="s">
        <v>397</v>
      </c>
      <c r="K111" s="15"/>
      <c r="L111" s="15"/>
      <c r="M111" s="15"/>
      <c r="N111" s="15"/>
      <c r="O111" s="15"/>
      <c r="P111" s="15"/>
      <c r="Q111" s="15"/>
      <c r="R111" s="15"/>
      <c r="S111" s="15"/>
      <c r="T111" s="15"/>
      <c r="U111" s="15"/>
      <c r="V111" s="15"/>
      <c r="W111" s="33">
        <f t="shared" si="10"/>
        <v>0</v>
      </c>
      <c r="X111" s="440">
        <f t="shared" si="11"/>
        <v>0</v>
      </c>
      <c r="Y111" s="441">
        <f t="shared" si="12"/>
        <v>0</v>
      </c>
      <c r="Z111" s="34">
        <f t="shared" si="13"/>
        <v>0</v>
      </c>
    </row>
    <row r="112" spans="1:26" x14ac:dyDescent="0.2">
      <c r="A112" s="139">
        <v>104</v>
      </c>
      <c r="B112" s="601" t="s">
        <v>321</v>
      </c>
      <c r="C112" s="637">
        <v>1</v>
      </c>
      <c r="D112" s="64"/>
      <c r="E112" s="64"/>
      <c r="F112" s="1100">
        <v>1</v>
      </c>
      <c r="G112" s="575" t="s">
        <v>397</v>
      </c>
      <c r="H112" s="575" t="s">
        <v>397</v>
      </c>
      <c r="I112" s="575" t="s">
        <v>397</v>
      </c>
      <c r="J112" s="575" t="s">
        <v>397</v>
      </c>
      <c r="K112" s="15"/>
      <c r="L112" s="15"/>
      <c r="M112" s="15"/>
      <c r="N112" s="15"/>
      <c r="O112" s="15"/>
      <c r="P112" s="15"/>
      <c r="Q112" s="15"/>
      <c r="R112" s="15"/>
      <c r="S112" s="15"/>
      <c r="T112" s="15"/>
      <c r="U112" s="15"/>
      <c r="V112" s="15"/>
      <c r="W112" s="33">
        <f t="shared" si="10"/>
        <v>0</v>
      </c>
      <c r="X112" s="440">
        <f t="shared" si="11"/>
        <v>0</v>
      </c>
      <c r="Y112" s="441">
        <f t="shared" si="12"/>
        <v>0</v>
      </c>
      <c r="Z112" s="34">
        <f t="shared" si="13"/>
        <v>0</v>
      </c>
    </row>
    <row r="113" spans="1:26" x14ac:dyDescent="0.2">
      <c r="A113" s="139">
        <v>104</v>
      </c>
      <c r="B113" s="67" t="s">
        <v>315</v>
      </c>
      <c r="C113" s="870">
        <v>1</v>
      </c>
      <c r="D113" s="64"/>
      <c r="E113" s="64"/>
      <c r="F113" s="1100">
        <v>1</v>
      </c>
      <c r="G113" s="575" t="s">
        <v>397</v>
      </c>
      <c r="H113" s="575" t="s">
        <v>397</v>
      </c>
      <c r="I113" s="575" t="s">
        <v>397</v>
      </c>
      <c r="J113" s="575" t="s">
        <v>397</v>
      </c>
      <c r="K113" s="15"/>
      <c r="L113" s="15"/>
      <c r="M113" s="32"/>
      <c r="N113" s="15"/>
      <c r="O113" s="15"/>
      <c r="P113" s="15"/>
      <c r="Q113" s="15"/>
      <c r="R113" s="15"/>
      <c r="S113" s="15"/>
      <c r="T113" s="15"/>
      <c r="U113" s="15"/>
      <c r="V113" s="15"/>
      <c r="W113" s="33">
        <f t="shared" si="10"/>
        <v>0</v>
      </c>
      <c r="X113" s="440">
        <f t="shared" si="11"/>
        <v>0</v>
      </c>
      <c r="Y113" s="441">
        <f t="shared" si="12"/>
        <v>0</v>
      </c>
      <c r="Z113" s="34">
        <f t="shared" si="13"/>
        <v>0</v>
      </c>
    </row>
    <row r="114" spans="1:26" x14ac:dyDescent="0.2">
      <c r="A114" s="139">
        <v>104</v>
      </c>
      <c r="B114" s="601" t="s">
        <v>93</v>
      </c>
      <c r="C114" s="139">
        <v>1</v>
      </c>
      <c r="D114" s="64"/>
      <c r="E114" s="64"/>
      <c r="F114" s="1100">
        <v>1</v>
      </c>
      <c r="G114" s="575" t="s">
        <v>397</v>
      </c>
      <c r="H114" s="575" t="s">
        <v>397</v>
      </c>
      <c r="I114" s="575" t="s">
        <v>397</v>
      </c>
      <c r="J114" s="575" t="s">
        <v>397</v>
      </c>
      <c r="K114" s="15"/>
      <c r="L114" s="15"/>
      <c r="M114" s="15"/>
      <c r="N114" s="15"/>
      <c r="O114" s="15"/>
      <c r="P114" s="15"/>
      <c r="Q114" s="15"/>
      <c r="R114" s="15"/>
      <c r="S114" s="15"/>
      <c r="T114" s="15"/>
      <c r="U114" s="15"/>
      <c r="V114" s="15"/>
      <c r="W114" s="33">
        <f t="shared" si="10"/>
        <v>0</v>
      </c>
      <c r="X114" s="440">
        <f t="shared" si="11"/>
        <v>0</v>
      </c>
      <c r="Y114" s="441">
        <f t="shared" si="12"/>
        <v>0</v>
      </c>
      <c r="Z114" s="34">
        <f t="shared" si="13"/>
        <v>0</v>
      </c>
    </row>
    <row r="115" spans="1:26" x14ac:dyDescent="0.2">
      <c r="A115" s="139">
        <v>104</v>
      </c>
      <c r="B115" s="67" t="s">
        <v>313</v>
      </c>
      <c r="C115" s="870">
        <v>1</v>
      </c>
      <c r="D115" s="64"/>
      <c r="E115" s="64"/>
      <c r="F115" s="1100">
        <v>1</v>
      </c>
      <c r="G115" s="575" t="s">
        <v>397</v>
      </c>
      <c r="H115" s="575" t="s">
        <v>397</v>
      </c>
      <c r="I115" s="575" t="s">
        <v>397</v>
      </c>
      <c r="J115" s="575" t="s">
        <v>397</v>
      </c>
      <c r="K115" s="15"/>
      <c r="L115" s="15"/>
      <c r="M115" s="15"/>
      <c r="N115" s="15"/>
      <c r="O115" s="15"/>
      <c r="P115" s="15"/>
      <c r="Q115" s="15"/>
      <c r="R115" s="15"/>
      <c r="S115" s="15"/>
      <c r="T115" s="15"/>
      <c r="U115" s="15"/>
      <c r="V115" s="15"/>
      <c r="W115" s="33">
        <f t="shared" si="10"/>
        <v>0</v>
      </c>
      <c r="X115" s="440">
        <f t="shared" si="11"/>
        <v>0</v>
      </c>
      <c r="Y115" s="441">
        <f t="shared" si="12"/>
        <v>0</v>
      </c>
      <c r="Z115" s="34">
        <f t="shared" si="13"/>
        <v>0</v>
      </c>
    </row>
    <row r="116" spans="1:26" x14ac:dyDescent="0.2">
      <c r="A116" s="139">
        <v>104</v>
      </c>
      <c r="B116" s="601" t="s">
        <v>311</v>
      </c>
      <c r="C116" s="139">
        <v>1</v>
      </c>
      <c r="D116" s="64"/>
      <c r="E116" s="64"/>
      <c r="F116" s="1100">
        <v>1</v>
      </c>
      <c r="G116" s="575" t="s">
        <v>397</v>
      </c>
      <c r="H116" s="575" t="s">
        <v>397</v>
      </c>
      <c r="I116" s="575" t="s">
        <v>397</v>
      </c>
      <c r="J116" s="575" t="s">
        <v>397</v>
      </c>
      <c r="K116" s="15"/>
      <c r="L116" s="15"/>
      <c r="M116" s="15"/>
      <c r="N116" s="15"/>
      <c r="O116" s="15"/>
      <c r="P116" s="15"/>
      <c r="Q116" s="15"/>
      <c r="R116" s="15"/>
      <c r="S116" s="15"/>
      <c r="T116" s="15"/>
      <c r="U116" s="15"/>
      <c r="V116" s="15"/>
      <c r="W116" s="33">
        <f t="shared" si="10"/>
        <v>0</v>
      </c>
      <c r="X116" s="440">
        <f t="shared" si="11"/>
        <v>0</v>
      </c>
      <c r="Y116" s="441">
        <f t="shared" si="12"/>
        <v>0</v>
      </c>
      <c r="Z116" s="34">
        <f t="shared" si="13"/>
        <v>0</v>
      </c>
    </row>
    <row r="117" spans="1:26" x14ac:dyDescent="0.2">
      <c r="A117" s="139">
        <v>104</v>
      </c>
      <c r="B117" s="601" t="s">
        <v>306</v>
      </c>
      <c r="C117" s="139">
        <v>1</v>
      </c>
      <c r="D117" s="64"/>
      <c r="E117" s="64"/>
      <c r="F117" s="1100">
        <v>1</v>
      </c>
      <c r="G117" s="575" t="s">
        <v>397</v>
      </c>
      <c r="H117" s="575" t="s">
        <v>397</v>
      </c>
      <c r="I117" s="575" t="s">
        <v>397</v>
      </c>
      <c r="J117" s="575" t="s">
        <v>397</v>
      </c>
      <c r="K117" s="15"/>
      <c r="L117" s="15"/>
      <c r="M117" s="15"/>
      <c r="N117" s="15"/>
      <c r="O117" s="15"/>
      <c r="P117" s="15"/>
      <c r="Q117" s="15"/>
      <c r="R117" s="15"/>
      <c r="S117" s="15"/>
      <c r="T117" s="15"/>
      <c r="U117" s="15"/>
      <c r="V117" s="15"/>
      <c r="W117" s="33">
        <f t="shared" si="10"/>
        <v>0</v>
      </c>
      <c r="X117" s="440">
        <f t="shared" si="11"/>
        <v>0</v>
      </c>
      <c r="Y117" s="441">
        <f t="shared" si="12"/>
        <v>0</v>
      </c>
      <c r="Z117" s="34">
        <f t="shared" si="13"/>
        <v>0</v>
      </c>
    </row>
    <row r="118" spans="1:26" x14ac:dyDescent="0.2">
      <c r="A118" s="139">
        <v>104</v>
      </c>
      <c r="B118" s="601" t="s">
        <v>94</v>
      </c>
      <c r="C118" s="139">
        <v>1</v>
      </c>
      <c r="D118" s="64"/>
      <c r="E118" s="64"/>
      <c r="F118" s="1100">
        <v>1</v>
      </c>
      <c r="G118" s="575" t="s">
        <v>397</v>
      </c>
      <c r="H118" s="575" t="s">
        <v>397</v>
      </c>
      <c r="I118" s="575" t="s">
        <v>397</v>
      </c>
      <c r="J118" s="575" t="s">
        <v>397</v>
      </c>
      <c r="K118" s="15"/>
      <c r="L118" s="15"/>
      <c r="M118" s="15"/>
      <c r="N118" s="15"/>
      <c r="O118" s="15"/>
      <c r="P118" s="15"/>
      <c r="Q118" s="430"/>
      <c r="R118" s="15"/>
      <c r="S118" s="15"/>
      <c r="T118" s="15"/>
      <c r="U118" s="15"/>
      <c r="V118" s="15"/>
      <c r="W118" s="33">
        <f t="shared" si="10"/>
        <v>0</v>
      </c>
      <c r="X118" s="440">
        <f t="shared" si="11"/>
        <v>0</v>
      </c>
      <c r="Y118" s="441">
        <f t="shared" si="12"/>
        <v>0</v>
      </c>
      <c r="Z118" s="34">
        <f t="shared" si="13"/>
        <v>0</v>
      </c>
    </row>
    <row r="119" spans="1:26" x14ac:dyDescent="0.2">
      <c r="A119" s="139">
        <v>104</v>
      </c>
      <c r="B119" s="601" t="s">
        <v>87</v>
      </c>
      <c r="C119" s="139">
        <v>1</v>
      </c>
      <c r="D119" s="64"/>
      <c r="E119" s="64"/>
      <c r="F119" s="1100">
        <v>1</v>
      </c>
      <c r="G119" s="575" t="s">
        <v>397</v>
      </c>
      <c r="H119" s="575" t="s">
        <v>397</v>
      </c>
      <c r="I119" s="575" t="s">
        <v>397</v>
      </c>
      <c r="J119" s="575" t="s">
        <v>397</v>
      </c>
      <c r="K119" s="15"/>
      <c r="L119" s="15"/>
      <c r="M119" s="15"/>
      <c r="N119" s="15"/>
      <c r="O119" s="15"/>
      <c r="P119" s="15"/>
      <c r="Q119" s="15"/>
      <c r="R119" s="15"/>
      <c r="S119" s="15"/>
      <c r="T119" s="15"/>
      <c r="U119" s="15"/>
      <c r="V119" s="15"/>
      <c r="W119" s="33">
        <f t="shared" si="10"/>
        <v>0</v>
      </c>
      <c r="X119" s="440">
        <f t="shared" si="11"/>
        <v>0</v>
      </c>
      <c r="Y119" s="441">
        <f t="shared" si="12"/>
        <v>0</v>
      </c>
      <c r="Z119" s="34">
        <f t="shared" si="13"/>
        <v>0</v>
      </c>
    </row>
    <row r="120" spans="1:26" x14ac:dyDescent="0.2">
      <c r="A120" s="139">
        <v>104</v>
      </c>
      <c r="B120" s="601" t="s">
        <v>307</v>
      </c>
      <c r="C120" s="139">
        <v>1</v>
      </c>
      <c r="D120" s="64"/>
      <c r="E120" s="64"/>
      <c r="F120" s="1100">
        <v>1</v>
      </c>
      <c r="G120" s="575" t="s">
        <v>397</v>
      </c>
      <c r="H120" s="575" t="s">
        <v>397</v>
      </c>
      <c r="I120" s="575" t="s">
        <v>397</v>
      </c>
      <c r="J120" s="575" t="s">
        <v>397</v>
      </c>
      <c r="K120" s="15"/>
      <c r="L120" s="15"/>
      <c r="M120" s="15"/>
      <c r="N120" s="15"/>
      <c r="O120" s="15"/>
      <c r="P120" s="15"/>
      <c r="Q120" s="15"/>
      <c r="R120" s="15"/>
      <c r="S120" s="15"/>
      <c r="T120" s="15"/>
      <c r="U120" s="15"/>
      <c r="V120" s="15"/>
      <c r="W120" s="33">
        <f t="shared" si="10"/>
        <v>0</v>
      </c>
      <c r="X120" s="440">
        <f t="shared" si="11"/>
        <v>0</v>
      </c>
      <c r="Y120" s="441">
        <f t="shared" si="12"/>
        <v>0</v>
      </c>
      <c r="Z120" s="34">
        <f t="shared" si="13"/>
        <v>0</v>
      </c>
    </row>
    <row r="121" spans="1:26" ht="12.75" customHeight="1" x14ac:dyDescent="0.2">
      <c r="A121" s="139">
        <v>104</v>
      </c>
      <c r="B121" s="601" t="s">
        <v>55</v>
      </c>
      <c r="C121" s="139">
        <v>1</v>
      </c>
      <c r="D121" s="64"/>
      <c r="E121" s="64"/>
      <c r="F121" s="1100">
        <v>1</v>
      </c>
      <c r="G121" s="575" t="s">
        <v>397</v>
      </c>
      <c r="H121" s="575" t="s">
        <v>397</v>
      </c>
      <c r="I121" s="575" t="s">
        <v>397</v>
      </c>
      <c r="J121" s="575" t="s">
        <v>397</v>
      </c>
      <c r="K121" s="15"/>
      <c r="L121" s="15"/>
      <c r="M121" s="15"/>
      <c r="N121" s="15"/>
      <c r="O121" s="15"/>
      <c r="P121" s="15"/>
      <c r="Q121" s="15"/>
      <c r="R121" s="15"/>
      <c r="S121" s="15"/>
      <c r="T121" s="15"/>
      <c r="U121" s="15"/>
      <c r="V121" s="15"/>
      <c r="W121" s="33">
        <f t="shared" si="10"/>
        <v>0</v>
      </c>
      <c r="X121" s="440">
        <f t="shared" si="11"/>
        <v>0</v>
      </c>
      <c r="Y121" s="441">
        <f t="shared" si="12"/>
        <v>0</v>
      </c>
      <c r="Z121" s="34">
        <f t="shared" si="13"/>
        <v>0</v>
      </c>
    </row>
    <row r="122" spans="1:26" ht="12.75" customHeight="1" x14ac:dyDescent="0.2">
      <c r="A122" s="139">
        <v>104</v>
      </c>
      <c r="B122" s="601" t="s">
        <v>312</v>
      </c>
      <c r="C122" s="139">
        <v>1</v>
      </c>
      <c r="D122" s="64"/>
      <c r="E122" s="64"/>
      <c r="F122" s="1100">
        <v>1</v>
      </c>
      <c r="G122" s="575" t="s">
        <v>397</v>
      </c>
      <c r="H122" s="575" t="s">
        <v>397</v>
      </c>
      <c r="I122" s="575" t="s">
        <v>397</v>
      </c>
      <c r="J122" s="575" t="s">
        <v>397</v>
      </c>
      <c r="K122" s="15"/>
      <c r="L122" s="15"/>
      <c r="M122" s="15"/>
      <c r="N122" s="15"/>
      <c r="O122" s="15"/>
      <c r="P122" s="15"/>
      <c r="Q122" s="15"/>
      <c r="R122" s="15"/>
      <c r="S122" s="15"/>
      <c r="T122" s="15"/>
      <c r="U122" s="15"/>
      <c r="V122" s="15"/>
      <c r="W122" s="33">
        <f t="shared" si="10"/>
        <v>0</v>
      </c>
      <c r="X122" s="440">
        <f t="shared" si="11"/>
        <v>0</v>
      </c>
      <c r="Y122" s="441">
        <f t="shared" si="12"/>
        <v>0</v>
      </c>
      <c r="Z122" s="34">
        <f t="shared" si="13"/>
        <v>0</v>
      </c>
    </row>
    <row r="123" spans="1:26" ht="12.75" customHeight="1" x14ac:dyDescent="0.2">
      <c r="A123" s="139">
        <v>104</v>
      </c>
      <c r="B123" s="601" t="s">
        <v>317</v>
      </c>
      <c r="C123" s="139">
        <v>1</v>
      </c>
      <c r="D123" s="64"/>
      <c r="E123" s="64"/>
      <c r="F123" s="1100">
        <v>1</v>
      </c>
      <c r="G123" s="575" t="s">
        <v>397</v>
      </c>
      <c r="H123" s="575" t="s">
        <v>397</v>
      </c>
      <c r="I123" s="575" t="s">
        <v>397</v>
      </c>
      <c r="J123" s="575" t="s">
        <v>397</v>
      </c>
      <c r="K123" s="15"/>
      <c r="L123" s="15"/>
      <c r="M123" s="15"/>
      <c r="N123" s="15"/>
      <c r="O123" s="15"/>
      <c r="P123" s="15"/>
      <c r="Q123" s="15"/>
      <c r="R123" s="15"/>
      <c r="S123" s="15"/>
      <c r="T123" s="15"/>
      <c r="U123" s="15"/>
      <c r="V123" s="15"/>
      <c r="W123" s="33">
        <f t="shared" si="10"/>
        <v>0</v>
      </c>
      <c r="X123" s="440">
        <f t="shared" si="11"/>
        <v>0</v>
      </c>
      <c r="Y123" s="441">
        <f t="shared" si="12"/>
        <v>0</v>
      </c>
      <c r="Z123" s="34">
        <f t="shared" si="13"/>
        <v>0</v>
      </c>
    </row>
    <row r="124" spans="1:26" ht="12.75" customHeight="1" x14ac:dyDescent="0.2">
      <c r="A124" s="139">
        <v>104</v>
      </c>
      <c r="B124" s="601" t="s">
        <v>319</v>
      </c>
      <c r="C124" s="637">
        <v>1</v>
      </c>
      <c r="D124" s="64"/>
      <c r="E124" s="64"/>
      <c r="F124" s="1100">
        <v>1</v>
      </c>
      <c r="G124" s="575" t="s">
        <v>397</v>
      </c>
      <c r="H124" s="575" t="s">
        <v>397</v>
      </c>
      <c r="I124" s="575" t="s">
        <v>397</v>
      </c>
      <c r="J124" s="575" t="s">
        <v>397</v>
      </c>
      <c r="K124" s="15"/>
      <c r="L124" s="15"/>
      <c r="M124" s="15"/>
      <c r="N124" s="15"/>
      <c r="O124" s="15"/>
      <c r="P124" s="15"/>
      <c r="Q124" s="15"/>
      <c r="R124" s="15"/>
      <c r="S124" s="15"/>
      <c r="T124" s="15"/>
      <c r="U124" s="15"/>
      <c r="V124" s="15"/>
      <c r="W124" s="33">
        <f t="shared" si="10"/>
        <v>0</v>
      </c>
      <c r="X124" s="440">
        <f t="shared" si="11"/>
        <v>0</v>
      </c>
      <c r="Y124" s="441">
        <f t="shared" si="12"/>
        <v>0</v>
      </c>
      <c r="Z124" s="34">
        <f t="shared" si="13"/>
        <v>0</v>
      </c>
    </row>
    <row r="125" spans="1:26" ht="12.75" customHeight="1" x14ac:dyDescent="0.2">
      <c r="A125" s="139">
        <v>104</v>
      </c>
      <c r="B125" s="601" t="s">
        <v>78</v>
      </c>
      <c r="C125" s="139">
        <v>1</v>
      </c>
      <c r="D125" s="64"/>
      <c r="E125" s="64"/>
      <c r="F125" s="1100">
        <v>1</v>
      </c>
      <c r="G125" s="575" t="s">
        <v>397</v>
      </c>
      <c r="H125" s="575" t="s">
        <v>397</v>
      </c>
      <c r="I125" s="575" t="s">
        <v>397</v>
      </c>
      <c r="J125" s="575" t="s">
        <v>397</v>
      </c>
      <c r="K125" s="15"/>
      <c r="L125" s="15"/>
      <c r="M125" s="15"/>
      <c r="N125" s="15"/>
      <c r="O125" s="15"/>
      <c r="P125" s="15"/>
      <c r="Q125" s="15"/>
      <c r="R125" s="15"/>
      <c r="S125" s="15"/>
      <c r="T125" s="15"/>
      <c r="U125" s="15"/>
      <c r="V125" s="15"/>
      <c r="W125" s="33">
        <f t="shared" si="10"/>
        <v>0</v>
      </c>
      <c r="X125" s="440">
        <f t="shared" si="11"/>
        <v>0</v>
      </c>
      <c r="Y125" s="441">
        <f t="shared" si="12"/>
        <v>0</v>
      </c>
      <c r="Z125" s="34">
        <f t="shared" si="13"/>
        <v>0</v>
      </c>
    </row>
    <row r="126" spans="1:26" ht="12.75" customHeight="1" x14ac:dyDescent="0.2">
      <c r="A126" s="139">
        <v>104</v>
      </c>
      <c r="B126" s="601" t="s">
        <v>95</v>
      </c>
      <c r="C126" s="139">
        <v>1</v>
      </c>
      <c r="D126" s="64"/>
      <c r="E126" s="64"/>
      <c r="F126" s="1100">
        <v>1</v>
      </c>
      <c r="G126" s="575" t="s">
        <v>397</v>
      </c>
      <c r="H126" s="575" t="s">
        <v>397</v>
      </c>
      <c r="I126" s="575" t="s">
        <v>397</v>
      </c>
      <c r="J126" s="575" t="s">
        <v>397</v>
      </c>
      <c r="K126" s="15"/>
      <c r="L126" s="15"/>
      <c r="M126" s="15"/>
      <c r="N126" s="15"/>
      <c r="O126" s="15"/>
      <c r="P126" s="15"/>
      <c r="Q126" s="15"/>
      <c r="R126" s="15"/>
      <c r="S126" s="15"/>
      <c r="T126" s="15"/>
      <c r="U126" s="15"/>
      <c r="V126" s="15"/>
      <c r="W126" s="33">
        <f t="shared" si="10"/>
        <v>0</v>
      </c>
      <c r="X126" s="440">
        <f t="shared" si="11"/>
        <v>0</v>
      </c>
      <c r="Y126" s="441">
        <f t="shared" si="12"/>
        <v>0</v>
      </c>
      <c r="Z126" s="34">
        <f t="shared" si="13"/>
        <v>0</v>
      </c>
    </row>
    <row r="127" spans="1:26" ht="12.75" customHeight="1" x14ac:dyDescent="0.2">
      <c r="A127" s="139">
        <v>104</v>
      </c>
      <c r="B127" s="601" t="s">
        <v>325</v>
      </c>
      <c r="C127" s="139">
        <v>1</v>
      </c>
      <c r="D127" s="64"/>
      <c r="E127" s="64"/>
      <c r="F127" s="1100">
        <v>1</v>
      </c>
      <c r="G127" s="575" t="s">
        <v>397</v>
      </c>
      <c r="H127" s="575" t="s">
        <v>397</v>
      </c>
      <c r="I127" s="575" t="s">
        <v>397</v>
      </c>
      <c r="J127" s="575" t="s">
        <v>397</v>
      </c>
      <c r="K127" s="15"/>
      <c r="L127" s="15"/>
      <c r="M127" s="15"/>
      <c r="N127" s="15"/>
      <c r="O127" s="15"/>
      <c r="P127" s="15"/>
      <c r="Q127" s="15"/>
      <c r="R127" s="15"/>
      <c r="S127" s="15"/>
      <c r="T127" s="15"/>
      <c r="U127" s="15"/>
      <c r="V127" s="15"/>
      <c r="W127" s="619">
        <f t="shared" si="10"/>
        <v>0</v>
      </c>
      <c r="X127" s="620">
        <f t="shared" si="11"/>
        <v>0</v>
      </c>
      <c r="Y127" s="621">
        <f t="shared" si="12"/>
        <v>0</v>
      </c>
      <c r="Z127" s="34">
        <f t="shared" si="13"/>
        <v>0</v>
      </c>
    </row>
    <row r="128" spans="1:26" x14ac:dyDescent="0.2">
      <c r="A128" s="35">
        <f>COUNT(A9:A127)</f>
        <v>119</v>
      </c>
      <c r="B128" s="36" t="s">
        <v>101</v>
      </c>
      <c r="C128" s="37"/>
      <c r="D128" s="37"/>
      <c r="E128" s="37"/>
      <c r="F128" s="38">
        <f>COUNTIF(F9:F127,"&gt;=0")</f>
        <v>61</v>
      </c>
      <c r="G128" s="75">
        <f t="shared" ref="G128:V128" si="14">COUNTIF(G9:G127,"&gt;=0")+COUNTIF(G9:G127,"=v")+COUNTIF(G9:G127,"=w")</f>
        <v>19</v>
      </c>
      <c r="H128" s="75">
        <f t="shared" si="14"/>
        <v>17</v>
      </c>
      <c r="I128" s="75">
        <f t="shared" si="14"/>
        <v>30</v>
      </c>
      <c r="J128" s="75">
        <f t="shared" si="14"/>
        <v>21</v>
      </c>
      <c r="K128" s="75">
        <f t="shared" si="14"/>
        <v>37</v>
      </c>
      <c r="L128" s="75">
        <f t="shared" si="14"/>
        <v>40</v>
      </c>
      <c r="M128" s="75">
        <f t="shared" si="14"/>
        <v>18</v>
      </c>
      <c r="N128" s="75">
        <f t="shared" si="14"/>
        <v>23</v>
      </c>
      <c r="O128" s="75">
        <f t="shared" si="14"/>
        <v>16</v>
      </c>
      <c r="P128" s="75">
        <f t="shared" si="14"/>
        <v>36</v>
      </c>
      <c r="Q128" s="75">
        <f t="shared" si="14"/>
        <v>24</v>
      </c>
      <c r="R128" s="75">
        <f t="shared" si="14"/>
        <v>28</v>
      </c>
      <c r="S128" s="75">
        <f t="shared" si="14"/>
        <v>18</v>
      </c>
      <c r="T128" s="75">
        <f t="shared" si="14"/>
        <v>36</v>
      </c>
      <c r="U128" s="75">
        <f t="shared" si="14"/>
        <v>22</v>
      </c>
      <c r="V128" s="75">
        <f t="shared" si="14"/>
        <v>23</v>
      </c>
      <c r="W128" s="37"/>
      <c r="X128" s="39">
        <f>SUM(X9:X127)</f>
        <v>92</v>
      </c>
      <c r="Y128" s="39">
        <f>SUM(Y9:Y127)</f>
        <v>32</v>
      </c>
      <c r="Z128" s="40">
        <f>SUM(Z9:Z127)</f>
        <v>10</v>
      </c>
    </row>
  </sheetData>
  <autoFilter ref="A8:Z8"/>
  <conditionalFormatting sqref="V9 V11:V12 T9:T127 G9:H127 N9:N127 J9:L127 P9:P127 R9:R127 V16:V127">
    <cfRule type="cellIs" dxfId="327" priority="43" stopIfTrue="1" operator="equal">
      <formula>97</formula>
    </cfRule>
    <cfRule type="cellIs" dxfId="326" priority="44" stopIfTrue="1" operator="equal">
      <formula>105</formula>
    </cfRule>
    <cfRule type="cellIs" dxfId="325" priority="45" stopIfTrue="1" operator="equal">
      <formula>115</formula>
    </cfRule>
  </conditionalFormatting>
  <conditionalFormatting sqref="U9 U11:U12 I9:I127 S9:S127 Q9:Q127 M9:M127 O9:O127 U16:U127">
    <cfRule type="cellIs" dxfId="324" priority="40" stopIfTrue="1" operator="equal">
      <formula>146</formula>
    </cfRule>
    <cfRule type="cellIs" dxfId="323" priority="41" stopIfTrue="1" operator="equal">
      <formula>158</formula>
    </cfRule>
    <cfRule type="cellIs" dxfId="322" priority="42" stopIfTrue="1" operator="equal">
      <formula>173</formula>
    </cfRule>
  </conditionalFormatting>
  <conditionalFormatting sqref="I9:I127 S9:S127">
    <cfRule type="cellIs" dxfId="321" priority="37" stopIfTrue="1" operator="equal">
      <formula>83</formula>
    </cfRule>
    <cfRule type="cellIs" dxfId="320" priority="38" stopIfTrue="1" operator="equal">
      <formula>93</formula>
    </cfRule>
    <cfRule type="cellIs" dxfId="319" priority="39" stopIfTrue="1" operator="equal">
      <formula>105</formula>
    </cfRule>
  </conditionalFormatting>
  <conditionalFormatting sqref="V14">
    <cfRule type="cellIs" dxfId="318" priority="24" stopIfTrue="1" operator="equal">
      <formula>97</formula>
    </cfRule>
    <cfRule type="cellIs" dxfId="317" priority="25" stopIfTrue="1" operator="equal">
      <formula>105</formula>
    </cfRule>
    <cfRule type="cellIs" dxfId="316" priority="26" stopIfTrue="1" operator="equal">
      <formula>115</formula>
    </cfRule>
  </conditionalFormatting>
  <conditionalFormatting sqref="U14">
    <cfRule type="cellIs" dxfId="315" priority="21" stopIfTrue="1" operator="equal">
      <formula>146</formula>
    </cfRule>
    <cfRule type="cellIs" dxfId="314" priority="22" stopIfTrue="1" operator="equal">
      <formula>158</formula>
    </cfRule>
    <cfRule type="cellIs" dxfId="313" priority="23" stopIfTrue="1" operator="equal">
      <formula>173</formula>
    </cfRule>
  </conditionalFormatting>
  <conditionalFormatting sqref="V13">
    <cfRule type="cellIs" dxfId="312" priority="18" stopIfTrue="1" operator="equal">
      <formula>97</formula>
    </cfRule>
    <cfRule type="cellIs" dxfId="311" priority="19" stopIfTrue="1" operator="equal">
      <formula>105</formula>
    </cfRule>
    <cfRule type="cellIs" dxfId="310" priority="20" stopIfTrue="1" operator="equal">
      <formula>115</formula>
    </cfRule>
  </conditionalFormatting>
  <conditionalFormatting sqref="U13">
    <cfRule type="cellIs" dxfId="309" priority="15" stopIfTrue="1" operator="equal">
      <formula>146</formula>
    </cfRule>
    <cfRule type="cellIs" dxfId="308" priority="16" stopIfTrue="1" operator="equal">
      <formula>158</formula>
    </cfRule>
    <cfRule type="cellIs" dxfId="307" priority="17" stopIfTrue="1" operator="equal">
      <formula>173</formula>
    </cfRule>
  </conditionalFormatting>
  <conditionalFormatting sqref="V15">
    <cfRule type="cellIs" dxfId="306" priority="12" stopIfTrue="1" operator="equal">
      <formula>97</formula>
    </cfRule>
    <cfRule type="cellIs" dxfId="305" priority="13" stopIfTrue="1" operator="equal">
      <formula>105</formula>
    </cfRule>
    <cfRule type="cellIs" dxfId="304" priority="14" stopIfTrue="1" operator="equal">
      <formula>115</formula>
    </cfRule>
  </conditionalFormatting>
  <conditionalFormatting sqref="U15">
    <cfRule type="cellIs" dxfId="303" priority="9" stopIfTrue="1" operator="equal">
      <formula>146</formula>
    </cfRule>
    <cfRule type="cellIs" dxfId="302" priority="10" stopIfTrue="1" operator="equal">
      <formula>158</formula>
    </cfRule>
    <cfRule type="cellIs" dxfId="301" priority="11" stopIfTrue="1" operator="equal">
      <formula>173</formula>
    </cfRule>
  </conditionalFormatting>
  <conditionalFormatting sqref="V10">
    <cfRule type="cellIs" dxfId="300" priority="6" stopIfTrue="1" operator="equal">
      <formula>97</formula>
    </cfRule>
    <cfRule type="cellIs" dxfId="299" priority="7" stopIfTrue="1" operator="equal">
      <formula>105</formula>
    </cfRule>
    <cfRule type="cellIs" dxfId="298" priority="8" stopIfTrue="1" operator="equal">
      <formula>115</formula>
    </cfRule>
  </conditionalFormatting>
  <conditionalFormatting sqref="U10">
    <cfRule type="cellIs" dxfId="297" priority="3" stopIfTrue="1" operator="equal">
      <formula>146</formula>
    </cfRule>
    <cfRule type="cellIs" dxfId="296" priority="4" stopIfTrue="1" operator="equal">
      <formula>158</formula>
    </cfRule>
    <cfRule type="cellIs" dxfId="295" priority="5" stopIfTrue="1" operator="equal">
      <formula>173</formula>
    </cfRule>
  </conditionalFormatting>
  <conditionalFormatting sqref="B122:B127 B103:B120 B12:B101">
    <cfRule type="duplicateValues" dxfId="294" priority="4196" stopIfTrue="1"/>
  </conditionalFormatting>
  <conditionalFormatting sqref="W9:W127">
    <cfRule type="top10" dxfId="293" priority="7488" stopIfTrue="1" rank="1"/>
  </conditionalFormatting>
  <conditionalFormatting sqref="X9:X127">
    <cfRule type="top10" dxfId="292" priority="7490" stopIfTrue="1" rank="1"/>
  </conditionalFormatting>
  <conditionalFormatting sqref="Y9:Y127">
    <cfRule type="top10" dxfId="291" priority="7492" stopIfTrue="1" rank="1"/>
  </conditionalFormatting>
  <conditionalFormatting sqref="Z9:Z127">
    <cfRule type="top10" dxfId="290" priority="7494" stopIfTrue="1" rank="1"/>
  </conditionalFormatting>
  <conditionalFormatting sqref="G128:V128">
    <cfRule type="top10" dxfId="289" priority="7506" stopIfTrue="1" rank="1"/>
  </conditionalFormatting>
  <conditionalFormatting sqref="B9:B11">
    <cfRule type="duplicateValues" dxfId="288" priority="1" stopIfTrue="1"/>
  </conditionalFormatting>
  <printOptions horizontalCentered="1"/>
  <pageMargins left="0.39370078740157483" right="0.39370078740157483" top="0.98425196850393704" bottom="0.39370078740157483" header="0.78740157480314965" footer="0"/>
  <pageSetup paperSize="9" fitToHeight="0" orientation="landscape" r:id="rId1"/>
  <headerFooter>
    <oddHeader>&amp;R&amp;"Arial,Regular"&amp;9Page &amp;P of &amp;N</oddHeader>
  </headerFooter>
  <ignoredErrors>
    <ignoredError sqref="Z11 X26:Z89 W11"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Z58"/>
  <sheetViews>
    <sheetView showGridLines="0" showRowColHeaders="0" zoomScaleNormal="100" workbookViewId="0">
      <pane xSplit="5" ySplit="8" topLeftCell="F9" activePane="bottomRight" state="frozen"/>
      <selection activeCell="T1" sqref="T1"/>
      <selection pane="topRight" activeCell="T1" sqref="T1"/>
      <selection pane="bottomLeft" activeCell="T1" sqref="T1"/>
      <selection pane="bottomRight" activeCell="I1" sqref="I1"/>
    </sheetView>
  </sheetViews>
  <sheetFormatPr defaultRowHeight="12.75" x14ac:dyDescent="0.2"/>
  <cols>
    <col min="1" max="1" width="6" style="4" customWidth="1"/>
    <col min="2" max="2" width="19.85546875" style="4" customWidth="1"/>
    <col min="3" max="3" width="7" style="2" customWidth="1"/>
    <col min="4" max="4" width="2.28515625" style="4" hidden="1" customWidth="1"/>
    <col min="5" max="5" width="1.85546875" style="4" hidden="1" customWidth="1"/>
    <col min="6" max="6" width="4.85546875" style="4" customWidth="1"/>
    <col min="7" max="12" width="5.42578125" style="3" customWidth="1"/>
    <col min="13" max="14" width="5.42578125" style="4" customWidth="1"/>
    <col min="15" max="16" width="5.42578125" style="3" customWidth="1"/>
    <col min="17" max="22" width="5.42578125" style="4" customWidth="1"/>
    <col min="23" max="23" width="3" style="4" customWidth="1"/>
    <col min="24" max="24" width="3.85546875" style="4" customWidth="1"/>
    <col min="25" max="25" width="3.42578125" style="4" customWidth="1"/>
    <col min="26" max="26" width="5" style="4" customWidth="1"/>
    <col min="27" max="16384" width="9.140625" style="4"/>
  </cols>
  <sheetData>
    <row r="1" spans="1:26" x14ac:dyDescent="0.2">
      <c r="B1" s="1" t="s">
        <v>0</v>
      </c>
      <c r="C1" s="1"/>
      <c r="D1" s="2"/>
      <c r="E1" s="2"/>
      <c r="F1" s="2"/>
      <c r="J1" s="4"/>
      <c r="M1" s="165" t="s">
        <v>1</v>
      </c>
      <c r="N1" s="158"/>
      <c r="O1" s="159" t="s">
        <v>1075</v>
      </c>
      <c r="P1" s="160"/>
      <c r="Q1" s="161" t="s">
        <v>1076</v>
      </c>
      <c r="R1" s="158"/>
      <c r="S1" s="162" t="s">
        <v>1077</v>
      </c>
      <c r="T1" s="163"/>
      <c r="U1" s="164"/>
      <c r="V1" s="854" t="s">
        <v>1078</v>
      </c>
      <c r="W1" s="6"/>
      <c r="X1" s="7" t="s">
        <v>4</v>
      </c>
      <c r="Y1" s="7"/>
    </row>
    <row r="2" spans="1:26" x14ac:dyDescent="0.2">
      <c r="B2" s="8" t="s">
        <v>1066</v>
      </c>
      <c r="C2" s="1"/>
      <c r="D2" s="2"/>
      <c r="E2" s="2"/>
      <c r="F2" s="2"/>
      <c r="G2" s="9"/>
      <c r="H2" s="9"/>
      <c r="I2" s="9"/>
      <c r="J2" s="10"/>
      <c r="K2" s="10"/>
      <c r="L2" s="10"/>
      <c r="M2" s="2"/>
      <c r="N2" s="2"/>
      <c r="O2" s="1093" t="s">
        <v>1214</v>
      </c>
      <c r="P2" s="1094"/>
      <c r="Q2" s="1094"/>
      <c r="R2" s="1095"/>
      <c r="S2" s="1094"/>
      <c r="T2" s="1094"/>
      <c r="U2" s="1094"/>
      <c r="V2" s="1096"/>
      <c r="W2" s="6"/>
      <c r="X2" s="11" t="s">
        <v>6</v>
      </c>
      <c r="Y2" s="11"/>
    </row>
    <row r="3" spans="1:26" x14ac:dyDescent="0.2">
      <c r="A3" s="2"/>
      <c r="B3" s="399" t="s">
        <v>900</v>
      </c>
      <c r="C3" s="874"/>
      <c r="D3" s="875"/>
      <c r="E3" s="876"/>
      <c r="F3" s="876"/>
      <c r="G3" s="10"/>
      <c r="H3" s="10"/>
      <c r="I3" s="10"/>
      <c r="J3" s="10"/>
      <c r="K3" s="10"/>
      <c r="L3" s="10"/>
      <c r="M3" s="2"/>
      <c r="N3" s="2"/>
      <c r="O3" s="10"/>
      <c r="P3" s="10"/>
      <c r="Q3" s="2"/>
      <c r="R3" s="2"/>
      <c r="S3" s="2"/>
      <c r="T3" s="2"/>
      <c r="U3" s="2"/>
      <c r="V3" s="2"/>
      <c r="W3" s="6"/>
      <c r="X3" s="12" t="s">
        <v>7</v>
      </c>
      <c r="Y3" s="12"/>
    </row>
    <row r="4" spans="1:26" x14ac:dyDescent="0.2">
      <c r="A4" s="601" t="s">
        <v>8</v>
      </c>
      <c r="B4" s="14"/>
      <c r="C4" s="15" t="s">
        <v>8</v>
      </c>
      <c r="D4" s="15"/>
      <c r="E4" s="15"/>
      <c r="F4" s="1097" t="s">
        <v>8</v>
      </c>
      <c r="G4" s="46" t="str">
        <f>HYPERLINK("http://kaart.delfi.ee//?bookmark=02a763eb5e2ccd81dd84675ce47ef3f0","Jüri")</f>
        <v>Jüri</v>
      </c>
      <c r="H4" s="46" t="str">
        <f>HYPERLINK("http://kaart.delfi.ee//?bookmark=02a763eb5e2ccd81dd84675ce47ef3f0","Jüri")</f>
        <v>Jüri</v>
      </c>
      <c r="I4" s="140" t="str">
        <f>HYPERLINK("http://kaart.delfi.ee/?bookmark=fe8345aadbbb857f009aae03c00eea11","Tallinn")</f>
        <v>Tallinn</v>
      </c>
      <c r="J4" s="46" t="str">
        <f>HYPERLINK("http://kaart.delfi.ee//?bookmark=36ee67ba7cba151859305c222805d114","Saku")</f>
        <v>Saku</v>
      </c>
      <c r="K4" s="50" t="str">
        <f>HYPERLINK("http://kaart.delfi.ee/?bookmark=a13a9530590da153a95a150c883f6040","Viljandi")</f>
        <v>Viljandi</v>
      </c>
      <c r="L4" s="50" t="str">
        <f>HYPERLINK("http://kaart.delfi.ee/?bookmark=a13a9530590da153a95a150c883f6040","Viljandi")</f>
        <v>Viljandi</v>
      </c>
      <c r="M4" s="513" t="s">
        <v>785</v>
      </c>
      <c r="N4" s="601" t="s">
        <v>785</v>
      </c>
      <c r="O4" s="47" t="str">
        <f>HYPERLINK("http://kaart.delfi.ee/?bookmark=037591353bf9698628b723dab6c5e799","Valga")</f>
        <v>Valga</v>
      </c>
      <c r="P4" s="50" t="str">
        <f>HYPERLINK("http://kaart.delfi.ee/?bookmark=037591353bf9698628b723dab6c5e799","Valga")</f>
        <v>Valga</v>
      </c>
      <c r="Q4" s="47" t="str">
        <f>HYPERLINK("http://kaart.delfi.ee/?bookmark=0eb4bf4e7fb4b30009b7d7543818abd1","Kärdla")</f>
        <v>Kärdla</v>
      </c>
      <c r="R4" s="50" t="str">
        <f>HYPERLINK("http://kaart.delfi.ee/?bookmark=0eb4bf4e7fb4b30009b7d7543818abd1","Kärdla")</f>
        <v>Kärdla</v>
      </c>
      <c r="S4" s="51" t="s">
        <v>9</v>
      </c>
      <c r="T4" s="601" t="s">
        <v>785</v>
      </c>
      <c r="U4" s="47" t="str">
        <f>HYPERLINK("http://kaart.delfi.ee/?bookmark=521b80d6ceeefbe3e5d227267242b576","K-Järve")</f>
        <v>K-Järve</v>
      </c>
      <c r="V4" s="46" t="str">
        <f>HYPERLINK("http://kaart.delfi.ee/?bookmark=521b80d6ceeefbe3e5d227267242b576","K-Järve")</f>
        <v>K-Järve</v>
      </c>
      <c r="W4" s="16" t="s">
        <v>10</v>
      </c>
      <c r="X4" s="17"/>
      <c r="Y4" s="18"/>
      <c r="Z4" s="19"/>
    </row>
    <row r="5" spans="1:26" ht="13.5" thickBot="1" x14ac:dyDescent="0.25">
      <c r="A5" s="601" t="s">
        <v>8</v>
      </c>
      <c r="B5" s="57" t="s">
        <v>1073</v>
      </c>
      <c r="C5" s="15" t="s">
        <v>8</v>
      </c>
      <c r="D5" s="15"/>
      <c r="E5" s="15"/>
      <c r="F5" s="1098" t="s">
        <v>11</v>
      </c>
      <c r="G5" s="333" t="s">
        <v>3</v>
      </c>
      <c r="H5" s="333" t="s">
        <v>1067</v>
      </c>
      <c r="I5" s="848" t="s">
        <v>2</v>
      </c>
      <c r="J5" s="849" t="s">
        <v>3</v>
      </c>
      <c r="K5" s="333" t="s">
        <v>3</v>
      </c>
      <c r="L5" s="333" t="s">
        <v>1068</v>
      </c>
      <c r="M5" s="848" t="s">
        <v>2</v>
      </c>
      <c r="N5" s="849" t="s">
        <v>3</v>
      </c>
      <c r="O5" s="626" t="s">
        <v>2</v>
      </c>
      <c r="P5" s="333" t="s">
        <v>3</v>
      </c>
      <c r="Q5" s="848" t="s">
        <v>2</v>
      </c>
      <c r="R5" s="849" t="s">
        <v>3</v>
      </c>
      <c r="S5" s="626" t="s">
        <v>2</v>
      </c>
      <c r="T5" s="849" t="s">
        <v>3</v>
      </c>
      <c r="U5" s="626" t="s">
        <v>2</v>
      </c>
      <c r="V5" s="333" t="s">
        <v>1069</v>
      </c>
      <c r="W5" s="20" t="s">
        <v>8</v>
      </c>
      <c r="X5" s="16" t="s">
        <v>12</v>
      </c>
      <c r="Y5" s="18"/>
      <c r="Z5" s="21" t="s">
        <v>13</v>
      </c>
    </row>
    <row r="6" spans="1:26" x14ac:dyDescent="0.2">
      <c r="A6" s="601" t="s">
        <v>8</v>
      </c>
      <c r="B6" s="15" t="s">
        <v>8</v>
      </c>
      <c r="C6" s="15" t="s">
        <v>8</v>
      </c>
      <c r="D6" s="15"/>
      <c r="E6" s="15"/>
      <c r="F6" s="1098" t="s">
        <v>14</v>
      </c>
      <c r="G6" s="290" t="str">
        <f>HYPERLINK("http://www.petanque.ee/index.php?id=103738&amp;cid=416",MID(Kalend!A6,4,5))</f>
        <v>07.05</v>
      </c>
      <c r="H6" s="290" t="str">
        <f>HYPERLINK("http://www.petanque.ee/index.php?id=103738&amp;cid=417",MID(Kalend!A7,4,5))</f>
        <v>08.05</v>
      </c>
      <c r="I6" s="850" t="str">
        <f>HYPERLINK("http://www.petanque.ee/index.php?id=103738&amp;cid=420",MID(Kalend!A9,4,5))</f>
        <v>21.05</v>
      </c>
      <c r="J6" s="851" t="str">
        <f>HYPERLINK("http://www.petanque.ee/index.php?id=103738&amp;cid=421",MID(Kalend!A10,4,5))</f>
        <v>22.05</v>
      </c>
      <c r="K6" s="290" t="str">
        <f>HYPERLINK("http://www.petanque.ee/index.php?id=103738&amp;cid=423",MID(Kalend!A14,4,5))</f>
        <v>04.06</v>
      </c>
      <c r="L6" s="290" t="str">
        <f>HYPERLINK("http://www.petanque.ee/index.php?id=103738&amp;cid=424",MID(Kalend!A15,4,5))</f>
        <v>05.06</v>
      </c>
      <c r="M6" s="850" t="str">
        <f>HYPERLINK("http://www.petanque.ee/index.php?id=103738&amp;cid=427",MID(Kalend!A19,4,5))</f>
        <v>18.06</v>
      </c>
      <c r="N6" s="851" t="str">
        <f>HYPERLINK("http://www.petanque.ee/index.php?id=103738&amp;cid=428",MID(Kalend!A20,4,5))</f>
        <v>19.06</v>
      </c>
      <c r="O6" s="48" t="str">
        <f>HYPERLINK("http://www.petanque.ee/index.php?id=103738&amp;cid=432",MID(Kalend!A23,4,5))</f>
        <v>09.07</v>
      </c>
      <c r="P6" s="290" t="str">
        <f>HYPERLINK("http://www.petanque.ee/index.php?id=103738&amp;cid=433",MID(Kalend!A24,4,5))</f>
        <v>10.07</v>
      </c>
      <c r="Q6" s="850" t="str">
        <f>HYPERLINK("http://www.petanque.ee/index.php?id=103738&amp;cid=434",MID(Kalend!A25,4,5))</f>
        <v>16.07</v>
      </c>
      <c r="R6" s="851" t="str">
        <f>HYPERLINK("http://www.petanque.ee/index.php?id=103738&amp;cid=435",MID(Kalend!A26,4,5))</f>
        <v>17.07</v>
      </c>
      <c r="S6" s="48" t="str">
        <f>HYPERLINK("http://www.petanque.ee/index.php?id=103738&amp;cid=437",MID(Kalend!A27,4,5))</f>
        <v>24.07</v>
      </c>
      <c r="T6" s="851" t="str">
        <f>HYPERLINK("http://www.petanque.ee/index.php?id=103738&amp;cid=442",MID(Kalend!A30,4,5))</f>
        <v>07.08</v>
      </c>
      <c r="U6" s="846" t="str">
        <f>HYPERLINK("http://www.petanque.ee/index.php?id=103738&amp;cid=443",MID(Kalend!A31,4,5))</f>
        <v>13.08</v>
      </c>
      <c r="V6" s="847" t="str">
        <f>HYPERLINK("http://www.petanque.ee/index.php?id=103738&amp;cid=444",MID(Kalend!A32,4,5))</f>
        <v>14.08</v>
      </c>
      <c r="W6" s="23"/>
      <c r="X6" s="20" t="s">
        <v>15</v>
      </c>
      <c r="Y6" s="24" t="s">
        <v>16</v>
      </c>
      <c r="Z6" s="21" t="s">
        <v>17</v>
      </c>
    </row>
    <row r="7" spans="1:26" x14ac:dyDescent="0.2">
      <c r="A7" s="872" t="s">
        <v>28</v>
      </c>
      <c r="B7" s="15" t="s">
        <v>8</v>
      </c>
      <c r="C7" s="871" t="s">
        <v>30</v>
      </c>
      <c r="D7" s="73" t="s">
        <v>31</v>
      </c>
      <c r="E7" s="73" t="s">
        <v>32</v>
      </c>
      <c r="F7" s="1098" t="s">
        <v>18</v>
      </c>
      <c r="G7" s="25" t="s">
        <v>19</v>
      </c>
      <c r="H7" s="25" t="s">
        <v>20</v>
      </c>
      <c r="I7" s="805" t="s">
        <v>21</v>
      </c>
      <c r="J7" s="806" t="s">
        <v>19</v>
      </c>
      <c r="K7" s="25" t="s">
        <v>20</v>
      </c>
      <c r="L7" s="25" t="s">
        <v>19</v>
      </c>
      <c r="M7" s="805" t="s">
        <v>22</v>
      </c>
      <c r="N7" s="806" t="s">
        <v>20</v>
      </c>
      <c r="O7" s="26" t="s">
        <v>23</v>
      </c>
      <c r="P7" s="25" t="s">
        <v>19</v>
      </c>
      <c r="Q7" s="807" t="s">
        <v>20</v>
      </c>
      <c r="R7" s="806" t="s">
        <v>19</v>
      </c>
      <c r="S7" s="26" t="s">
        <v>24</v>
      </c>
      <c r="T7" s="806" t="s">
        <v>20</v>
      </c>
      <c r="U7" s="26" t="s">
        <v>19</v>
      </c>
      <c r="V7" s="25" t="s">
        <v>20</v>
      </c>
      <c r="W7" s="23"/>
      <c r="X7" s="20"/>
      <c r="Y7" s="20" t="s">
        <v>25</v>
      </c>
      <c r="Z7" s="21" t="s">
        <v>26</v>
      </c>
    </row>
    <row r="8" spans="1:26" x14ac:dyDescent="0.2">
      <c r="A8" s="872"/>
      <c r="B8" s="14" t="s">
        <v>29</v>
      </c>
      <c r="C8" s="871"/>
      <c r="D8" s="73"/>
      <c r="E8" s="73"/>
      <c r="F8" s="1099" t="s">
        <v>8</v>
      </c>
      <c r="G8" s="628" t="str">
        <f>HYPERLINK("#1!G1"," 1 ")</f>
        <v xml:space="preserve"> 1 </v>
      </c>
      <c r="H8" s="628" t="str">
        <f>HYPERLINK("#2!I1"," 2 ")</f>
        <v xml:space="preserve"> 2 </v>
      </c>
      <c r="I8" s="627" t="str">
        <f>HYPERLINK("#3 M!H1"," 3 ")</f>
        <v xml:space="preserve"> 3 </v>
      </c>
      <c r="J8" s="628" t="str">
        <f>HYPERLINK("#4!G1"," 4 ")</f>
        <v xml:space="preserve"> 4 </v>
      </c>
      <c r="K8" s="628" t="str">
        <f>HYPERLINK("#5!G1"," 5 ")</f>
        <v xml:space="preserve"> 5 </v>
      </c>
      <c r="L8" s="628" t="str">
        <f>HYPERLINK("#6!G1"," 6 ")</f>
        <v xml:space="preserve"> 6 </v>
      </c>
      <c r="M8" s="627" t="str">
        <f>HYPERLINK("#7!G1"," 7 ")</f>
        <v xml:space="preserve"> 7 </v>
      </c>
      <c r="N8" s="628" t="str">
        <f>HYPERLINK("#8!G1"," 8 ")</f>
        <v xml:space="preserve"> 8 </v>
      </c>
      <c r="O8" s="627" t="str">
        <f>HYPERLINK("#9!G1"," 9 ")</f>
        <v xml:space="preserve"> 9 </v>
      </c>
      <c r="P8" s="45" t="str">
        <f>HYPERLINK("#10!G1","10 ")</f>
        <v xml:space="preserve">10 </v>
      </c>
      <c r="Q8" s="627" t="str">
        <f>HYPERLINK("#11!G1","11 ")</f>
        <v xml:space="preserve">11 </v>
      </c>
      <c r="R8" s="628" t="str">
        <f>HYPERLINK("#12!G1","12 ")</f>
        <v xml:space="preserve">12 </v>
      </c>
      <c r="S8" s="48" t="str">
        <f>HYPERLINK("#13 M!G1","13 ")</f>
        <v xml:space="preserve">13 </v>
      </c>
      <c r="T8" s="628" t="str">
        <f>HYPERLINK("#14!G1","14 ")</f>
        <v xml:space="preserve">14 </v>
      </c>
      <c r="U8" s="627" t="str">
        <f>HYPERLINK("#15!G1","15 ")</f>
        <v xml:space="preserve">15 </v>
      </c>
      <c r="V8" s="628" t="str">
        <f>HYPERLINK("#16!G1","16 ")</f>
        <v xml:space="preserve">16 </v>
      </c>
      <c r="W8" s="28"/>
      <c r="X8" s="29"/>
      <c r="Y8" s="29"/>
      <c r="Z8" s="30"/>
    </row>
    <row r="9" spans="1:26" x14ac:dyDescent="0.2">
      <c r="A9" s="139">
        <v>1</v>
      </c>
      <c r="B9" s="808" t="s">
        <v>45</v>
      </c>
      <c r="C9" s="139">
        <v>1202</v>
      </c>
      <c r="D9" s="64" t="s">
        <v>35</v>
      </c>
      <c r="E9" s="64"/>
      <c r="F9" s="1100">
        <v>56</v>
      </c>
      <c r="G9" s="15">
        <v>97</v>
      </c>
      <c r="H9" s="15">
        <v>69</v>
      </c>
      <c r="I9" s="15">
        <v>126</v>
      </c>
      <c r="J9" s="15">
        <v>69</v>
      </c>
      <c r="K9" s="15">
        <v>74</v>
      </c>
      <c r="L9" s="575">
        <v>40</v>
      </c>
      <c r="M9" s="15">
        <v>135</v>
      </c>
      <c r="N9" s="575">
        <v>49</v>
      </c>
      <c r="O9" s="575" t="s">
        <v>397</v>
      </c>
      <c r="P9" s="575" t="s">
        <v>397</v>
      </c>
      <c r="Q9" s="15">
        <v>74</v>
      </c>
      <c r="R9" s="15">
        <v>64</v>
      </c>
      <c r="S9" s="15">
        <v>173</v>
      </c>
      <c r="T9" s="15">
        <v>105</v>
      </c>
      <c r="U9" s="15">
        <v>104</v>
      </c>
      <c r="V9" s="430">
        <v>56</v>
      </c>
      <c r="W9" s="636">
        <f>COUNTIF(G9:V9,"&gt;=0")</f>
        <v>14</v>
      </c>
      <c r="X9" s="439">
        <f t="shared" ref="X9:X40" si="0">COUNTIF(G9:H9,"&gt;=97")+COUNTIF(J9:L9,"&gt;=97")+COUNTIF(N9,"&gt;=97")+COUNTIF(P9,"&gt;=97")+COUNTIF(R9,"&gt;=97")+COUNTIF(T9,"&gt;=97")+COUNTIF(V9,"&gt;=97")+COUNTIF(I9,"&gt;=146")+COUNTIF(M9,"&gt;=146")+COUNTIF(O9,"&gt;=146")+COUNTIF(Q9,"&gt;=146")+COUNTIF(S9,"&gt;=146")+COUNTIF(U9,"&gt;=146")</f>
        <v>3</v>
      </c>
      <c r="Y9" s="510">
        <f t="shared" ref="Y9:Y40" si="1">COUNTIF(G9:H9,"=115")+COUNTIF(J9:L9,"=115")+COUNTIF(N9,"=115")+COUNTIF(P9,"=115")+COUNTIF(R9,"=115")+COUNTIF(T9,"=115")+COUNTIF(V9,"=115")+COUNTIF(G9:V9,"=173")</f>
        <v>1</v>
      </c>
      <c r="Z9" s="511">
        <f t="shared" ref="Z9:Z40" si="2">COUNTIF(G9:V9,"=173")</f>
        <v>1</v>
      </c>
    </row>
    <row r="10" spans="1:26" x14ac:dyDescent="0.2">
      <c r="A10" s="139">
        <v>2</v>
      </c>
      <c r="B10" s="809" t="s">
        <v>52</v>
      </c>
      <c r="C10" s="870">
        <v>1146</v>
      </c>
      <c r="D10" s="64" t="s">
        <v>35</v>
      </c>
      <c r="E10" s="64"/>
      <c r="F10" s="1100">
        <v>79</v>
      </c>
      <c r="G10" s="15">
        <v>97</v>
      </c>
      <c r="H10" s="15">
        <v>56</v>
      </c>
      <c r="I10" s="575"/>
      <c r="J10" s="575" t="s">
        <v>397</v>
      </c>
      <c r="K10" s="575" t="s">
        <v>397</v>
      </c>
      <c r="L10" s="575">
        <v>40</v>
      </c>
      <c r="M10" s="32">
        <v>146</v>
      </c>
      <c r="N10" s="15">
        <v>49</v>
      </c>
      <c r="O10" s="15">
        <v>96</v>
      </c>
      <c r="P10" s="15">
        <v>43</v>
      </c>
      <c r="Q10" s="15">
        <v>135</v>
      </c>
      <c r="R10" s="15">
        <v>97</v>
      </c>
      <c r="S10" s="15">
        <v>126</v>
      </c>
      <c r="T10" s="15">
        <v>56</v>
      </c>
      <c r="U10" s="15">
        <v>126</v>
      </c>
      <c r="V10" s="15">
        <v>40</v>
      </c>
      <c r="W10" s="635">
        <f t="shared" ref="W10:W57" si="3">COUNTIF(G10:V10,"&gt;=0")</f>
        <v>13</v>
      </c>
      <c r="X10" s="440">
        <f t="shared" si="0"/>
        <v>3</v>
      </c>
      <c r="Y10" s="441">
        <f t="shared" si="1"/>
        <v>0</v>
      </c>
      <c r="Z10" s="34">
        <f t="shared" si="2"/>
        <v>0</v>
      </c>
    </row>
    <row r="11" spans="1:26" x14ac:dyDescent="0.2">
      <c r="A11" s="139">
        <v>3</v>
      </c>
      <c r="B11" s="810" t="s">
        <v>56</v>
      </c>
      <c r="C11" s="139">
        <v>906</v>
      </c>
      <c r="D11" s="64" t="s">
        <v>35</v>
      </c>
      <c r="E11" s="64"/>
      <c r="F11" s="1100">
        <v>1</v>
      </c>
      <c r="G11" s="15">
        <v>97</v>
      </c>
      <c r="H11" s="15">
        <v>56</v>
      </c>
      <c r="I11" s="15">
        <v>119</v>
      </c>
      <c r="J11" s="15">
        <v>69</v>
      </c>
      <c r="K11" s="15">
        <v>52</v>
      </c>
      <c r="L11" s="575">
        <v>40</v>
      </c>
      <c r="M11" s="575" t="s">
        <v>397</v>
      </c>
      <c r="N11" s="575" t="s">
        <v>397</v>
      </c>
      <c r="O11" s="15">
        <v>84</v>
      </c>
      <c r="P11" s="15">
        <v>43</v>
      </c>
      <c r="Q11" s="15">
        <v>60</v>
      </c>
      <c r="R11" s="15">
        <v>52</v>
      </c>
      <c r="S11" s="15">
        <v>111</v>
      </c>
      <c r="T11" s="15">
        <v>43</v>
      </c>
      <c r="U11" s="15">
        <v>119</v>
      </c>
      <c r="V11" s="575">
        <v>40</v>
      </c>
      <c r="W11" s="635">
        <f t="shared" si="3"/>
        <v>14</v>
      </c>
      <c r="X11" s="440">
        <f t="shared" si="0"/>
        <v>1</v>
      </c>
      <c r="Y11" s="441">
        <f t="shared" si="1"/>
        <v>0</v>
      </c>
      <c r="Z11" s="34">
        <f t="shared" si="2"/>
        <v>0</v>
      </c>
    </row>
    <row r="12" spans="1:26" x14ac:dyDescent="0.2">
      <c r="A12" s="139">
        <v>4</v>
      </c>
      <c r="B12" s="601" t="s">
        <v>37</v>
      </c>
      <c r="C12" s="139">
        <v>905</v>
      </c>
      <c r="D12" s="64" t="s">
        <v>35</v>
      </c>
      <c r="E12" s="64"/>
      <c r="F12" s="1100">
        <v>43</v>
      </c>
      <c r="G12" s="15">
        <v>84</v>
      </c>
      <c r="H12" s="575" t="s">
        <v>397</v>
      </c>
      <c r="I12" s="15">
        <v>173</v>
      </c>
      <c r="J12" s="575" t="s">
        <v>397</v>
      </c>
      <c r="K12" s="15">
        <v>115</v>
      </c>
      <c r="L12" s="15">
        <v>97</v>
      </c>
      <c r="M12" s="575" t="s">
        <v>397</v>
      </c>
      <c r="N12" s="575" t="s">
        <v>397</v>
      </c>
      <c r="O12" s="15"/>
      <c r="P12" s="15"/>
      <c r="Q12" s="15">
        <v>158</v>
      </c>
      <c r="R12" s="15">
        <v>79</v>
      </c>
      <c r="S12" s="15"/>
      <c r="T12" s="15"/>
      <c r="U12" s="15">
        <v>96</v>
      </c>
      <c r="V12" s="15">
        <v>60</v>
      </c>
      <c r="W12" s="868">
        <f t="shared" si="3"/>
        <v>8</v>
      </c>
      <c r="X12" s="440">
        <f t="shared" si="0"/>
        <v>4</v>
      </c>
      <c r="Y12" s="441">
        <f t="shared" si="1"/>
        <v>2</v>
      </c>
      <c r="Z12" s="34">
        <f t="shared" si="2"/>
        <v>1</v>
      </c>
    </row>
    <row r="13" spans="1:26" x14ac:dyDescent="0.2">
      <c r="A13" s="139">
        <v>5</v>
      </c>
      <c r="B13" s="632" t="s">
        <v>63</v>
      </c>
      <c r="C13" s="139">
        <v>871</v>
      </c>
      <c r="D13" s="64" t="s">
        <v>35</v>
      </c>
      <c r="E13" s="64"/>
      <c r="F13" s="1100">
        <v>8</v>
      </c>
      <c r="G13" s="15">
        <v>97</v>
      </c>
      <c r="H13" s="15">
        <v>97</v>
      </c>
      <c r="I13" s="15">
        <v>135</v>
      </c>
      <c r="J13" s="15">
        <v>69</v>
      </c>
      <c r="K13" s="15">
        <v>19</v>
      </c>
      <c r="L13" s="15">
        <v>40</v>
      </c>
      <c r="M13" s="15">
        <v>158</v>
      </c>
      <c r="N13" s="15">
        <v>69</v>
      </c>
      <c r="O13" s="575" t="s">
        <v>397</v>
      </c>
      <c r="P13" s="575" t="s">
        <v>397</v>
      </c>
      <c r="Q13" s="15"/>
      <c r="R13" s="575" t="s">
        <v>397</v>
      </c>
      <c r="S13" s="15">
        <v>119</v>
      </c>
      <c r="T13" s="15">
        <v>60</v>
      </c>
      <c r="U13" s="15"/>
      <c r="V13" s="575" t="s">
        <v>397</v>
      </c>
      <c r="W13" s="635">
        <f t="shared" si="3"/>
        <v>10</v>
      </c>
      <c r="X13" s="440">
        <f t="shared" si="0"/>
        <v>3</v>
      </c>
      <c r="Y13" s="441">
        <f t="shared" si="1"/>
        <v>0</v>
      </c>
      <c r="Z13" s="34">
        <f t="shared" si="2"/>
        <v>0</v>
      </c>
    </row>
    <row r="14" spans="1:26" x14ac:dyDescent="0.2">
      <c r="A14" s="139">
        <v>6</v>
      </c>
      <c r="B14" s="601" t="s">
        <v>48</v>
      </c>
      <c r="C14" s="139">
        <v>851</v>
      </c>
      <c r="D14" s="64" t="s">
        <v>35</v>
      </c>
      <c r="E14" s="64"/>
      <c r="F14" s="1100">
        <v>14</v>
      </c>
      <c r="G14" s="15">
        <v>84</v>
      </c>
      <c r="H14" s="15">
        <v>74</v>
      </c>
      <c r="I14" s="575"/>
      <c r="J14" s="575" t="s">
        <v>397</v>
      </c>
      <c r="K14" s="15">
        <v>90</v>
      </c>
      <c r="L14" s="15">
        <v>97</v>
      </c>
      <c r="M14" s="32"/>
      <c r="N14" s="575" t="s">
        <v>397</v>
      </c>
      <c r="O14" s="15"/>
      <c r="P14" s="575" t="s">
        <v>397</v>
      </c>
      <c r="Q14" s="15">
        <v>90</v>
      </c>
      <c r="R14" s="15">
        <v>79</v>
      </c>
      <c r="S14" s="15">
        <v>158</v>
      </c>
      <c r="T14" s="15"/>
      <c r="U14" s="15">
        <v>96</v>
      </c>
      <c r="V14" s="15">
        <v>69</v>
      </c>
      <c r="W14" s="635">
        <f t="shared" si="3"/>
        <v>9</v>
      </c>
      <c r="X14" s="440">
        <f t="shared" si="0"/>
        <v>2</v>
      </c>
      <c r="Y14" s="441">
        <f t="shared" si="1"/>
        <v>0</v>
      </c>
      <c r="Z14" s="34">
        <f t="shared" si="2"/>
        <v>0</v>
      </c>
    </row>
    <row r="15" spans="1:26" x14ac:dyDescent="0.2">
      <c r="A15" s="139">
        <v>7</v>
      </c>
      <c r="B15" s="601" t="s">
        <v>54</v>
      </c>
      <c r="C15" s="139">
        <v>811</v>
      </c>
      <c r="D15" s="64" t="s">
        <v>35</v>
      </c>
      <c r="E15" s="64"/>
      <c r="F15" s="1100">
        <v>90</v>
      </c>
      <c r="G15" s="575" t="s">
        <v>397</v>
      </c>
      <c r="H15" s="575" t="s">
        <v>397</v>
      </c>
      <c r="I15" s="15">
        <v>111</v>
      </c>
      <c r="J15" s="15">
        <v>60</v>
      </c>
      <c r="K15" s="575" t="s">
        <v>397</v>
      </c>
      <c r="L15" s="15"/>
      <c r="M15" s="575" t="s">
        <v>397</v>
      </c>
      <c r="N15" s="15"/>
      <c r="O15" s="15">
        <v>104</v>
      </c>
      <c r="P15" s="15">
        <v>79</v>
      </c>
      <c r="Q15" s="15">
        <v>119</v>
      </c>
      <c r="R15" s="15">
        <v>84</v>
      </c>
      <c r="S15" s="15"/>
      <c r="T15" s="15"/>
      <c r="U15" s="15">
        <v>90</v>
      </c>
      <c r="V15" s="15">
        <v>74</v>
      </c>
      <c r="W15" s="33">
        <f t="shared" si="3"/>
        <v>8</v>
      </c>
      <c r="X15" s="440">
        <f t="shared" si="0"/>
        <v>0</v>
      </c>
      <c r="Y15" s="441">
        <f t="shared" si="1"/>
        <v>0</v>
      </c>
      <c r="Z15" s="34">
        <f t="shared" si="2"/>
        <v>0</v>
      </c>
    </row>
    <row r="16" spans="1:26" x14ac:dyDescent="0.2">
      <c r="A16" s="139">
        <v>8</v>
      </c>
      <c r="B16" s="67" t="s">
        <v>435</v>
      </c>
      <c r="C16" s="870">
        <v>810</v>
      </c>
      <c r="D16" s="64" t="s">
        <v>35</v>
      </c>
      <c r="E16" s="64"/>
      <c r="F16" s="1100"/>
      <c r="G16" s="575" t="s">
        <v>397</v>
      </c>
      <c r="H16" s="575" t="s">
        <v>397</v>
      </c>
      <c r="I16" s="575"/>
      <c r="J16" s="15">
        <v>105</v>
      </c>
      <c r="K16" s="15">
        <v>60</v>
      </c>
      <c r="L16" s="15">
        <v>115</v>
      </c>
      <c r="M16" s="15">
        <v>126</v>
      </c>
      <c r="N16" s="15">
        <v>105</v>
      </c>
      <c r="O16" s="15">
        <v>135</v>
      </c>
      <c r="P16" s="575" t="s">
        <v>397</v>
      </c>
      <c r="Q16" s="15">
        <v>104</v>
      </c>
      <c r="R16" s="15">
        <v>60</v>
      </c>
      <c r="S16" s="15"/>
      <c r="T16" s="15"/>
      <c r="U16" s="15"/>
      <c r="V16" s="15"/>
      <c r="W16" s="33">
        <f t="shared" si="3"/>
        <v>8</v>
      </c>
      <c r="X16" s="440">
        <f t="shared" si="0"/>
        <v>3</v>
      </c>
      <c r="Y16" s="441">
        <f t="shared" si="1"/>
        <v>1</v>
      </c>
      <c r="Z16" s="34">
        <f t="shared" si="2"/>
        <v>0</v>
      </c>
    </row>
    <row r="17" spans="1:26" x14ac:dyDescent="0.2">
      <c r="A17" s="139">
        <v>9</v>
      </c>
      <c r="B17" s="601" t="s">
        <v>59</v>
      </c>
      <c r="C17" s="139">
        <v>729</v>
      </c>
      <c r="D17" s="64" t="s">
        <v>35</v>
      </c>
      <c r="E17" s="64"/>
      <c r="F17" s="1100">
        <v>22</v>
      </c>
      <c r="G17" s="15">
        <v>90</v>
      </c>
      <c r="H17" s="15">
        <v>105</v>
      </c>
      <c r="I17" s="575"/>
      <c r="J17" s="575" t="s">
        <v>397</v>
      </c>
      <c r="K17" s="15">
        <v>25</v>
      </c>
      <c r="L17" s="15">
        <v>56</v>
      </c>
      <c r="M17" s="32">
        <v>119</v>
      </c>
      <c r="N17" s="15">
        <v>43</v>
      </c>
      <c r="O17" s="15">
        <v>90</v>
      </c>
      <c r="P17" s="15">
        <v>105</v>
      </c>
      <c r="Q17" s="15"/>
      <c r="R17" s="575" t="s">
        <v>397</v>
      </c>
      <c r="S17" s="15"/>
      <c r="T17" s="15">
        <v>74</v>
      </c>
      <c r="U17" s="15"/>
      <c r="V17" s="575" t="s">
        <v>397</v>
      </c>
      <c r="W17" s="33">
        <f t="shared" si="3"/>
        <v>9</v>
      </c>
      <c r="X17" s="440">
        <f t="shared" si="0"/>
        <v>2</v>
      </c>
      <c r="Y17" s="441">
        <f t="shared" si="1"/>
        <v>0</v>
      </c>
      <c r="Z17" s="34">
        <f t="shared" si="2"/>
        <v>0</v>
      </c>
    </row>
    <row r="18" spans="1:26" x14ac:dyDescent="0.2">
      <c r="A18" s="139">
        <v>10</v>
      </c>
      <c r="B18" s="601" t="s">
        <v>43</v>
      </c>
      <c r="C18" s="139">
        <v>689</v>
      </c>
      <c r="D18" s="64" t="s">
        <v>35</v>
      </c>
      <c r="E18" s="64"/>
      <c r="F18" s="1100">
        <v>10</v>
      </c>
      <c r="G18" s="15">
        <v>84</v>
      </c>
      <c r="H18" s="15">
        <v>74</v>
      </c>
      <c r="I18" s="575"/>
      <c r="J18" s="575" t="s">
        <v>397</v>
      </c>
      <c r="K18" s="15">
        <v>90</v>
      </c>
      <c r="L18" s="15">
        <v>97</v>
      </c>
      <c r="M18" s="15"/>
      <c r="N18" s="575" t="s">
        <v>397</v>
      </c>
      <c r="O18" s="15"/>
      <c r="P18" s="575" t="s">
        <v>397</v>
      </c>
      <c r="Q18" s="15">
        <v>90</v>
      </c>
      <c r="R18" s="15">
        <v>79</v>
      </c>
      <c r="S18" s="15"/>
      <c r="T18" s="15"/>
      <c r="U18" s="15">
        <v>96</v>
      </c>
      <c r="V18" s="15">
        <v>69</v>
      </c>
      <c r="W18" s="33">
        <f t="shared" si="3"/>
        <v>8</v>
      </c>
      <c r="X18" s="440">
        <f t="shared" si="0"/>
        <v>1</v>
      </c>
      <c r="Y18" s="441">
        <f t="shared" si="1"/>
        <v>0</v>
      </c>
      <c r="Z18" s="34">
        <f t="shared" si="2"/>
        <v>0</v>
      </c>
    </row>
    <row r="19" spans="1:26" x14ac:dyDescent="0.2">
      <c r="A19" s="139">
        <v>11</v>
      </c>
      <c r="B19" s="601" t="s">
        <v>67</v>
      </c>
      <c r="C19" s="139">
        <v>663</v>
      </c>
      <c r="D19" s="64" t="s">
        <v>35</v>
      </c>
      <c r="E19" s="64"/>
      <c r="F19" s="1100">
        <v>37</v>
      </c>
      <c r="G19" s="15">
        <v>90</v>
      </c>
      <c r="H19" s="15">
        <v>105</v>
      </c>
      <c r="I19" s="575"/>
      <c r="J19" s="15">
        <v>60</v>
      </c>
      <c r="K19" s="15">
        <v>25</v>
      </c>
      <c r="L19" s="575" t="s">
        <v>397</v>
      </c>
      <c r="M19" s="32">
        <v>119</v>
      </c>
      <c r="N19" s="15">
        <v>43</v>
      </c>
      <c r="O19" s="15"/>
      <c r="P19" s="575" t="s">
        <v>397</v>
      </c>
      <c r="Q19" s="15"/>
      <c r="R19" s="575" t="s">
        <v>397</v>
      </c>
      <c r="S19" s="15"/>
      <c r="T19" s="15">
        <v>49</v>
      </c>
      <c r="U19" s="15">
        <v>135</v>
      </c>
      <c r="V19" s="15"/>
      <c r="W19" s="33">
        <f t="shared" si="3"/>
        <v>8</v>
      </c>
      <c r="X19" s="440">
        <f t="shared" si="0"/>
        <v>1</v>
      </c>
      <c r="Y19" s="441">
        <f t="shared" si="1"/>
        <v>0</v>
      </c>
      <c r="Z19" s="34">
        <f t="shared" si="2"/>
        <v>0</v>
      </c>
    </row>
    <row r="20" spans="1:26" x14ac:dyDescent="0.2">
      <c r="A20" s="139">
        <v>12</v>
      </c>
      <c r="B20" s="601" t="s">
        <v>70</v>
      </c>
      <c r="C20" s="139">
        <v>509</v>
      </c>
      <c r="D20" s="64" t="s">
        <v>35</v>
      </c>
      <c r="E20" s="64"/>
      <c r="F20" s="1100">
        <v>60</v>
      </c>
      <c r="G20" s="575" t="s">
        <v>397</v>
      </c>
      <c r="H20" s="575" t="s">
        <v>397</v>
      </c>
      <c r="I20" s="15">
        <v>146</v>
      </c>
      <c r="J20" s="15">
        <v>60</v>
      </c>
      <c r="K20" s="575" t="s">
        <v>397</v>
      </c>
      <c r="L20" s="15"/>
      <c r="M20" s="575" t="s">
        <v>397</v>
      </c>
      <c r="N20" s="15"/>
      <c r="O20" s="15"/>
      <c r="P20" s="15"/>
      <c r="Q20" s="15">
        <v>60</v>
      </c>
      <c r="R20" s="15"/>
      <c r="S20" s="15">
        <v>146</v>
      </c>
      <c r="T20" s="15">
        <v>37</v>
      </c>
      <c r="U20" s="15"/>
      <c r="V20" s="15"/>
      <c r="W20" s="33">
        <f t="shared" si="3"/>
        <v>5</v>
      </c>
      <c r="X20" s="440">
        <f t="shared" si="0"/>
        <v>2</v>
      </c>
      <c r="Y20" s="441">
        <f t="shared" si="1"/>
        <v>0</v>
      </c>
      <c r="Z20" s="34">
        <f t="shared" si="2"/>
        <v>0</v>
      </c>
    </row>
    <row r="21" spans="1:26" x14ac:dyDescent="0.2">
      <c r="A21" s="139">
        <v>13</v>
      </c>
      <c r="B21" s="601" t="s">
        <v>39</v>
      </c>
      <c r="C21" s="139">
        <v>421</v>
      </c>
      <c r="D21" s="64" t="s">
        <v>35</v>
      </c>
      <c r="E21" s="64"/>
      <c r="F21" s="1100">
        <v>1</v>
      </c>
      <c r="G21" s="575" t="s">
        <v>397</v>
      </c>
      <c r="H21" s="575" t="s">
        <v>397</v>
      </c>
      <c r="I21" s="575"/>
      <c r="J21" s="575" t="s">
        <v>397</v>
      </c>
      <c r="K21" s="15"/>
      <c r="L21" s="15"/>
      <c r="M21" s="15">
        <v>111</v>
      </c>
      <c r="N21" s="15">
        <v>84</v>
      </c>
      <c r="O21" s="15"/>
      <c r="P21" s="15"/>
      <c r="Q21" s="15"/>
      <c r="R21" s="15"/>
      <c r="S21" s="15">
        <v>135</v>
      </c>
      <c r="T21" s="15">
        <v>90</v>
      </c>
      <c r="U21" s="15"/>
      <c r="V21" s="15"/>
      <c r="W21" s="33">
        <f t="shared" si="3"/>
        <v>4</v>
      </c>
      <c r="X21" s="440">
        <f t="shared" si="0"/>
        <v>0</v>
      </c>
      <c r="Y21" s="441">
        <f t="shared" si="1"/>
        <v>0</v>
      </c>
      <c r="Z21" s="34">
        <f t="shared" si="2"/>
        <v>0</v>
      </c>
    </row>
    <row r="22" spans="1:26" x14ac:dyDescent="0.2">
      <c r="A22" s="139">
        <v>14</v>
      </c>
      <c r="B22" s="601" t="s">
        <v>74</v>
      </c>
      <c r="C22" s="139">
        <v>349</v>
      </c>
      <c r="D22" s="64" t="s">
        <v>35</v>
      </c>
      <c r="E22" s="64"/>
      <c r="F22" s="1100">
        <v>1</v>
      </c>
      <c r="G22" s="575" t="s">
        <v>397</v>
      </c>
      <c r="H22" s="575" t="s">
        <v>397</v>
      </c>
      <c r="I22" s="15">
        <v>158</v>
      </c>
      <c r="J22" s="575" t="s">
        <v>397</v>
      </c>
      <c r="K22" s="15">
        <v>46</v>
      </c>
      <c r="L22" s="15"/>
      <c r="M22" s="15">
        <v>104</v>
      </c>
      <c r="N22" s="15">
        <v>40</v>
      </c>
      <c r="O22" s="575" t="s">
        <v>397</v>
      </c>
      <c r="P22" s="15"/>
      <c r="Q22" s="15"/>
      <c r="R22" s="15"/>
      <c r="S22" s="15"/>
      <c r="T22" s="15"/>
      <c r="U22" s="15"/>
      <c r="V22" s="15"/>
      <c r="W22" s="33">
        <f t="shared" si="3"/>
        <v>4</v>
      </c>
      <c r="X22" s="440">
        <f t="shared" si="0"/>
        <v>1</v>
      </c>
      <c r="Y22" s="441">
        <f t="shared" si="1"/>
        <v>0</v>
      </c>
      <c r="Z22" s="34">
        <f t="shared" si="2"/>
        <v>0</v>
      </c>
    </row>
    <row r="23" spans="1:26" x14ac:dyDescent="0.2">
      <c r="A23" s="139">
        <v>15</v>
      </c>
      <c r="B23" s="601" t="s">
        <v>440</v>
      </c>
      <c r="C23" s="139">
        <v>317</v>
      </c>
      <c r="D23" s="64" t="s">
        <v>35</v>
      </c>
      <c r="E23" s="64"/>
      <c r="F23" s="1100"/>
      <c r="G23" s="575" t="s">
        <v>397</v>
      </c>
      <c r="H23" s="575" t="s">
        <v>397</v>
      </c>
      <c r="I23" s="575"/>
      <c r="J23" s="15">
        <v>79</v>
      </c>
      <c r="K23" s="575" t="s">
        <v>397</v>
      </c>
      <c r="L23" s="15"/>
      <c r="M23" s="15">
        <v>173</v>
      </c>
      <c r="N23" s="15"/>
      <c r="O23" s="15">
        <v>65</v>
      </c>
      <c r="P23" s="15"/>
      <c r="Q23" s="15"/>
      <c r="R23" s="15"/>
      <c r="S23" s="15"/>
      <c r="T23" s="15"/>
      <c r="U23" s="15"/>
      <c r="V23" s="15"/>
      <c r="W23" s="33">
        <f t="shared" si="3"/>
        <v>3</v>
      </c>
      <c r="X23" s="440">
        <f t="shared" si="0"/>
        <v>1</v>
      </c>
      <c r="Y23" s="441">
        <f t="shared" si="1"/>
        <v>1</v>
      </c>
      <c r="Z23" s="34">
        <f t="shared" si="2"/>
        <v>1</v>
      </c>
    </row>
    <row r="24" spans="1:26" x14ac:dyDescent="0.2">
      <c r="A24" s="139">
        <v>16</v>
      </c>
      <c r="B24" s="601" t="s">
        <v>679</v>
      </c>
      <c r="C24" s="139">
        <v>291</v>
      </c>
      <c r="D24" s="64" t="s">
        <v>35</v>
      </c>
      <c r="E24" s="64"/>
      <c r="F24" s="1100"/>
      <c r="G24" s="575" t="s">
        <v>397</v>
      </c>
      <c r="H24" s="575" t="s">
        <v>397</v>
      </c>
      <c r="I24" s="575"/>
      <c r="J24" s="575" t="s">
        <v>397</v>
      </c>
      <c r="K24" s="15"/>
      <c r="L24" s="15"/>
      <c r="M24" s="15"/>
      <c r="N24" s="15"/>
      <c r="O24" s="15">
        <v>158</v>
      </c>
      <c r="P24" s="15">
        <v>69</v>
      </c>
      <c r="Q24" s="15"/>
      <c r="R24" s="15"/>
      <c r="S24" s="15"/>
      <c r="T24" s="15">
        <v>64</v>
      </c>
      <c r="U24" s="15"/>
      <c r="V24" s="15"/>
      <c r="W24" s="33">
        <f t="shared" si="3"/>
        <v>3</v>
      </c>
      <c r="X24" s="440">
        <f t="shared" si="0"/>
        <v>1</v>
      </c>
      <c r="Y24" s="441">
        <f t="shared" si="1"/>
        <v>0</v>
      </c>
      <c r="Z24" s="34">
        <f t="shared" si="2"/>
        <v>0</v>
      </c>
    </row>
    <row r="25" spans="1:26" x14ac:dyDescent="0.2">
      <c r="A25" s="139">
        <v>17</v>
      </c>
      <c r="B25" s="601" t="s">
        <v>533</v>
      </c>
      <c r="C25" s="139">
        <v>241</v>
      </c>
      <c r="D25" s="64" t="s">
        <v>35</v>
      </c>
      <c r="E25" s="64"/>
      <c r="F25" s="1100"/>
      <c r="G25" s="575" t="s">
        <v>397</v>
      </c>
      <c r="H25" s="575" t="s">
        <v>397</v>
      </c>
      <c r="I25" s="575"/>
      <c r="J25" s="575" t="s">
        <v>397</v>
      </c>
      <c r="K25" s="15"/>
      <c r="L25" s="15">
        <v>46</v>
      </c>
      <c r="M25" s="15"/>
      <c r="N25" s="15"/>
      <c r="O25" s="15">
        <v>146</v>
      </c>
      <c r="P25" s="15">
        <v>49</v>
      </c>
      <c r="Q25" s="15"/>
      <c r="R25" s="15"/>
      <c r="S25" s="15"/>
      <c r="T25" s="15"/>
      <c r="U25" s="15"/>
      <c r="V25" s="15"/>
      <c r="W25" s="33">
        <f t="shared" si="3"/>
        <v>3</v>
      </c>
      <c r="X25" s="440">
        <f t="shared" si="0"/>
        <v>1</v>
      </c>
      <c r="Y25" s="441">
        <f t="shared" si="1"/>
        <v>0</v>
      </c>
      <c r="Z25" s="34">
        <f t="shared" si="2"/>
        <v>0</v>
      </c>
    </row>
    <row r="26" spans="1:26" x14ac:dyDescent="0.2">
      <c r="A26" s="139">
        <v>18</v>
      </c>
      <c r="B26" s="166" t="s">
        <v>320</v>
      </c>
      <c r="C26" s="139">
        <v>241</v>
      </c>
      <c r="D26" s="64" t="s">
        <v>35</v>
      </c>
      <c r="E26" s="64" t="s">
        <v>50</v>
      </c>
      <c r="F26" s="1100">
        <v>1</v>
      </c>
      <c r="G26" s="575" t="s">
        <v>397</v>
      </c>
      <c r="H26" s="575" t="s">
        <v>397</v>
      </c>
      <c r="I26" s="15">
        <v>14</v>
      </c>
      <c r="J26" s="575" t="s">
        <v>397</v>
      </c>
      <c r="K26" s="15"/>
      <c r="L26" s="15"/>
      <c r="M26" s="15">
        <v>90</v>
      </c>
      <c r="N26" s="15">
        <v>52</v>
      </c>
      <c r="O26" s="575" t="s">
        <v>397</v>
      </c>
      <c r="P26" s="15"/>
      <c r="Q26" s="15">
        <v>84</v>
      </c>
      <c r="R26" s="15"/>
      <c r="S26" s="15"/>
      <c r="T26" s="15"/>
      <c r="U26" s="15"/>
      <c r="V26" s="15"/>
      <c r="W26" s="33">
        <f t="shared" si="3"/>
        <v>4</v>
      </c>
      <c r="X26" s="440">
        <f t="shared" si="0"/>
        <v>0</v>
      </c>
      <c r="Y26" s="441">
        <f t="shared" si="1"/>
        <v>0</v>
      </c>
      <c r="Z26" s="34">
        <f t="shared" si="2"/>
        <v>0</v>
      </c>
    </row>
    <row r="27" spans="1:26" x14ac:dyDescent="0.2">
      <c r="A27" s="139">
        <v>19</v>
      </c>
      <c r="B27" s="601" t="s">
        <v>691</v>
      </c>
      <c r="C27" s="139">
        <v>237</v>
      </c>
      <c r="D27" s="64" t="s">
        <v>35</v>
      </c>
      <c r="E27" s="64"/>
      <c r="F27" s="1100"/>
      <c r="G27" s="575" t="s">
        <v>397</v>
      </c>
      <c r="H27" s="575" t="s">
        <v>397</v>
      </c>
      <c r="I27" s="575"/>
      <c r="J27" s="575" t="s">
        <v>397</v>
      </c>
      <c r="K27" s="15"/>
      <c r="L27" s="15"/>
      <c r="M27" s="15"/>
      <c r="N27" s="15"/>
      <c r="O27" s="15">
        <v>173</v>
      </c>
      <c r="P27" s="15">
        <v>64</v>
      </c>
      <c r="Q27" s="15"/>
      <c r="R27" s="15"/>
      <c r="S27" s="15"/>
      <c r="T27" s="15"/>
      <c r="U27" s="15"/>
      <c r="V27" s="15"/>
      <c r="W27" s="33">
        <f t="shared" si="3"/>
        <v>2</v>
      </c>
      <c r="X27" s="440">
        <f t="shared" si="0"/>
        <v>1</v>
      </c>
      <c r="Y27" s="441">
        <f t="shared" si="1"/>
        <v>1</v>
      </c>
      <c r="Z27" s="34">
        <f t="shared" si="2"/>
        <v>1</v>
      </c>
    </row>
    <row r="28" spans="1:26" x14ac:dyDescent="0.2">
      <c r="A28" s="139">
        <v>20</v>
      </c>
      <c r="B28" s="601" t="s">
        <v>441</v>
      </c>
      <c r="C28" s="139">
        <v>229</v>
      </c>
      <c r="D28" s="64" t="s">
        <v>35</v>
      </c>
      <c r="E28" s="64"/>
      <c r="F28" s="1100"/>
      <c r="G28" s="575" t="s">
        <v>397</v>
      </c>
      <c r="H28" s="575" t="s">
        <v>397</v>
      </c>
      <c r="I28" s="15">
        <v>104</v>
      </c>
      <c r="J28" s="575" t="s">
        <v>397</v>
      </c>
      <c r="K28" s="15"/>
      <c r="L28" s="15"/>
      <c r="M28" s="575" t="s">
        <v>397</v>
      </c>
      <c r="N28" s="15"/>
      <c r="O28" s="15"/>
      <c r="P28" s="15"/>
      <c r="Q28" s="15">
        <v>56</v>
      </c>
      <c r="R28" s="15">
        <v>69</v>
      </c>
      <c r="S28" s="15"/>
      <c r="T28" s="15"/>
      <c r="U28" s="15"/>
      <c r="V28" s="15"/>
      <c r="W28" s="33">
        <f t="shared" si="3"/>
        <v>3</v>
      </c>
      <c r="X28" s="440">
        <f t="shared" si="0"/>
        <v>0</v>
      </c>
      <c r="Y28" s="441">
        <f t="shared" si="1"/>
        <v>0</v>
      </c>
      <c r="Z28" s="34">
        <f t="shared" si="2"/>
        <v>0</v>
      </c>
    </row>
    <row r="29" spans="1:26" x14ac:dyDescent="0.2">
      <c r="A29" s="139">
        <v>21</v>
      </c>
      <c r="B29" s="601" t="s">
        <v>692</v>
      </c>
      <c r="C29" s="139">
        <v>218</v>
      </c>
      <c r="D29" s="64" t="s">
        <v>35</v>
      </c>
      <c r="E29" s="64"/>
      <c r="F29" s="1100"/>
      <c r="G29" s="575" t="s">
        <v>397</v>
      </c>
      <c r="H29" s="575" t="s">
        <v>397</v>
      </c>
      <c r="I29" s="575"/>
      <c r="J29" s="575" t="s">
        <v>397</v>
      </c>
      <c r="K29" s="15"/>
      <c r="L29" s="15"/>
      <c r="M29" s="15"/>
      <c r="N29" s="15"/>
      <c r="O29" s="15">
        <v>126</v>
      </c>
      <c r="P29" s="15">
        <v>64</v>
      </c>
      <c r="Q29" s="15"/>
      <c r="R29" s="15"/>
      <c r="S29" s="15"/>
      <c r="T29" s="15">
        <v>28</v>
      </c>
      <c r="U29" s="15"/>
      <c r="V29" s="15"/>
      <c r="W29" s="33">
        <f t="shared" si="3"/>
        <v>3</v>
      </c>
      <c r="X29" s="440">
        <f t="shared" si="0"/>
        <v>0</v>
      </c>
      <c r="Y29" s="441">
        <f t="shared" si="1"/>
        <v>0</v>
      </c>
      <c r="Z29" s="34">
        <f t="shared" si="2"/>
        <v>0</v>
      </c>
    </row>
    <row r="30" spans="1:26" x14ac:dyDescent="0.2">
      <c r="A30" s="139">
        <v>22</v>
      </c>
      <c r="B30" s="601" t="s">
        <v>34</v>
      </c>
      <c r="C30" s="139">
        <v>217</v>
      </c>
      <c r="D30" s="64" t="s">
        <v>35</v>
      </c>
      <c r="E30" s="64"/>
      <c r="F30" s="1100">
        <v>46</v>
      </c>
      <c r="G30" s="575" t="s">
        <v>397</v>
      </c>
      <c r="H30" s="575" t="s">
        <v>397</v>
      </c>
      <c r="I30" s="575"/>
      <c r="J30" s="575" t="s">
        <v>397</v>
      </c>
      <c r="K30" s="15">
        <v>115</v>
      </c>
      <c r="L30" s="15">
        <v>56</v>
      </c>
      <c r="M30" s="32"/>
      <c r="N30" s="15"/>
      <c r="O30" s="15"/>
      <c r="P30" s="15"/>
      <c r="Q30" s="15"/>
      <c r="R30" s="15"/>
      <c r="S30" s="15"/>
      <c r="T30" s="15"/>
      <c r="U30" s="15"/>
      <c r="V30" s="15"/>
      <c r="W30" s="33">
        <f t="shared" si="3"/>
        <v>2</v>
      </c>
      <c r="X30" s="440">
        <f t="shared" si="0"/>
        <v>1</v>
      </c>
      <c r="Y30" s="441">
        <f t="shared" si="1"/>
        <v>1</v>
      </c>
      <c r="Z30" s="34">
        <f t="shared" si="2"/>
        <v>0</v>
      </c>
    </row>
    <row r="31" spans="1:26" x14ac:dyDescent="0.2">
      <c r="A31" s="139">
        <v>23</v>
      </c>
      <c r="B31" s="166" t="s">
        <v>425</v>
      </c>
      <c r="C31" s="139">
        <v>206</v>
      </c>
      <c r="D31" s="64" t="s">
        <v>35</v>
      </c>
      <c r="E31" s="64" t="s">
        <v>50</v>
      </c>
      <c r="F31" s="1100"/>
      <c r="G31" s="575" t="s">
        <v>397</v>
      </c>
      <c r="H31" s="575" t="s">
        <v>397</v>
      </c>
      <c r="I31" s="15">
        <v>18</v>
      </c>
      <c r="J31" s="575" t="s">
        <v>397</v>
      </c>
      <c r="K31" s="15"/>
      <c r="L31" s="15"/>
      <c r="M31" s="575" t="s">
        <v>397</v>
      </c>
      <c r="N31" s="15"/>
      <c r="O31" s="15">
        <v>119</v>
      </c>
      <c r="P31" s="15">
        <v>69</v>
      </c>
      <c r="Q31" s="15"/>
      <c r="R31" s="15"/>
      <c r="S31" s="15"/>
      <c r="T31" s="15"/>
      <c r="U31" s="15"/>
      <c r="V31" s="15"/>
      <c r="W31" s="33">
        <f t="shared" si="3"/>
        <v>3</v>
      </c>
      <c r="X31" s="440">
        <f t="shared" si="0"/>
        <v>0</v>
      </c>
      <c r="Y31" s="441">
        <f t="shared" si="1"/>
        <v>0</v>
      </c>
      <c r="Z31" s="34">
        <f t="shared" si="2"/>
        <v>0</v>
      </c>
    </row>
    <row r="32" spans="1:26" x14ac:dyDescent="0.2">
      <c r="A32" s="139">
        <v>24</v>
      </c>
      <c r="B32" s="601" t="s">
        <v>75</v>
      </c>
      <c r="C32" s="139">
        <v>206</v>
      </c>
      <c r="D32" s="64" t="s">
        <v>35</v>
      </c>
      <c r="E32" s="64"/>
      <c r="F32" s="1100">
        <v>1</v>
      </c>
      <c r="G32" s="575" t="s">
        <v>397</v>
      </c>
      <c r="H32" s="575" t="s">
        <v>397</v>
      </c>
      <c r="I32" s="575"/>
      <c r="J32" s="575" t="s">
        <v>397</v>
      </c>
      <c r="K32" s="15">
        <v>46</v>
      </c>
      <c r="L32" s="15"/>
      <c r="M32" s="32">
        <v>90</v>
      </c>
      <c r="N32" s="15">
        <v>69</v>
      </c>
      <c r="O32" s="15"/>
      <c r="P32" s="15"/>
      <c r="Q32" s="15"/>
      <c r="R32" s="15"/>
      <c r="S32" s="15"/>
      <c r="T32" s="15"/>
      <c r="U32" s="15"/>
      <c r="V32" s="15"/>
      <c r="W32" s="33">
        <f t="shared" si="3"/>
        <v>3</v>
      </c>
      <c r="X32" s="440">
        <f t="shared" si="0"/>
        <v>0</v>
      </c>
      <c r="Y32" s="441">
        <f t="shared" si="1"/>
        <v>0</v>
      </c>
      <c r="Z32" s="34">
        <f t="shared" si="2"/>
        <v>0</v>
      </c>
    </row>
    <row r="33" spans="1:26" x14ac:dyDescent="0.2">
      <c r="A33" s="139">
        <v>25</v>
      </c>
      <c r="B33" s="345" t="s">
        <v>678</v>
      </c>
      <c r="C33" s="139">
        <v>204</v>
      </c>
      <c r="D33" s="64" t="s">
        <v>35</v>
      </c>
      <c r="E33" s="64"/>
      <c r="F33" s="1100"/>
      <c r="G33" s="575" t="s">
        <v>397</v>
      </c>
      <c r="H33" s="575" t="s">
        <v>397</v>
      </c>
      <c r="I33" s="575"/>
      <c r="J33" s="575" t="s">
        <v>397</v>
      </c>
      <c r="K33" s="15"/>
      <c r="L33" s="15"/>
      <c r="M33" s="15"/>
      <c r="N33" s="15"/>
      <c r="O33" s="15">
        <v>111</v>
      </c>
      <c r="P33" s="15">
        <v>74</v>
      </c>
      <c r="Q33" s="15"/>
      <c r="R33" s="15"/>
      <c r="S33" s="15"/>
      <c r="T33" s="15">
        <v>19</v>
      </c>
      <c r="U33" s="15"/>
      <c r="V33" s="15"/>
      <c r="W33" s="33">
        <f t="shared" si="3"/>
        <v>3</v>
      </c>
      <c r="X33" s="440">
        <f t="shared" si="0"/>
        <v>0</v>
      </c>
      <c r="Y33" s="441">
        <f t="shared" si="1"/>
        <v>0</v>
      </c>
      <c r="Z33" s="34">
        <f t="shared" si="2"/>
        <v>0</v>
      </c>
    </row>
    <row r="34" spans="1:26" x14ac:dyDescent="0.2">
      <c r="A34" s="139">
        <v>26</v>
      </c>
      <c r="B34" s="601" t="s">
        <v>694</v>
      </c>
      <c r="C34" s="139">
        <v>176</v>
      </c>
      <c r="D34" s="64" t="s">
        <v>35</v>
      </c>
      <c r="E34" s="64"/>
      <c r="F34" s="1100"/>
      <c r="G34" s="575" t="s">
        <v>397</v>
      </c>
      <c r="H34" s="575" t="s">
        <v>397</v>
      </c>
      <c r="I34" s="575"/>
      <c r="J34" s="575" t="s">
        <v>397</v>
      </c>
      <c r="K34" s="15"/>
      <c r="L34" s="15"/>
      <c r="M34" s="15"/>
      <c r="N34" s="15"/>
      <c r="O34" s="15">
        <v>74</v>
      </c>
      <c r="P34" s="15">
        <v>56</v>
      </c>
      <c r="Q34" s="15"/>
      <c r="R34" s="15"/>
      <c r="S34" s="15"/>
      <c r="T34" s="15">
        <v>46</v>
      </c>
      <c r="U34" s="15"/>
      <c r="V34" s="15"/>
      <c r="W34" s="33">
        <f t="shared" si="3"/>
        <v>3</v>
      </c>
      <c r="X34" s="440">
        <f t="shared" si="0"/>
        <v>0</v>
      </c>
      <c r="Y34" s="441">
        <f t="shared" si="1"/>
        <v>0</v>
      </c>
      <c r="Z34" s="34">
        <f t="shared" si="2"/>
        <v>0</v>
      </c>
    </row>
    <row r="35" spans="1:26" x14ac:dyDescent="0.2">
      <c r="A35" s="139">
        <v>27</v>
      </c>
      <c r="B35" s="166" t="s">
        <v>426</v>
      </c>
      <c r="C35" s="139">
        <v>154</v>
      </c>
      <c r="D35" s="64" t="s">
        <v>35</v>
      </c>
      <c r="E35" s="64" t="s">
        <v>50</v>
      </c>
      <c r="F35" s="1100"/>
      <c r="G35" s="575" t="s">
        <v>397</v>
      </c>
      <c r="H35" s="575" t="s">
        <v>397</v>
      </c>
      <c r="I35" s="15">
        <v>23</v>
      </c>
      <c r="J35" s="575" t="s">
        <v>397</v>
      </c>
      <c r="K35" s="15">
        <v>22</v>
      </c>
      <c r="L35" s="15"/>
      <c r="M35" s="575" t="s">
        <v>397</v>
      </c>
      <c r="N35" s="15"/>
      <c r="O35" s="15">
        <v>69</v>
      </c>
      <c r="P35" s="15">
        <v>40</v>
      </c>
      <c r="Q35" s="15"/>
      <c r="R35" s="15"/>
      <c r="S35" s="15"/>
      <c r="T35" s="15"/>
      <c r="U35" s="15"/>
      <c r="V35" s="15"/>
      <c r="W35" s="33">
        <f t="shared" si="3"/>
        <v>4</v>
      </c>
      <c r="X35" s="440">
        <f t="shared" si="0"/>
        <v>0</v>
      </c>
      <c r="Y35" s="441">
        <f t="shared" si="1"/>
        <v>0</v>
      </c>
      <c r="Z35" s="34">
        <f t="shared" si="2"/>
        <v>0</v>
      </c>
    </row>
    <row r="36" spans="1:26" x14ac:dyDescent="0.2">
      <c r="A36" s="139">
        <v>28</v>
      </c>
      <c r="B36" s="601" t="s">
        <v>521</v>
      </c>
      <c r="C36" s="139">
        <v>121</v>
      </c>
      <c r="D36" s="64" t="s">
        <v>35</v>
      </c>
      <c r="E36" s="64"/>
      <c r="F36" s="1100"/>
      <c r="G36" s="575" t="s">
        <v>397</v>
      </c>
      <c r="H36" s="575" t="s">
        <v>397</v>
      </c>
      <c r="I36" s="575"/>
      <c r="J36" s="575" t="s">
        <v>397</v>
      </c>
      <c r="K36" s="15">
        <v>31</v>
      </c>
      <c r="L36" s="15">
        <v>90</v>
      </c>
      <c r="M36" s="15"/>
      <c r="N36" s="15"/>
      <c r="O36" s="15"/>
      <c r="P36" s="15"/>
      <c r="Q36" s="15"/>
      <c r="R36" s="15"/>
      <c r="S36" s="15"/>
      <c r="T36" s="15"/>
      <c r="U36" s="15"/>
      <c r="V36" s="15"/>
      <c r="W36" s="33">
        <f t="shared" si="3"/>
        <v>2</v>
      </c>
      <c r="X36" s="440">
        <f t="shared" si="0"/>
        <v>0</v>
      </c>
      <c r="Y36" s="441">
        <f t="shared" si="1"/>
        <v>0</v>
      </c>
      <c r="Z36" s="34">
        <f t="shared" si="2"/>
        <v>0</v>
      </c>
    </row>
    <row r="37" spans="1:26" x14ac:dyDescent="0.2">
      <c r="A37" s="139">
        <v>29</v>
      </c>
      <c r="B37" s="633" t="s">
        <v>81</v>
      </c>
      <c r="C37" s="139">
        <v>109</v>
      </c>
      <c r="D37" s="64" t="s">
        <v>35</v>
      </c>
      <c r="E37" s="64"/>
      <c r="F37" s="1100">
        <v>1</v>
      </c>
      <c r="G37" s="575" t="s">
        <v>397</v>
      </c>
      <c r="H37" s="575" t="s">
        <v>397</v>
      </c>
      <c r="I37" s="575"/>
      <c r="J37" s="575" t="s">
        <v>397</v>
      </c>
      <c r="K37" s="15"/>
      <c r="L37" s="15"/>
      <c r="M37" s="15"/>
      <c r="N37" s="15">
        <v>56</v>
      </c>
      <c r="O37" s="15"/>
      <c r="P37" s="15">
        <v>52</v>
      </c>
      <c r="Q37" s="15"/>
      <c r="R37" s="15"/>
      <c r="S37" s="15"/>
      <c r="T37" s="15"/>
      <c r="U37" s="15"/>
      <c r="V37" s="15"/>
      <c r="W37" s="33">
        <f t="shared" si="3"/>
        <v>2</v>
      </c>
      <c r="X37" s="440">
        <f t="shared" si="0"/>
        <v>0</v>
      </c>
      <c r="Y37" s="441">
        <f t="shared" si="1"/>
        <v>0</v>
      </c>
      <c r="Z37" s="34">
        <f t="shared" si="2"/>
        <v>0</v>
      </c>
    </row>
    <row r="38" spans="1:26" x14ac:dyDescent="0.2">
      <c r="A38" s="139">
        <v>30</v>
      </c>
      <c r="B38" s="601" t="s">
        <v>318</v>
      </c>
      <c r="C38" s="139">
        <v>109</v>
      </c>
      <c r="D38" s="64" t="s">
        <v>35</v>
      </c>
      <c r="E38" s="64"/>
      <c r="F38" s="1100">
        <v>1</v>
      </c>
      <c r="G38" s="575" t="s">
        <v>397</v>
      </c>
      <c r="H38" s="575" t="s">
        <v>397</v>
      </c>
      <c r="I38" s="575"/>
      <c r="J38" s="575" t="s">
        <v>397</v>
      </c>
      <c r="K38" s="15">
        <v>10</v>
      </c>
      <c r="L38" s="15"/>
      <c r="M38" s="15"/>
      <c r="N38" s="15"/>
      <c r="O38" s="15"/>
      <c r="P38" s="15"/>
      <c r="Q38" s="15"/>
      <c r="R38" s="15"/>
      <c r="S38" s="15"/>
      <c r="T38" s="15">
        <v>46</v>
      </c>
      <c r="U38" s="15"/>
      <c r="V38" s="15">
        <v>52</v>
      </c>
      <c r="W38" s="33">
        <f t="shared" si="3"/>
        <v>3</v>
      </c>
      <c r="X38" s="440">
        <f t="shared" si="0"/>
        <v>0</v>
      </c>
      <c r="Y38" s="441">
        <f t="shared" si="1"/>
        <v>0</v>
      </c>
      <c r="Z38" s="34">
        <f t="shared" si="2"/>
        <v>0</v>
      </c>
    </row>
    <row r="39" spans="1:26" x14ac:dyDescent="0.2">
      <c r="A39" s="139">
        <v>31</v>
      </c>
      <c r="B39" s="601" t="s">
        <v>89</v>
      </c>
      <c r="C39" s="139">
        <v>97</v>
      </c>
      <c r="D39" s="64" t="s">
        <v>35</v>
      </c>
      <c r="E39" s="64"/>
      <c r="F39" s="1100">
        <v>1</v>
      </c>
      <c r="G39" s="575" t="s">
        <v>397</v>
      </c>
      <c r="H39" s="575" t="s">
        <v>397</v>
      </c>
      <c r="I39" s="575"/>
      <c r="J39" s="575" t="s">
        <v>397</v>
      </c>
      <c r="K39" s="15"/>
      <c r="L39" s="15"/>
      <c r="M39" s="15">
        <v>96</v>
      </c>
      <c r="N39" s="15"/>
      <c r="O39" s="15"/>
      <c r="P39" s="15"/>
      <c r="Q39" s="15"/>
      <c r="R39" s="15"/>
      <c r="S39" s="15"/>
      <c r="T39" s="15"/>
      <c r="U39" s="15"/>
      <c r="V39" s="15"/>
      <c r="W39" s="33">
        <f t="shared" si="3"/>
        <v>1</v>
      </c>
      <c r="X39" s="440">
        <f t="shared" si="0"/>
        <v>0</v>
      </c>
      <c r="Y39" s="441">
        <f t="shared" si="1"/>
        <v>0</v>
      </c>
      <c r="Z39" s="34">
        <f t="shared" si="2"/>
        <v>0</v>
      </c>
    </row>
    <row r="40" spans="1:26" x14ac:dyDescent="0.2">
      <c r="A40" s="139">
        <v>32</v>
      </c>
      <c r="B40" s="601" t="s">
        <v>742</v>
      </c>
      <c r="C40" s="139">
        <v>90</v>
      </c>
      <c r="D40" s="64" t="s">
        <v>35</v>
      </c>
      <c r="E40" s="64"/>
      <c r="F40" s="1100"/>
      <c r="G40" s="575" t="s">
        <v>397</v>
      </c>
      <c r="H40" s="575" t="s">
        <v>397</v>
      </c>
      <c r="I40" s="575"/>
      <c r="J40" s="575" t="s">
        <v>397</v>
      </c>
      <c r="K40" s="15"/>
      <c r="L40" s="15"/>
      <c r="M40" s="15"/>
      <c r="N40" s="15"/>
      <c r="O40" s="15"/>
      <c r="P40" s="15">
        <v>90</v>
      </c>
      <c r="Q40" s="15"/>
      <c r="R40" s="15"/>
      <c r="S40" s="15"/>
      <c r="T40" s="15"/>
      <c r="U40" s="15"/>
      <c r="V40" s="15"/>
      <c r="W40" s="33">
        <f t="shared" si="3"/>
        <v>1</v>
      </c>
      <c r="X40" s="440">
        <f t="shared" si="0"/>
        <v>0</v>
      </c>
      <c r="Y40" s="441">
        <f t="shared" si="1"/>
        <v>0</v>
      </c>
      <c r="Z40" s="34">
        <f t="shared" si="2"/>
        <v>0</v>
      </c>
    </row>
    <row r="41" spans="1:26" x14ac:dyDescent="0.2">
      <c r="A41" s="139">
        <v>33</v>
      </c>
      <c r="B41" s="601" t="s">
        <v>438</v>
      </c>
      <c r="C41" s="139">
        <v>79</v>
      </c>
      <c r="D41" s="64" t="s">
        <v>35</v>
      </c>
      <c r="E41" s="64"/>
      <c r="F41" s="1100"/>
      <c r="G41" s="575" t="s">
        <v>397</v>
      </c>
      <c r="H41" s="575" t="s">
        <v>397</v>
      </c>
      <c r="I41" s="575"/>
      <c r="J41" s="15">
        <v>79</v>
      </c>
      <c r="K41" s="575" t="s">
        <v>397</v>
      </c>
      <c r="L41" s="15"/>
      <c r="M41" s="15"/>
      <c r="N41" s="15"/>
      <c r="O41" s="15"/>
      <c r="P41" s="15"/>
      <c r="Q41" s="15"/>
      <c r="R41" s="15"/>
      <c r="S41" s="15"/>
      <c r="T41" s="15"/>
      <c r="U41" s="15"/>
      <c r="V41" s="15"/>
      <c r="W41" s="33">
        <f t="shared" si="3"/>
        <v>1</v>
      </c>
      <c r="X41" s="440">
        <f t="shared" ref="X41:X57" si="4">COUNTIF(G41:H41,"&gt;=97")+COUNTIF(J41:L41,"&gt;=97")+COUNTIF(N41,"&gt;=97")+COUNTIF(P41,"&gt;=97")+COUNTIF(R41,"&gt;=97")+COUNTIF(T41,"&gt;=97")+COUNTIF(V41,"&gt;=97")+COUNTIF(I41,"&gt;=146")+COUNTIF(M41,"&gt;=146")+COUNTIF(O41,"&gt;=146")+COUNTIF(Q41,"&gt;=146")+COUNTIF(S41,"&gt;=146")+COUNTIF(U41,"&gt;=146")</f>
        <v>0</v>
      </c>
      <c r="Y41" s="441">
        <f t="shared" ref="Y41:Y57" si="5">COUNTIF(G41:H41,"=115")+COUNTIF(J41:L41,"=115")+COUNTIF(N41,"=115")+COUNTIF(P41,"=115")+COUNTIF(R41,"=115")+COUNTIF(T41,"=115")+COUNTIF(V41,"=115")+COUNTIF(G41:V41,"=173")</f>
        <v>0</v>
      </c>
      <c r="Z41" s="34">
        <f t="shared" ref="Z41:Z57" si="6">COUNTIF(G41:V41,"=173")</f>
        <v>0</v>
      </c>
    </row>
    <row r="42" spans="1:26" x14ac:dyDescent="0.2">
      <c r="A42" s="139">
        <v>34</v>
      </c>
      <c r="B42" s="166" t="s">
        <v>693</v>
      </c>
      <c r="C42" s="139">
        <v>78</v>
      </c>
      <c r="D42" s="64" t="s">
        <v>35</v>
      </c>
      <c r="E42" s="64" t="s">
        <v>50</v>
      </c>
      <c r="F42" s="1100"/>
      <c r="G42" s="575" t="s">
        <v>397</v>
      </c>
      <c r="H42" s="575" t="s">
        <v>397</v>
      </c>
      <c r="I42" s="575"/>
      <c r="J42" s="575" t="s">
        <v>397</v>
      </c>
      <c r="K42" s="15"/>
      <c r="L42" s="15"/>
      <c r="M42" s="15"/>
      <c r="N42" s="15"/>
      <c r="O42" s="15">
        <v>78</v>
      </c>
      <c r="P42" s="15"/>
      <c r="Q42" s="15"/>
      <c r="R42" s="15"/>
      <c r="S42" s="15"/>
      <c r="T42" s="15"/>
      <c r="U42" s="15"/>
      <c r="V42" s="15"/>
      <c r="W42" s="33">
        <f t="shared" si="3"/>
        <v>1</v>
      </c>
      <c r="X42" s="440">
        <f t="shared" si="4"/>
        <v>0</v>
      </c>
      <c r="Y42" s="441">
        <f t="shared" si="5"/>
        <v>0</v>
      </c>
      <c r="Z42" s="34">
        <f t="shared" si="6"/>
        <v>0</v>
      </c>
    </row>
    <row r="43" spans="1:26" x14ac:dyDescent="0.2">
      <c r="A43" s="139">
        <v>35</v>
      </c>
      <c r="B43" s="601" t="s">
        <v>428</v>
      </c>
      <c r="C43" s="139">
        <v>74</v>
      </c>
      <c r="D43" s="64" t="s">
        <v>35</v>
      </c>
      <c r="E43" s="64"/>
      <c r="F43" s="1100"/>
      <c r="G43" s="575" t="s">
        <v>397</v>
      </c>
      <c r="H43" s="575" t="s">
        <v>397</v>
      </c>
      <c r="I43" s="575"/>
      <c r="J43" s="15">
        <v>74</v>
      </c>
      <c r="K43" s="575" t="s">
        <v>397</v>
      </c>
      <c r="L43" s="15"/>
      <c r="M43" s="15"/>
      <c r="N43" s="15"/>
      <c r="O43" s="15"/>
      <c r="P43" s="15"/>
      <c r="Q43" s="15"/>
      <c r="R43" s="15"/>
      <c r="S43" s="15"/>
      <c r="T43" s="15"/>
      <c r="U43" s="15"/>
      <c r="V43" s="15"/>
      <c r="W43" s="33">
        <f t="shared" si="3"/>
        <v>1</v>
      </c>
      <c r="X43" s="440">
        <f t="shared" si="4"/>
        <v>0</v>
      </c>
      <c r="Y43" s="441">
        <f t="shared" si="5"/>
        <v>0</v>
      </c>
      <c r="Z43" s="34">
        <f t="shared" si="6"/>
        <v>0</v>
      </c>
    </row>
    <row r="44" spans="1:26" x14ac:dyDescent="0.2">
      <c r="A44" s="139">
        <v>36</v>
      </c>
      <c r="B44" s="601" t="s">
        <v>524</v>
      </c>
      <c r="C44" s="139">
        <v>59</v>
      </c>
      <c r="D44" s="64" t="s">
        <v>35</v>
      </c>
      <c r="E44" s="64"/>
      <c r="F44" s="1100"/>
      <c r="G44" s="575" t="s">
        <v>397</v>
      </c>
      <c r="H44" s="575" t="s">
        <v>397</v>
      </c>
      <c r="I44" s="575"/>
      <c r="J44" s="575" t="s">
        <v>397</v>
      </c>
      <c r="K44" s="15">
        <v>16</v>
      </c>
      <c r="L44" s="15">
        <v>43</v>
      </c>
      <c r="M44" s="15"/>
      <c r="N44" s="15"/>
      <c r="O44" s="15"/>
      <c r="P44" s="15"/>
      <c r="Q44" s="15"/>
      <c r="R44" s="15"/>
      <c r="S44" s="15"/>
      <c r="T44" s="15"/>
      <c r="U44" s="15"/>
      <c r="V44" s="15"/>
      <c r="W44" s="33">
        <f t="shared" si="3"/>
        <v>2</v>
      </c>
      <c r="X44" s="440">
        <f t="shared" si="4"/>
        <v>0</v>
      </c>
      <c r="Y44" s="441">
        <f t="shared" si="5"/>
        <v>0</v>
      </c>
      <c r="Z44" s="34">
        <f t="shared" si="6"/>
        <v>0</v>
      </c>
    </row>
    <row r="45" spans="1:26" x14ac:dyDescent="0.2">
      <c r="A45" s="139">
        <v>37</v>
      </c>
      <c r="B45" s="601" t="s">
        <v>308</v>
      </c>
      <c r="C45" s="637">
        <v>58</v>
      </c>
      <c r="D45" s="64" t="s">
        <v>35</v>
      </c>
      <c r="E45" s="64"/>
      <c r="F45" s="1100">
        <v>1</v>
      </c>
      <c r="G45" s="575" t="s">
        <v>397</v>
      </c>
      <c r="H45" s="575" t="s">
        <v>397</v>
      </c>
      <c r="I45" s="575"/>
      <c r="J45" s="575" t="s">
        <v>397</v>
      </c>
      <c r="K45" s="15"/>
      <c r="L45" s="15"/>
      <c r="M45" s="15"/>
      <c r="N45" s="15"/>
      <c r="O45" s="15"/>
      <c r="P45" s="15"/>
      <c r="Q45" s="15"/>
      <c r="R45" s="15"/>
      <c r="S45" s="15"/>
      <c r="T45" s="15">
        <v>14</v>
      </c>
      <c r="U45" s="15"/>
      <c r="V45" s="15">
        <v>43</v>
      </c>
      <c r="W45" s="33">
        <f t="shared" si="3"/>
        <v>2</v>
      </c>
      <c r="X45" s="440">
        <f t="shared" si="4"/>
        <v>0</v>
      </c>
      <c r="Y45" s="441">
        <f t="shared" si="5"/>
        <v>0</v>
      </c>
      <c r="Z45" s="34">
        <f t="shared" si="6"/>
        <v>0</v>
      </c>
    </row>
    <row r="46" spans="1:26" x14ac:dyDescent="0.2">
      <c r="A46" s="139">
        <v>38</v>
      </c>
      <c r="B46" s="601" t="s">
        <v>528</v>
      </c>
      <c r="C46" s="139">
        <v>57</v>
      </c>
      <c r="D46" s="64" t="s">
        <v>35</v>
      </c>
      <c r="E46" s="64"/>
      <c r="F46" s="1100"/>
      <c r="G46" s="575" t="s">
        <v>397</v>
      </c>
      <c r="H46" s="575" t="s">
        <v>397</v>
      </c>
      <c r="I46" s="575"/>
      <c r="J46" s="575" t="s">
        <v>397</v>
      </c>
      <c r="K46" s="15">
        <v>8</v>
      </c>
      <c r="L46" s="15">
        <v>49</v>
      </c>
      <c r="M46" s="15"/>
      <c r="N46" s="15"/>
      <c r="O46" s="15"/>
      <c r="P46" s="15"/>
      <c r="Q46" s="15"/>
      <c r="R46" s="15"/>
      <c r="S46" s="15"/>
      <c r="T46" s="15"/>
      <c r="U46" s="15"/>
      <c r="V46" s="15"/>
      <c r="W46" s="33">
        <f t="shared" si="3"/>
        <v>2</v>
      </c>
      <c r="X46" s="440">
        <f t="shared" si="4"/>
        <v>0</v>
      </c>
      <c r="Y46" s="441">
        <f t="shared" si="5"/>
        <v>0</v>
      </c>
      <c r="Z46" s="34">
        <f t="shared" si="6"/>
        <v>0</v>
      </c>
    </row>
    <row r="47" spans="1:26" x14ac:dyDescent="0.2">
      <c r="A47" s="139">
        <v>39</v>
      </c>
      <c r="B47" s="67" t="s">
        <v>97</v>
      </c>
      <c r="C47" s="870">
        <v>50</v>
      </c>
      <c r="D47" s="64" t="s">
        <v>35</v>
      </c>
      <c r="E47" s="64"/>
      <c r="F47" s="1100">
        <v>1</v>
      </c>
      <c r="G47" s="575" t="s">
        <v>397</v>
      </c>
      <c r="H47" s="575" t="s">
        <v>397</v>
      </c>
      <c r="I47" s="575"/>
      <c r="J47" s="575" t="s">
        <v>397</v>
      </c>
      <c r="K47" s="15">
        <v>49</v>
      </c>
      <c r="L47" s="15"/>
      <c r="M47" s="32"/>
      <c r="N47" s="15"/>
      <c r="O47" s="15"/>
      <c r="P47" s="15"/>
      <c r="Q47" s="15"/>
      <c r="R47" s="15"/>
      <c r="S47" s="15"/>
      <c r="T47" s="15"/>
      <c r="U47" s="15"/>
      <c r="V47" s="15"/>
      <c r="W47" s="33">
        <f t="shared" si="3"/>
        <v>1</v>
      </c>
      <c r="X47" s="440">
        <f t="shared" si="4"/>
        <v>0</v>
      </c>
      <c r="Y47" s="441">
        <f t="shared" si="5"/>
        <v>0</v>
      </c>
      <c r="Z47" s="34">
        <f t="shared" si="6"/>
        <v>0</v>
      </c>
    </row>
    <row r="48" spans="1:26" x14ac:dyDescent="0.2">
      <c r="A48" s="139">
        <v>40</v>
      </c>
      <c r="B48" s="629" t="s">
        <v>330</v>
      </c>
      <c r="C48" s="139">
        <v>49</v>
      </c>
      <c r="D48" s="64" t="s">
        <v>35</v>
      </c>
      <c r="E48" s="64"/>
      <c r="F48" s="1100"/>
      <c r="G48" s="575" t="s">
        <v>397</v>
      </c>
      <c r="H48" s="15">
        <v>49</v>
      </c>
      <c r="I48" s="575"/>
      <c r="J48" s="575" t="s">
        <v>397</v>
      </c>
      <c r="K48" s="575" t="s">
        <v>397</v>
      </c>
      <c r="L48" s="15"/>
      <c r="M48" s="15"/>
      <c r="N48" s="15"/>
      <c r="O48" s="15"/>
      <c r="P48" s="15"/>
      <c r="Q48" s="15"/>
      <c r="R48" s="15"/>
      <c r="S48" s="15"/>
      <c r="T48" s="15"/>
      <c r="U48" s="15"/>
      <c r="V48" s="15"/>
      <c r="W48" s="33">
        <f t="shared" si="3"/>
        <v>1</v>
      </c>
      <c r="X48" s="440">
        <f t="shared" si="4"/>
        <v>0</v>
      </c>
      <c r="Y48" s="441">
        <f t="shared" si="5"/>
        <v>0</v>
      </c>
      <c r="Z48" s="34">
        <f t="shared" si="6"/>
        <v>0</v>
      </c>
    </row>
    <row r="49" spans="1:26" x14ac:dyDescent="0.2">
      <c r="A49" s="139">
        <v>41</v>
      </c>
      <c r="B49" s="601" t="s">
        <v>516</v>
      </c>
      <c r="C49" s="139">
        <v>43</v>
      </c>
      <c r="D49" s="64" t="s">
        <v>35</v>
      </c>
      <c r="E49" s="64"/>
      <c r="F49" s="1100"/>
      <c r="G49" s="575" t="s">
        <v>397</v>
      </c>
      <c r="H49" s="575" t="s">
        <v>397</v>
      </c>
      <c r="I49" s="575"/>
      <c r="J49" s="575" t="s">
        <v>397</v>
      </c>
      <c r="K49" s="15">
        <v>43</v>
      </c>
      <c r="L49" s="15"/>
      <c r="M49" s="15"/>
      <c r="N49" s="15"/>
      <c r="O49" s="15"/>
      <c r="P49" s="15"/>
      <c r="Q49" s="15"/>
      <c r="R49" s="15"/>
      <c r="S49" s="15"/>
      <c r="T49" s="15"/>
      <c r="U49" s="15"/>
      <c r="V49" s="15"/>
      <c r="W49" s="33">
        <f t="shared" si="3"/>
        <v>1</v>
      </c>
      <c r="X49" s="440">
        <f t="shared" si="4"/>
        <v>0</v>
      </c>
      <c r="Y49" s="441">
        <f t="shared" si="5"/>
        <v>0</v>
      </c>
      <c r="Z49" s="34">
        <f t="shared" si="6"/>
        <v>0</v>
      </c>
    </row>
    <row r="50" spans="1:26" x14ac:dyDescent="0.2">
      <c r="A50" s="139">
        <v>42</v>
      </c>
      <c r="B50" s="601" t="s">
        <v>790</v>
      </c>
      <c r="C50" s="139">
        <v>16</v>
      </c>
      <c r="D50" s="64" t="s">
        <v>35</v>
      </c>
      <c r="E50" s="64"/>
      <c r="F50" s="1100"/>
      <c r="G50" s="575" t="s">
        <v>397</v>
      </c>
      <c r="H50" s="575" t="s">
        <v>397</v>
      </c>
      <c r="I50" s="575"/>
      <c r="J50" s="575" t="s">
        <v>397</v>
      </c>
      <c r="K50" s="15"/>
      <c r="L50" s="15"/>
      <c r="M50" s="15"/>
      <c r="N50" s="15"/>
      <c r="O50" s="15"/>
      <c r="P50" s="15"/>
      <c r="Q50" s="15"/>
      <c r="R50" s="15"/>
      <c r="S50" s="15"/>
      <c r="T50" s="15">
        <v>16</v>
      </c>
      <c r="U50" s="15"/>
      <c r="V50" s="15"/>
      <c r="W50" s="33">
        <f t="shared" si="3"/>
        <v>1</v>
      </c>
      <c r="X50" s="440">
        <f t="shared" si="4"/>
        <v>0</v>
      </c>
      <c r="Y50" s="441">
        <f t="shared" si="5"/>
        <v>0</v>
      </c>
      <c r="Z50" s="34">
        <f t="shared" si="6"/>
        <v>0</v>
      </c>
    </row>
    <row r="51" spans="1:26" x14ac:dyDescent="0.2">
      <c r="A51" s="139">
        <v>43</v>
      </c>
      <c r="B51" s="601" t="s">
        <v>316</v>
      </c>
      <c r="C51" s="637">
        <v>13</v>
      </c>
      <c r="D51" s="64" t="s">
        <v>35</v>
      </c>
      <c r="E51" s="64"/>
      <c r="F51" s="1100">
        <v>1</v>
      </c>
      <c r="G51" s="575" t="s">
        <v>397</v>
      </c>
      <c r="H51" s="575" t="s">
        <v>397</v>
      </c>
      <c r="I51" s="575"/>
      <c r="J51" s="575" t="s">
        <v>397</v>
      </c>
      <c r="K51" s="15"/>
      <c r="L51" s="15"/>
      <c r="M51" s="15"/>
      <c r="N51" s="15"/>
      <c r="O51" s="15"/>
      <c r="P51" s="15"/>
      <c r="Q51" s="15"/>
      <c r="R51" s="15"/>
      <c r="S51" s="15"/>
      <c r="T51" s="15">
        <v>12</v>
      </c>
      <c r="U51" s="15"/>
      <c r="V51" s="15"/>
      <c r="W51" s="33">
        <f t="shared" si="3"/>
        <v>1</v>
      </c>
      <c r="X51" s="440">
        <f t="shared" si="4"/>
        <v>0</v>
      </c>
      <c r="Y51" s="441">
        <f t="shared" si="5"/>
        <v>0</v>
      </c>
      <c r="Z51" s="34">
        <f t="shared" si="6"/>
        <v>0</v>
      </c>
    </row>
    <row r="52" spans="1:26" x14ac:dyDescent="0.2">
      <c r="A52" s="139">
        <v>44</v>
      </c>
      <c r="B52" s="166" t="s">
        <v>791</v>
      </c>
      <c r="C52" s="637">
        <v>12</v>
      </c>
      <c r="D52" s="64" t="s">
        <v>35</v>
      </c>
      <c r="E52" s="64" t="s">
        <v>50</v>
      </c>
      <c r="F52" s="1100"/>
      <c r="G52" s="575" t="s">
        <v>397</v>
      </c>
      <c r="H52" s="575" t="s">
        <v>397</v>
      </c>
      <c r="I52" s="575"/>
      <c r="J52" s="575" t="s">
        <v>397</v>
      </c>
      <c r="K52" s="15"/>
      <c r="L52" s="15"/>
      <c r="M52" s="15"/>
      <c r="N52" s="15"/>
      <c r="O52" s="15"/>
      <c r="P52" s="15"/>
      <c r="Q52" s="15"/>
      <c r="R52" s="15"/>
      <c r="S52" s="15"/>
      <c r="T52" s="15">
        <v>12</v>
      </c>
      <c r="U52" s="15"/>
      <c r="V52" s="15"/>
      <c r="W52" s="33">
        <f t="shared" si="3"/>
        <v>1</v>
      </c>
      <c r="X52" s="440">
        <f t="shared" si="4"/>
        <v>0</v>
      </c>
      <c r="Y52" s="441">
        <f t="shared" si="5"/>
        <v>0</v>
      </c>
      <c r="Z52" s="34">
        <f t="shared" si="6"/>
        <v>0</v>
      </c>
    </row>
    <row r="53" spans="1:26" x14ac:dyDescent="0.2">
      <c r="A53" s="139">
        <v>45</v>
      </c>
      <c r="B53" s="601" t="s">
        <v>322</v>
      </c>
      <c r="C53" s="637">
        <v>1</v>
      </c>
      <c r="D53" s="64" t="s">
        <v>35</v>
      </c>
      <c r="E53" s="64"/>
      <c r="F53" s="1100">
        <v>1</v>
      </c>
      <c r="G53" s="575" t="s">
        <v>397</v>
      </c>
      <c r="H53" s="575" t="s">
        <v>397</v>
      </c>
      <c r="I53" s="575"/>
      <c r="J53" s="575" t="s">
        <v>397</v>
      </c>
      <c r="K53" s="15"/>
      <c r="L53" s="15"/>
      <c r="M53" s="15"/>
      <c r="N53" s="15"/>
      <c r="O53" s="15"/>
      <c r="P53" s="15"/>
      <c r="Q53" s="15"/>
      <c r="R53" s="15"/>
      <c r="S53" s="15"/>
      <c r="T53" s="15"/>
      <c r="U53" s="15"/>
      <c r="V53" s="15"/>
      <c r="W53" s="33">
        <f t="shared" si="3"/>
        <v>0</v>
      </c>
      <c r="X53" s="440">
        <f t="shared" si="4"/>
        <v>0</v>
      </c>
      <c r="Y53" s="441">
        <f t="shared" si="5"/>
        <v>0</v>
      </c>
      <c r="Z53" s="34">
        <f t="shared" si="6"/>
        <v>0</v>
      </c>
    </row>
    <row r="54" spans="1:26" x14ac:dyDescent="0.2">
      <c r="A54" s="139">
        <v>45</v>
      </c>
      <c r="B54" s="633" t="s">
        <v>86</v>
      </c>
      <c r="C54" s="139">
        <v>1</v>
      </c>
      <c r="D54" s="64" t="s">
        <v>35</v>
      </c>
      <c r="E54" s="64"/>
      <c r="F54" s="1100">
        <v>1</v>
      </c>
      <c r="G54" s="575" t="s">
        <v>397</v>
      </c>
      <c r="H54" s="575" t="s">
        <v>397</v>
      </c>
      <c r="I54" s="575"/>
      <c r="J54" s="575" t="s">
        <v>397</v>
      </c>
      <c r="K54" s="15"/>
      <c r="L54" s="15"/>
      <c r="M54" s="15"/>
      <c r="N54" s="15"/>
      <c r="O54" s="15"/>
      <c r="P54" s="15"/>
      <c r="Q54" s="15"/>
      <c r="R54" s="15"/>
      <c r="S54" s="15"/>
      <c r="T54" s="15"/>
      <c r="U54" s="15"/>
      <c r="V54" s="15"/>
      <c r="W54" s="33">
        <f t="shared" si="3"/>
        <v>0</v>
      </c>
      <c r="X54" s="440">
        <f t="shared" si="4"/>
        <v>0</v>
      </c>
      <c r="Y54" s="441">
        <f t="shared" si="5"/>
        <v>0</v>
      </c>
      <c r="Z54" s="34">
        <f t="shared" si="6"/>
        <v>0</v>
      </c>
    </row>
    <row r="55" spans="1:26" x14ac:dyDescent="0.2">
      <c r="A55" s="139">
        <v>45</v>
      </c>
      <c r="B55" s="601" t="s">
        <v>65</v>
      </c>
      <c r="C55" s="139">
        <v>1</v>
      </c>
      <c r="D55" s="64" t="s">
        <v>35</v>
      </c>
      <c r="E55" s="64"/>
      <c r="F55" s="1100">
        <v>1</v>
      </c>
      <c r="G55" s="575" t="s">
        <v>397</v>
      </c>
      <c r="H55" s="575" t="s">
        <v>397</v>
      </c>
      <c r="I55" s="575"/>
      <c r="J55" s="575" t="s">
        <v>397</v>
      </c>
      <c r="K55" s="15"/>
      <c r="L55" s="15"/>
      <c r="M55" s="32"/>
      <c r="N55" s="15"/>
      <c r="O55" s="15"/>
      <c r="P55" s="15"/>
      <c r="Q55" s="15"/>
      <c r="R55" s="15"/>
      <c r="S55" s="15"/>
      <c r="T55" s="15"/>
      <c r="U55" s="15"/>
      <c r="V55" s="15"/>
      <c r="W55" s="33">
        <f t="shared" si="3"/>
        <v>0</v>
      </c>
      <c r="X55" s="440">
        <f t="shared" si="4"/>
        <v>0</v>
      </c>
      <c r="Y55" s="441">
        <f t="shared" si="5"/>
        <v>0</v>
      </c>
      <c r="Z55" s="34">
        <f t="shared" si="6"/>
        <v>0</v>
      </c>
    </row>
    <row r="56" spans="1:26" ht="12.75" customHeight="1" x14ac:dyDescent="0.2">
      <c r="A56" s="139">
        <v>45</v>
      </c>
      <c r="B56" s="632" t="s">
        <v>310</v>
      </c>
      <c r="C56" s="637">
        <v>1</v>
      </c>
      <c r="D56" s="64" t="s">
        <v>35</v>
      </c>
      <c r="E56" s="64"/>
      <c r="F56" s="1100">
        <v>1</v>
      </c>
      <c r="G56" s="575" t="s">
        <v>397</v>
      </c>
      <c r="H56" s="575" t="s">
        <v>397</v>
      </c>
      <c r="I56" s="575"/>
      <c r="J56" s="575" t="s">
        <v>397</v>
      </c>
      <c r="K56" s="15"/>
      <c r="L56" s="15"/>
      <c r="M56" s="15"/>
      <c r="N56" s="15"/>
      <c r="O56" s="15"/>
      <c r="P56" s="15"/>
      <c r="Q56" s="15"/>
      <c r="R56" s="15"/>
      <c r="S56" s="15"/>
      <c r="T56" s="15"/>
      <c r="U56" s="15"/>
      <c r="V56" s="15"/>
      <c r="W56" s="33">
        <f t="shared" si="3"/>
        <v>0</v>
      </c>
      <c r="X56" s="440">
        <f t="shared" si="4"/>
        <v>0</v>
      </c>
      <c r="Y56" s="441">
        <f t="shared" si="5"/>
        <v>0</v>
      </c>
      <c r="Z56" s="34">
        <f t="shared" si="6"/>
        <v>0</v>
      </c>
    </row>
    <row r="57" spans="1:26" ht="12.75" customHeight="1" x14ac:dyDescent="0.2">
      <c r="A57" s="139">
        <v>45</v>
      </c>
      <c r="B57" s="67" t="s">
        <v>99</v>
      </c>
      <c r="C57" s="870">
        <v>1</v>
      </c>
      <c r="D57" s="64" t="s">
        <v>35</v>
      </c>
      <c r="E57" s="64"/>
      <c r="F57" s="1100">
        <v>1</v>
      </c>
      <c r="G57" s="575" t="s">
        <v>397</v>
      </c>
      <c r="H57" s="575" t="s">
        <v>397</v>
      </c>
      <c r="I57" s="575"/>
      <c r="J57" s="575" t="s">
        <v>397</v>
      </c>
      <c r="K57" s="15"/>
      <c r="L57" s="15"/>
      <c r="M57" s="15"/>
      <c r="N57" s="15"/>
      <c r="O57" s="15"/>
      <c r="P57" s="15"/>
      <c r="Q57" s="15"/>
      <c r="R57" s="15"/>
      <c r="S57" s="15"/>
      <c r="T57" s="15"/>
      <c r="U57" s="15"/>
      <c r="V57" s="15"/>
      <c r="W57" s="33">
        <f t="shared" si="3"/>
        <v>0</v>
      </c>
      <c r="X57" s="440">
        <f t="shared" si="4"/>
        <v>0</v>
      </c>
      <c r="Y57" s="441">
        <f t="shared" si="5"/>
        <v>0</v>
      </c>
      <c r="Z57" s="34">
        <f t="shared" si="6"/>
        <v>0</v>
      </c>
    </row>
    <row r="58" spans="1:26" x14ac:dyDescent="0.2">
      <c r="A58" s="35">
        <f>COUNT(A9:A57)</f>
        <v>49</v>
      </c>
      <c r="B58" s="36" t="s">
        <v>101</v>
      </c>
      <c r="C58" s="37"/>
      <c r="D58" s="37"/>
      <c r="E58" s="37"/>
      <c r="F58" s="38">
        <f>COUNTIF(F9:F57,"&gt;=0")</f>
        <v>27</v>
      </c>
      <c r="G58" s="75">
        <f t="shared" ref="G58:V58" si="7">COUNTIF(G9:G57,"&gt;=0")+COUNTIF(G9:G57,"=v")+COUNTIF(G9:G57,"=w")</f>
        <v>9</v>
      </c>
      <c r="H58" s="75">
        <f t="shared" si="7"/>
        <v>9</v>
      </c>
      <c r="I58" s="75">
        <f t="shared" si="7"/>
        <v>11</v>
      </c>
      <c r="J58" s="75">
        <f t="shared" si="7"/>
        <v>10</v>
      </c>
      <c r="K58" s="75">
        <f t="shared" si="7"/>
        <v>19</v>
      </c>
      <c r="L58" s="75">
        <f t="shared" si="7"/>
        <v>14</v>
      </c>
      <c r="M58" s="75">
        <f t="shared" si="7"/>
        <v>12</v>
      </c>
      <c r="N58" s="75">
        <f t="shared" si="7"/>
        <v>11</v>
      </c>
      <c r="O58" s="75">
        <f t="shared" si="7"/>
        <v>15</v>
      </c>
      <c r="P58" s="75">
        <f t="shared" si="7"/>
        <v>14</v>
      </c>
      <c r="Q58" s="75">
        <f t="shared" si="7"/>
        <v>11</v>
      </c>
      <c r="R58" s="75">
        <f t="shared" si="7"/>
        <v>9</v>
      </c>
      <c r="S58" s="75">
        <f t="shared" si="7"/>
        <v>7</v>
      </c>
      <c r="T58" s="75">
        <f t="shared" si="7"/>
        <v>17</v>
      </c>
      <c r="U58" s="75">
        <f t="shared" si="7"/>
        <v>8</v>
      </c>
      <c r="V58" s="75">
        <f t="shared" si="7"/>
        <v>9</v>
      </c>
      <c r="W58" s="37"/>
      <c r="X58" s="39">
        <f>SUM(X9:X57)</f>
        <v>31</v>
      </c>
      <c r="Y58" s="39">
        <f>SUM(Y9:Y57)</f>
        <v>7</v>
      </c>
      <c r="Z58" s="40">
        <f>SUM(Z9:Z57)</f>
        <v>4</v>
      </c>
    </row>
  </sheetData>
  <autoFilter ref="A8:Z8"/>
  <conditionalFormatting sqref="V9:V57 T9:T57 G9:H57 N9:N57 J9:L57 P9:P57 R9:R57">
    <cfRule type="cellIs" dxfId="287" priority="37" stopIfTrue="1" operator="equal">
      <formula>97</formula>
    </cfRule>
    <cfRule type="cellIs" dxfId="286" priority="38" stopIfTrue="1" operator="equal">
      <formula>105</formula>
    </cfRule>
    <cfRule type="cellIs" dxfId="285" priority="39" stopIfTrue="1" operator="equal">
      <formula>115</formula>
    </cfRule>
  </conditionalFormatting>
  <conditionalFormatting sqref="U9:U57 Q9:Q57 M9:M57 O9:O57 I9:I57 S9:S57">
    <cfRule type="cellIs" dxfId="284" priority="34" stopIfTrue="1" operator="equal">
      <formula>146</formula>
    </cfRule>
    <cfRule type="cellIs" dxfId="283" priority="35" stopIfTrue="1" operator="equal">
      <formula>158</formula>
    </cfRule>
    <cfRule type="cellIs" dxfId="282" priority="36" stopIfTrue="1" operator="equal">
      <formula>173</formula>
    </cfRule>
  </conditionalFormatting>
  <conditionalFormatting sqref="I9:I57 S9:S57">
    <cfRule type="cellIs" dxfId="281" priority="31" stopIfTrue="1" operator="equal">
      <formula>83</formula>
    </cfRule>
    <cfRule type="cellIs" dxfId="280" priority="32" stopIfTrue="1" operator="equal">
      <formula>93</formula>
    </cfRule>
    <cfRule type="cellIs" dxfId="279" priority="33" stopIfTrue="1" operator="equal">
      <formula>105</formula>
    </cfRule>
  </conditionalFormatting>
  <conditionalFormatting sqref="B12:B57">
    <cfRule type="duplicateValues" dxfId="278" priority="10956" stopIfTrue="1"/>
  </conditionalFormatting>
  <conditionalFormatting sqref="W9:W57">
    <cfRule type="top10" dxfId="277" priority="10958" stopIfTrue="1" rank="1"/>
  </conditionalFormatting>
  <conditionalFormatting sqref="X9:X57">
    <cfRule type="top10" dxfId="276" priority="10959" stopIfTrue="1" rank="1"/>
  </conditionalFormatting>
  <conditionalFormatting sqref="Y9:Y57">
    <cfRule type="top10" dxfId="275" priority="10960" stopIfTrue="1" rank="1"/>
  </conditionalFormatting>
  <conditionalFormatting sqref="Z9:Z57">
    <cfRule type="top10" dxfId="274" priority="10961" stopIfTrue="1" rank="1"/>
  </conditionalFormatting>
  <conditionalFormatting sqref="G58:V58">
    <cfRule type="top10" dxfId="273" priority="12387" stopIfTrue="1" rank="1"/>
  </conditionalFormatting>
  <conditionalFormatting sqref="B9:B11">
    <cfRule type="duplicateValues" dxfId="272" priority="1" stopIfTrue="1"/>
  </conditionalFormatting>
  <printOptions horizontalCentered="1"/>
  <pageMargins left="0.39370078740157483" right="0.39370078740157483" top="0.98425196850393704" bottom="0.39370078740157483" header="0.78740157480314965" footer="0"/>
  <pageSetup paperSize="9" fitToHeight="0" orientation="landscape" r:id="rId1"/>
  <headerFooter>
    <oddHeader>&amp;R&amp;"Arial,Regular"&amp;9Page &amp;P of &amp;N</oddHeader>
  </headerFooter>
  <ignoredErrors>
    <ignoredError sqref="X10:Y44"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pageSetUpPr fitToPage="1"/>
  </sheetPr>
  <dimension ref="A1:Z21"/>
  <sheetViews>
    <sheetView showGridLines="0" showRowColHeaders="0" zoomScaleNormal="100" workbookViewId="0">
      <pane xSplit="5" ySplit="8" topLeftCell="F9" activePane="bottomRight" state="frozen"/>
      <selection activeCell="T1" sqref="T1"/>
      <selection pane="topRight" activeCell="T1" sqref="T1"/>
      <selection pane="bottomLeft" activeCell="T1" sqref="T1"/>
      <selection pane="bottomRight" activeCell="I1" sqref="I1"/>
    </sheetView>
  </sheetViews>
  <sheetFormatPr defaultRowHeight="12.75" x14ac:dyDescent="0.2"/>
  <cols>
    <col min="1" max="1" width="6" style="4" customWidth="1"/>
    <col min="2" max="2" width="19.85546875" style="4" customWidth="1"/>
    <col min="3" max="3" width="7" style="2" customWidth="1"/>
    <col min="4" max="4" width="2.28515625" style="4" hidden="1" customWidth="1"/>
    <col min="5" max="5" width="1.85546875" style="4" hidden="1" customWidth="1"/>
    <col min="6" max="6" width="4.85546875" style="4" customWidth="1"/>
    <col min="7" max="12" width="5.42578125" style="3" customWidth="1"/>
    <col min="13" max="14" width="5.42578125" style="4" customWidth="1"/>
    <col min="15" max="16" width="5.42578125" style="3" customWidth="1"/>
    <col min="17" max="22" width="5.42578125" style="4" customWidth="1"/>
    <col min="23" max="23" width="3" style="4" customWidth="1"/>
    <col min="24" max="24" width="3.85546875" style="4" customWidth="1"/>
    <col min="25" max="25" width="3.42578125" style="4" customWidth="1"/>
    <col min="26" max="26" width="5" style="4" customWidth="1"/>
    <col min="27" max="16384" width="9.140625" style="4"/>
  </cols>
  <sheetData>
    <row r="1" spans="1:26" x14ac:dyDescent="0.2">
      <c r="B1" s="1" t="s">
        <v>0</v>
      </c>
      <c r="C1" s="1"/>
      <c r="D1" s="2"/>
      <c r="E1" s="2"/>
      <c r="F1" s="2"/>
      <c r="J1" s="4"/>
      <c r="M1" s="165" t="s">
        <v>1</v>
      </c>
      <c r="N1" s="158"/>
      <c r="O1" s="159" t="s">
        <v>1075</v>
      </c>
      <c r="P1" s="160"/>
      <c r="Q1" s="161" t="s">
        <v>1076</v>
      </c>
      <c r="R1" s="158"/>
      <c r="S1" s="162" t="s">
        <v>1077</v>
      </c>
      <c r="T1" s="163"/>
      <c r="U1" s="164"/>
      <c r="V1" s="854" t="s">
        <v>1078</v>
      </c>
      <c r="W1" s="6"/>
      <c r="X1" s="7" t="s">
        <v>4</v>
      </c>
      <c r="Y1" s="7"/>
    </row>
    <row r="2" spans="1:26" x14ac:dyDescent="0.2">
      <c r="B2" s="8" t="s">
        <v>1066</v>
      </c>
      <c r="C2" s="1"/>
      <c r="D2" s="2"/>
      <c r="E2" s="2"/>
      <c r="F2" s="2"/>
      <c r="G2" s="9"/>
      <c r="H2" s="9"/>
      <c r="I2" s="9"/>
      <c r="J2" s="10"/>
      <c r="K2" s="10"/>
      <c r="L2" s="10"/>
      <c r="M2" s="2"/>
      <c r="N2" s="2"/>
      <c r="O2" s="1093" t="s">
        <v>1214</v>
      </c>
      <c r="P2" s="1094"/>
      <c r="Q2" s="1094"/>
      <c r="R2" s="1095"/>
      <c r="S2" s="1094"/>
      <c r="T2" s="1094"/>
      <c r="U2" s="1094"/>
      <c r="V2" s="1096"/>
      <c r="W2" s="6"/>
      <c r="X2" s="11" t="s">
        <v>6</v>
      </c>
      <c r="Y2" s="11"/>
    </row>
    <row r="3" spans="1:26" x14ac:dyDescent="0.2">
      <c r="A3" s="2"/>
      <c r="B3" s="399" t="s">
        <v>900</v>
      </c>
      <c r="C3" s="874"/>
      <c r="D3" s="875"/>
      <c r="E3" s="876"/>
      <c r="F3" s="876"/>
      <c r="G3" s="10"/>
      <c r="H3" s="10"/>
      <c r="I3" s="10"/>
      <c r="J3" s="10"/>
      <c r="K3" s="10"/>
      <c r="L3" s="10"/>
      <c r="M3" s="2"/>
      <c r="N3" s="2"/>
      <c r="O3" s="10"/>
      <c r="P3" s="10"/>
      <c r="Q3" s="2"/>
      <c r="R3" s="2"/>
      <c r="S3" s="2"/>
      <c r="T3" s="2"/>
      <c r="U3" s="2"/>
      <c r="V3" s="2"/>
      <c r="W3" s="6"/>
      <c r="X3" s="12" t="s">
        <v>7</v>
      </c>
      <c r="Y3" s="12"/>
    </row>
    <row r="4" spans="1:26" x14ac:dyDescent="0.2">
      <c r="A4" s="601" t="s">
        <v>8</v>
      </c>
      <c r="B4" s="14"/>
      <c r="C4" s="15" t="s">
        <v>8</v>
      </c>
      <c r="D4" s="15"/>
      <c r="E4" s="15"/>
      <c r="F4" s="1097" t="s">
        <v>8</v>
      </c>
      <c r="G4" s="46" t="str">
        <f>HYPERLINK("http://kaart.delfi.ee//?bookmark=02a763eb5e2ccd81dd84675ce47ef3f0","Jüri")</f>
        <v>Jüri</v>
      </c>
      <c r="H4" s="46" t="str">
        <f>HYPERLINK("http://kaart.delfi.ee//?bookmark=02a763eb5e2ccd81dd84675ce47ef3f0","Jüri")</f>
        <v>Jüri</v>
      </c>
      <c r="I4" s="140" t="str">
        <f>HYPERLINK("http://kaart.delfi.ee/?bookmark=fe8345aadbbb857f009aae03c00eea11","Tallinn")</f>
        <v>Tallinn</v>
      </c>
      <c r="J4" s="46" t="str">
        <f>HYPERLINK("http://kaart.delfi.ee//?bookmark=36ee67ba7cba151859305c222805d114","Saku")</f>
        <v>Saku</v>
      </c>
      <c r="K4" s="50" t="str">
        <f>HYPERLINK("http://kaart.delfi.ee/?bookmark=a13a9530590da153a95a150c883f6040","Viljandi")</f>
        <v>Viljandi</v>
      </c>
      <c r="L4" s="50" t="str">
        <f>HYPERLINK("http://kaart.delfi.ee/?bookmark=a13a9530590da153a95a150c883f6040","Viljandi")</f>
        <v>Viljandi</v>
      </c>
      <c r="M4" s="513" t="s">
        <v>785</v>
      </c>
      <c r="N4" s="601" t="s">
        <v>785</v>
      </c>
      <c r="O4" s="47" t="str">
        <f>HYPERLINK("http://kaart.delfi.ee/?bookmark=037591353bf9698628b723dab6c5e799","Valga")</f>
        <v>Valga</v>
      </c>
      <c r="P4" s="50" t="str">
        <f>HYPERLINK("http://kaart.delfi.ee/?bookmark=037591353bf9698628b723dab6c5e799","Valga")</f>
        <v>Valga</v>
      </c>
      <c r="Q4" s="47" t="str">
        <f>HYPERLINK("http://kaart.delfi.ee/?bookmark=0eb4bf4e7fb4b30009b7d7543818abd1","Kärdla")</f>
        <v>Kärdla</v>
      </c>
      <c r="R4" s="50" t="str">
        <f>HYPERLINK("http://kaart.delfi.ee/?bookmark=0eb4bf4e7fb4b30009b7d7543818abd1","Kärdla")</f>
        <v>Kärdla</v>
      </c>
      <c r="S4" s="51" t="s">
        <v>9</v>
      </c>
      <c r="T4" s="601" t="s">
        <v>785</v>
      </c>
      <c r="U4" s="47" t="str">
        <f>HYPERLINK("http://kaart.delfi.ee/?bookmark=521b80d6ceeefbe3e5d227267242b576","K-Järve")</f>
        <v>K-Järve</v>
      </c>
      <c r="V4" s="46" t="str">
        <f>HYPERLINK("http://kaart.delfi.ee/?bookmark=521b80d6ceeefbe3e5d227267242b576","K-Järve")</f>
        <v>K-Järve</v>
      </c>
      <c r="W4" s="16" t="s">
        <v>10</v>
      </c>
      <c r="X4" s="17"/>
      <c r="Y4" s="18"/>
      <c r="Z4" s="19"/>
    </row>
    <row r="5" spans="1:26" ht="13.5" thickBot="1" x14ac:dyDescent="0.25">
      <c r="A5" s="601" t="s">
        <v>8</v>
      </c>
      <c r="B5" s="617" t="s">
        <v>1074</v>
      </c>
      <c r="C5" s="15" t="s">
        <v>8</v>
      </c>
      <c r="D5" s="15"/>
      <c r="E5" s="15"/>
      <c r="F5" s="1098" t="s">
        <v>11</v>
      </c>
      <c r="G5" s="333" t="s">
        <v>3</v>
      </c>
      <c r="H5" s="333" t="s">
        <v>1067</v>
      </c>
      <c r="I5" s="848" t="s">
        <v>2</v>
      </c>
      <c r="J5" s="849" t="s">
        <v>3</v>
      </c>
      <c r="K5" s="333" t="s">
        <v>3</v>
      </c>
      <c r="L5" s="333" t="s">
        <v>1068</v>
      </c>
      <c r="M5" s="848" t="s">
        <v>2</v>
      </c>
      <c r="N5" s="849" t="s">
        <v>3</v>
      </c>
      <c r="O5" s="626" t="s">
        <v>2</v>
      </c>
      <c r="P5" s="333" t="s">
        <v>3</v>
      </c>
      <c r="Q5" s="848" t="s">
        <v>2</v>
      </c>
      <c r="R5" s="849" t="s">
        <v>3</v>
      </c>
      <c r="S5" s="626" t="s">
        <v>2</v>
      </c>
      <c r="T5" s="849" t="s">
        <v>3</v>
      </c>
      <c r="U5" s="626" t="s">
        <v>2</v>
      </c>
      <c r="V5" s="333" t="s">
        <v>1069</v>
      </c>
      <c r="W5" s="20" t="s">
        <v>8</v>
      </c>
      <c r="X5" s="16" t="s">
        <v>12</v>
      </c>
      <c r="Y5" s="18"/>
      <c r="Z5" s="21" t="s">
        <v>13</v>
      </c>
    </row>
    <row r="6" spans="1:26" x14ac:dyDescent="0.2">
      <c r="A6" s="67"/>
      <c r="B6" s="15"/>
      <c r="C6" s="15"/>
      <c r="D6" s="15"/>
      <c r="E6" s="15"/>
      <c r="F6" s="1098" t="s">
        <v>14</v>
      </c>
      <c r="G6" s="290" t="str">
        <f>HYPERLINK("http://www.petanque.ee/index.php?id=103738&amp;cid=416",MID(Kalend!A6,4,5))</f>
        <v>07.05</v>
      </c>
      <c r="H6" s="290" t="str">
        <f>HYPERLINK("http://www.petanque.ee/index.php?id=103738&amp;cid=417",MID(Kalend!A7,4,5))</f>
        <v>08.05</v>
      </c>
      <c r="I6" s="850" t="str">
        <f>HYPERLINK("http://www.petanque.ee/index.php?id=103738&amp;cid=420",MID(Kalend!A9,4,5))</f>
        <v>21.05</v>
      </c>
      <c r="J6" s="851" t="str">
        <f>HYPERLINK("http://www.petanque.ee/index.php?id=103738&amp;cid=421",MID(Kalend!A10,4,5))</f>
        <v>22.05</v>
      </c>
      <c r="K6" s="290" t="str">
        <f>HYPERLINK("http://www.petanque.ee/index.php?id=103738&amp;cid=423",MID(Kalend!A14,4,5))</f>
        <v>04.06</v>
      </c>
      <c r="L6" s="290" t="str">
        <f>HYPERLINK("http://www.petanque.ee/index.php?id=103738&amp;cid=424",MID(Kalend!A15,4,5))</f>
        <v>05.06</v>
      </c>
      <c r="M6" s="850" t="str">
        <f>HYPERLINK("http://www.petanque.ee/index.php?id=103738&amp;cid=427",MID(Kalend!A19,4,5))</f>
        <v>18.06</v>
      </c>
      <c r="N6" s="851" t="str">
        <f>HYPERLINK("http://www.petanque.ee/index.php?id=103738&amp;cid=428",MID(Kalend!A20,4,5))</f>
        <v>19.06</v>
      </c>
      <c r="O6" s="48" t="str">
        <f>HYPERLINK("http://www.petanque.ee/index.php?id=103738&amp;cid=432",MID(Kalend!A23,4,5))</f>
        <v>09.07</v>
      </c>
      <c r="P6" s="290" t="str">
        <f>HYPERLINK("http://www.petanque.ee/index.php?id=103738&amp;cid=433",MID(Kalend!A24,4,5))</f>
        <v>10.07</v>
      </c>
      <c r="Q6" s="850" t="str">
        <f>HYPERLINK("http://www.petanque.ee/index.php?id=103738&amp;cid=434",MID(Kalend!A25,4,5))</f>
        <v>16.07</v>
      </c>
      <c r="R6" s="851" t="str">
        <f>HYPERLINK("http://www.petanque.ee/index.php?id=103738&amp;cid=435",MID(Kalend!A26,4,5))</f>
        <v>17.07</v>
      </c>
      <c r="S6" s="48" t="str">
        <f>HYPERLINK("http://www.petanque.ee/index.php?id=103738&amp;cid=437",MID(Kalend!A27,4,5))</f>
        <v>24.07</v>
      </c>
      <c r="T6" s="851" t="str">
        <f>HYPERLINK("http://www.petanque.ee/index.php?id=103738&amp;cid=442",MID(Kalend!A30,4,5))</f>
        <v>07.08</v>
      </c>
      <c r="U6" s="846" t="str">
        <f>HYPERLINK("http://www.petanque.ee/index.php?id=103738&amp;cid=443",MID(Kalend!A31,4,5))</f>
        <v>13.08</v>
      </c>
      <c r="V6" s="847" t="str">
        <f>HYPERLINK("http://www.petanque.ee/index.php?id=103738&amp;cid=444",MID(Kalend!A32,4,5))</f>
        <v>14.08</v>
      </c>
      <c r="W6" s="23"/>
      <c r="X6" s="20" t="s">
        <v>15</v>
      </c>
      <c r="Y6" s="24" t="s">
        <v>16</v>
      </c>
      <c r="Z6" s="21" t="s">
        <v>17</v>
      </c>
    </row>
    <row r="7" spans="1:26" x14ac:dyDescent="0.2">
      <c r="A7" s="872" t="s">
        <v>28</v>
      </c>
      <c r="B7" s="15" t="s">
        <v>8</v>
      </c>
      <c r="C7" s="871" t="s">
        <v>30</v>
      </c>
      <c r="D7" s="73" t="s">
        <v>31</v>
      </c>
      <c r="E7" s="73" t="s">
        <v>32</v>
      </c>
      <c r="F7" s="1098" t="s">
        <v>18</v>
      </c>
      <c r="G7" s="25" t="s">
        <v>19</v>
      </c>
      <c r="H7" s="25" t="s">
        <v>20</v>
      </c>
      <c r="I7" s="805" t="s">
        <v>21</v>
      </c>
      <c r="J7" s="806" t="s">
        <v>19</v>
      </c>
      <c r="K7" s="25" t="s">
        <v>20</v>
      </c>
      <c r="L7" s="25" t="s">
        <v>19</v>
      </c>
      <c r="M7" s="805" t="s">
        <v>22</v>
      </c>
      <c r="N7" s="806" t="s">
        <v>20</v>
      </c>
      <c r="O7" s="26" t="s">
        <v>23</v>
      </c>
      <c r="P7" s="25" t="s">
        <v>19</v>
      </c>
      <c r="Q7" s="807" t="s">
        <v>20</v>
      </c>
      <c r="R7" s="806" t="s">
        <v>19</v>
      </c>
      <c r="S7" s="26" t="s">
        <v>24</v>
      </c>
      <c r="T7" s="806" t="s">
        <v>20</v>
      </c>
      <c r="U7" s="26" t="s">
        <v>19</v>
      </c>
      <c r="V7" s="25" t="s">
        <v>20</v>
      </c>
      <c r="W7" s="23"/>
      <c r="X7" s="20"/>
      <c r="Y7" s="20" t="s">
        <v>25</v>
      </c>
      <c r="Z7" s="21" t="s">
        <v>26</v>
      </c>
    </row>
    <row r="8" spans="1:26" x14ac:dyDescent="0.2">
      <c r="A8" s="872"/>
      <c r="B8" s="14" t="s">
        <v>29</v>
      </c>
      <c r="C8" s="871"/>
      <c r="D8" s="73"/>
      <c r="E8" s="73"/>
      <c r="F8" s="1099" t="s">
        <v>8</v>
      </c>
      <c r="G8" s="628" t="str">
        <f>HYPERLINK("#1!G1"," 1 ")</f>
        <v xml:space="preserve"> 1 </v>
      </c>
      <c r="H8" s="628" t="str">
        <f>HYPERLINK("#2!I1"," 2 ")</f>
        <v xml:space="preserve"> 2 </v>
      </c>
      <c r="I8" s="627" t="str">
        <f>HYPERLINK("#3 M!H1"," 3 ")</f>
        <v xml:space="preserve"> 3 </v>
      </c>
      <c r="J8" s="628" t="str">
        <f>HYPERLINK("#4!G1"," 4 ")</f>
        <v xml:space="preserve"> 4 </v>
      </c>
      <c r="K8" s="628" t="str">
        <f>HYPERLINK("#5!G1"," 5 ")</f>
        <v xml:space="preserve"> 5 </v>
      </c>
      <c r="L8" s="628" t="str">
        <f>HYPERLINK("#6!G1"," 6 ")</f>
        <v xml:space="preserve"> 6 </v>
      </c>
      <c r="M8" s="627" t="str">
        <f>HYPERLINK("#7!G1"," 7 ")</f>
        <v xml:space="preserve"> 7 </v>
      </c>
      <c r="N8" s="628" t="str">
        <f>HYPERLINK("#8!G1"," 8 ")</f>
        <v xml:space="preserve"> 8 </v>
      </c>
      <c r="O8" s="627" t="str">
        <f>HYPERLINK("#9!G1"," 9 ")</f>
        <v xml:space="preserve"> 9 </v>
      </c>
      <c r="P8" s="45" t="str">
        <f>HYPERLINK("#10!G1","10 ")</f>
        <v xml:space="preserve">10 </v>
      </c>
      <c r="Q8" s="627" t="str">
        <f>HYPERLINK("#11!G1","11 ")</f>
        <v xml:space="preserve">11 </v>
      </c>
      <c r="R8" s="628" t="str">
        <f>HYPERLINK("#12!G1","12 ")</f>
        <v xml:space="preserve">12 </v>
      </c>
      <c r="S8" s="48" t="str">
        <f>HYPERLINK("#13 M!G1","13 ")</f>
        <v xml:space="preserve">13 </v>
      </c>
      <c r="T8" s="628" t="str">
        <f>HYPERLINK("#14!G1","14 ")</f>
        <v xml:space="preserve">14 </v>
      </c>
      <c r="U8" s="627" t="str">
        <f>HYPERLINK("#15!G1","15 ")</f>
        <v xml:space="preserve">15 </v>
      </c>
      <c r="V8" s="628" t="str">
        <f>HYPERLINK("#16!G1","16 ")</f>
        <v xml:space="preserve">16 </v>
      </c>
      <c r="W8" s="28"/>
      <c r="X8" s="29"/>
      <c r="Y8" s="29"/>
      <c r="Z8" s="30"/>
    </row>
    <row r="9" spans="1:26" x14ac:dyDescent="0.2">
      <c r="A9" s="139">
        <v>1</v>
      </c>
      <c r="B9" s="811" t="s">
        <v>49</v>
      </c>
      <c r="C9" s="870">
        <v>1022</v>
      </c>
      <c r="D9" s="64"/>
      <c r="E9" s="64" t="s">
        <v>50</v>
      </c>
      <c r="F9" s="1100">
        <v>1</v>
      </c>
      <c r="G9" s="15">
        <v>64</v>
      </c>
      <c r="H9" s="15">
        <v>79</v>
      </c>
      <c r="I9" s="15">
        <v>158</v>
      </c>
      <c r="J9" s="15">
        <v>64</v>
      </c>
      <c r="K9" s="15">
        <v>69</v>
      </c>
      <c r="L9" s="15">
        <v>79</v>
      </c>
      <c r="M9" s="15">
        <v>96</v>
      </c>
      <c r="N9" s="15">
        <v>60</v>
      </c>
      <c r="O9" s="575" t="s">
        <v>397</v>
      </c>
      <c r="P9" s="575">
        <v>40</v>
      </c>
      <c r="Q9" s="15">
        <v>69</v>
      </c>
      <c r="R9" s="15">
        <v>74</v>
      </c>
      <c r="S9" s="15">
        <v>51</v>
      </c>
      <c r="T9" s="575">
        <v>56</v>
      </c>
      <c r="U9" s="15">
        <v>158</v>
      </c>
      <c r="V9" s="575">
        <v>46</v>
      </c>
      <c r="W9" s="636">
        <f>COUNTIF(G9:V9,"&gt;=0")</f>
        <v>15</v>
      </c>
      <c r="X9" s="439">
        <f>COUNTIF(G9:H9,"&gt;=97")+COUNTIF(J9:L9,"&gt;=97")+COUNTIF(N9,"&gt;=97")+COUNTIF(P9,"&gt;=97")+COUNTIF(R9,"&gt;=97")+COUNTIF(T9,"&gt;=97")+COUNTIF(V9,"&gt;=97")+COUNTIF(I9,"&gt;=146")+COUNTIF(M9,"&gt;=146")+COUNTIF(O9,"&gt;=146")+COUNTIF(Q9,"&gt;=146")+COUNTIF(S9,"&gt;=146")+COUNTIF(U9,"&gt;=146")</f>
        <v>2</v>
      </c>
      <c r="Y9" s="510">
        <f t="shared" ref="Y9:Y20" si="0">COUNTIF(G9:H9,"=115")+COUNTIF(J9:L9,"=115")+COUNTIF(N9,"=115")+COUNTIF(P9,"=115")+COUNTIF(R9,"=115")+COUNTIF(T9,"=115")+COUNTIF(V9,"=115")+COUNTIF(G9:V9,"=173")</f>
        <v>0</v>
      </c>
      <c r="Z9" s="511">
        <f t="shared" ref="Z9:Z20" si="1">COUNTIF(G9:V9,"=173")</f>
        <v>0</v>
      </c>
    </row>
    <row r="10" spans="1:26" x14ac:dyDescent="0.2">
      <c r="A10" s="139">
        <v>2</v>
      </c>
      <c r="B10" s="74" t="s">
        <v>345</v>
      </c>
      <c r="C10" s="139">
        <v>918</v>
      </c>
      <c r="D10" s="64"/>
      <c r="E10" s="64" t="s">
        <v>50</v>
      </c>
      <c r="F10" s="1100"/>
      <c r="G10" s="15">
        <v>74</v>
      </c>
      <c r="H10" s="575" t="s">
        <v>397</v>
      </c>
      <c r="I10" s="15">
        <v>135</v>
      </c>
      <c r="J10" s="575" t="s">
        <v>397</v>
      </c>
      <c r="K10" s="575">
        <v>16</v>
      </c>
      <c r="L10" s="15">
        <v>43</v>
      </c>
      <c r="M10" s="15">
        <v>90</v>
      </c>
      <c r="N10" s="15">
        <v>52</v>
      </c>
      <c r="O10" s="15">
        <v>78</v>
      </c>
      <c r="P10" s="15">
        <v>43</v>
      </c>
      <c r="Q10" s="15">
        <v>84</v>
      </c>
      <c r="R10" s="15">
        <v>64</v>
      </c>
      <c r="S10" s="15">
        <v>78</v>
      </c>
      <c r="T10" s="15">
        <v>90</v>
      </c>
      <c r="U10" s="15">
        <v>119</v>
      </c>
      <c r="V10" s="15">
        <v>46</v>
      </c>
      <c r="W10" s="635">
        <f t="shared" ref="W10:W20" si="2">COUNTIF(G10:V10,"&gt;=0")</f>
        <v>14</v>
      </c>
      <c r="X10" s="440">
        <f t="shared" ref="X10:X20" si="3">COUNTIF(G10:H10,"&gt;=97")+COUNTIF(J10:L10,"&gt;=97")+COUNTIF(N10,"&gt;=97")+COUNTIF(P10,"&gt;=97")+COUNTIF(R10,"&gt;=97")+COUNTIF(T10,"&gt;=97")+COUNTIF(V10,"&gt;=97")+COUNTIF(I10,"&gt;=146")+COUNTIF(M10,"&gt;=146")+COUNTIF(O10,"&gt;=146")+COUNTIF(Q10,"&gt;=146")+COUNTIF(S10,"&gt;=146")+COUNTIF(U10,"&gt;=146")</f>
        <v>0</v>
      </c>
      <c r="Y10" s="441">
        <f t="shared" si="0"/>
        <v>0</v>
      </c>
      <c r="Z10" s="34">
        <f t="shared" si="1"/>
        <v>0</v>
      </c>
    </row>
    <row r="11" spans="1:26" x14ac:dyDescent="0.2">
      <c r="A11" s="139">
        <v>3</v>
      </c>
      <c r="B11" s="812" t="s">
        <v>90</v>
      </c>
      <c r="C11" s="139">
        <v>640</v>
      </c>
      <c r="D11" s="64"/>
      <c r="E11" s="64" t="s">
        <v>50</v>
      </c>
      <c r="F11" s="1100">
        <v>1</v>
      </c>
      <c r="G11" s="575" t="s">
        <v>397</v>
      </c>
      <c r="H11" s="15">
        <v>52</v>
      </c>
      <c r="I11" s="15">
        <v>146</v>
      </c>
      <c r="J11" s="575" t="s">
        <v>397</v>
      </c>
      <c r="K11" s="575" t="s">
        <v>397</v>
      </c>
      <c r="L11" s="15"/>
      <c r="M11" s="15">
        <v>104</v>
      </c>
      <c r="N11" s="15">
        <v>97</v>
      </c>
      <c r="O11" s="575" t="s">
        <v>397</v>
      </c>
      <c r="P11" s="15"/>
      <c r="Q11" s="15"/>
      <c r="R11" s="15"/>
      <c r="S11" s="15">
        <v>56</v>
      </c>
      <c r="T11" s="15">
        <v>49</v>
      </c>
      <c r="U11" s="15">
        <v>135</v>
      </c>
      <c r="V11" s="15"/>
      <c r="W11" s="868">
        <f t="shared" si="2"/>
        <v>7</v>
      </c>
      <c r="X11" s="440">
        <f t="shared" si="3"/>
        <v>2</v>
      </c>
      <c r="Y11" s="441">
        <f t="shared" si="0"/>
        <v>0</v>
      </c>
      <c r="Z11" s="34">
        <f t="shared" si="1"/>
        <v>0</v>
      </c>
    </row>
    <row r="12" spans="1:26" x14ac:dyDescent="0.2">
      <c r="A12" s="139">
        <v>4</v>
      </c>
      <c r="B12" s="601" t="s">
        <v>427</v>
      </c>
      <c r="C12" s="139">
        <v>554</v>
      </c>
      <c r="D12" s="64"/>
      <c r="E12" s="64" t="s">
        <v>50</v>
      </c>
      <c r="F12" s="1100"/>
      <c r="G12" s="575" t="s">
        <v>397</v>
      </c>
      <c r="H12" s="575" t="s">
        <v>397</v>
      </c>
      <c r="I12" s="57">
        <v>173</v>
      </c>
      <c r="J12" s="15">
        <v>97</v>
      </c>
      <c r="K12" s="575" t="s">
        <v>397</v>
      </c>
      <c r="L12" s="15"/>
      <c r="M12" s="575" t="s">
        <v>397</v>
      </c>
      <c r="N12" s="15"/>
      <c r="O12" s="15">
        <v>119</v>
      </c>
      <c r="P12" s="15">
        <v>40</v>
      </c>
      <c r="Q12" s="15">
        <v>56</v>
      </c>
      <c r="R12" s="15">
        <v>69</v>
      </c>
      <c r="S12" s="15"/>
      <c r="T12" s="15"/>
      <c r="U12" s="15"/>
      <c r="V12" s="15"/>
      <c r="W12" s="33">
        <f t="shared" si="2"/>
        <v>6</v>
      </c>
      <c r="X12" s="440">
        <f t="shared" si="3"/>
        <v>2</v>
      </c>
      <c r="Y12" s="441">
        <f t="shared" si="0"/>
        <v>1</v>
      </c>
      <c r="Z12" s="34">
        <f t="shared" si="1"/>
        <v>1</v>
      </c>
    </row>
    <row r="13" spans="1:26" x14ac:dyDescent="0.2">
      <c r="A13" s="139">
        <v>5</v>
      </c>
      <c r="B13" s="65" t="s">
        <v>320</v>
      </c>
      <c r="C13" s="139">
        <v>338</v>
      </c>
      <c r="D13" s="64" t="s">
        <v>35</v>
      </c>
      <c r="E13" s="64" t="s">
        <v>50</v>
      </c>
      <c r="F13" s="1100">
        <v>1</v>
      </c>
      <c r="G13" s="575" t="s">
        <v>397</v>
      </c>
      <c r="H13" s="575" t="s">
        <v>397</v>
      </c>
      <c r="I13" s="15">
        <v>111</v>
      </c>
      <c r="J13" s="575" t="s">
        <v>397</v>
      </c>
      <c r="K13" s="15"/>
      <c r="L13" s="15"/>
      <c r="M13" s="15">
        <v>90</v>
      </c>
      <c r="N13" s="15">
        <v>52</v>
      </c>
      <c r="O13" s="575" t="s">
        <v>397</v>
      </c>
      <c r="P13" s="15"/>
      <c r="Q13" s="15">
        <v>84</v>
      </c>
      <c r="R13" s="15"/>
      <c r="S13" s="15"/>
      <c r="T13" s="15"/>
      <c r="U13" s="15"/>
      <c r="V13" s="15"/>
      <c r="W13" s="33">
        <f t="shared" si="2"/>
        <v>4</v>
      </c>
      <c r="X13" s="440">
        <f t="shared" si="3"/>
        <v>0</v>
      </c>
      <c r="Y13" s="441">
        <f t="shared" si="0"/>
        <v>0</v>
      </c>
      <c r="Z13" s="34">
        <f t="shared" si="1"/>
        <v>0</v>
      </c>
    </row>
    <row r="14" spans="1:26" x14ac:dyDescent="0.2">
      <c r="A14" s="139">
        <v>6</v>
      </c>
      <c r="B14" s="65" t="s">
        <v>425</v>
      </c>
      <c r="C14" s="139">
        <v>307</v>
      </c>
      <c r="D14" s="64" t="s">
        <v>35</v>
      </c>
      <c r="E14" s="64" t="s">
        <v>50</v>
      </c>
      <c r="F14" s="1100"/>
      <c r="G14" s="575" t="s">
        <v>397</v>
      </c>
      <c r="H14" s="575" t="s">
        <v>397</v>
      </c>
      <c r="I14" s="15">
        <v>119</v>
      </c>
      <c r="J14" s="575" t="s">
        <v>397</v>
      </c>
      <c r="K14" s="15"/>
      <c r="L14" s="15"/>
      <c r="M14" s="575" t="s">
        <v>397</v>
      </c>
      <c r="N14" s="15"/>
      <c r="O14" s="15">
        <v>119</v>
      </c>
      <c r="P14" s="15">
        <v>69</v>
      </c>
      <c r="Q14" s="15"/>
      <c r="R14" s="15"/>
      <c r="S14" s="15"/>
      <c r="T14" s="15"/>
      <c r="U14" s="15"/>
      <c r="V14" s="15"/>
      <c r="W14" s="33">
        <f t="shared" si="2"/>
        <v>3</v>
      </c>
      <c r="X14" s="440">
        <f t="shared" si="3"/>
        <v>0</v>
      </c>
      <c r="Y14" s="441">
        <f t="shared" si="0"/>
        <v>0</v>
      </c>
      <c r="Z14" s="34">
        <f t="shared" si="1"/>
        <v>0</v>
      </c>
    </row>
    <row r="15" spans="1:26" x14ac:dyDescent="0.2">
      <c r="A15" s="139">
        <v>7</v>
      </c>
      <c r="B15" s="65" t="s">
        <v>426</v>
      </c>
      <c r="C15" s="139">
        <v>257</v>
      </c>
      <c r="D15" s="64" t="s">
        <v>35</v>
      </c>
      <c r="E15" s="64" t="s">
        <v>50</v>
      </c>
      <c r="F15" s="1100"/>
      <c r="G15" s="575" t="s">
        <v>397</v>
      </c>
      <c r="H15" s="575" t="s">
        <v>397</v>
      </c>
      <c r="I15" s="15">
        <v>126</v>
      </c>
      <c r="J15" s="575" t="s">
        <v>397</v>
      </c>
      <c r="K15" s="15">
        <v>22</v>
      </c>
      <c r="L15" s="15"/>
      <c r="M15" s="575" t="s">
        <v>397</v>
      </c>
      <c r="N15" s="15"/>
      <c r="O15" s="15">
        <v>69</v>
      </c>
      <c r="P15" s="15">
        <v>40</v>
      </c>
      <c r="Q15" s="15"/>
      <c r="R15" s="15"/>
      <c r="S15" s="15"/>
      <c r="T15" s="15"/>
      <c r="U15" s="15"/>
      <c r="V15" s="15"/>
      <c r="W15" s="33">
        <f t="shared" si="2"/>
        <v>4</v>
      </c>
      <c r="X15" s="440">
        <f t="shared" si="3"/>
        <v>0</v>
      </c>
      <c r="Y15" s="441">
        <f t="shared" si="0"/>
        <v>0</v>
      </c>
      <c r="Z15" s="34">
        <f t="shared" si="1"/>
        <v>0</v>
      </c>
    </row>
    <row r="16" spans="1:26" x14ac:dyDescent="0.2">
      <c r="A16" s="139">
        <v>8</v>
      </c>
      <c r="B16" s="601" t="s">
        <v>329</v>
      </c>
      <c r="C16" s="139">
        <v>178</v>
      </c>
      <c r="D16" s="64"/>
      <c r="E16" s="64" t="s">
        <v>50</v>
      </c>
      <c r="F16" s="1100"/>
      <c r="G16" s="15">
        <v>74</v>
      </c>
      <c r="H16" s="575" t="s">
        <v>397</v>
      </c>
      <c r="I16" s="15">
        <v>104</v>
      </c>
      <c r="J16" s="575" t="s">
        <v>397</v>
      </c>
      <c r="K16" s="575" t="s">
        <v>397</v>
      </c>
      <c r="L16" s="15"/>
      <c r="M16" s="575" t="s">
        <v>397</v>
      </c>
      <c r="N16" s="15"/>
      <c r="O16" s="15"/>
      <c r="P16" s="15"/>
      <c r="Q16" s="15"/>
      <c r="R16" s="15"/>
      <c r="S16" s="15"/>
      <c r="T16" s="15"/>
      <c r="U16" s="15"/>
      <c r="V16" s="15"/>
      <c r="W16" s="33">
        <f t="shared" si="2"/>
        <v>2</v>
      </c>
      <c r="X16" s="440">
        <f t="shared" si="3"/>
        <v>0</v>
      </c>
      <c r="Y16" s="441">
        <f t="shared" si="0"/>
        <v>0</v>
      </c>
      <c r="Z16" s="34">
        <f t="shared" si="1"/>
        <v>0</v>
      </c>
    </row>
    <row r="17" spans="1:26" x14ac:dyDescent="0.2">
      <c r="A17" s="139">
        <v>9</v>
      </c>
      <c r="B17" s="601" t="s">
        <v>532</v>
      </c>
      <c r="C17" s="139">
        <v>95</v>
      </c>
      <c r="D17" s="64"/>
      <c r="E17" s="64" t="s">
        <v>50</v>
      </c>
      <c r="F17" s="1100"/>
      <c r="G17" s="575" t="s">
        <v>397</v>
      </c>
      <c r="H17" s="575" t="s">
        <v>397</v>
      </c>
      <c r="I17" s="575"/>
      <c r="J17" s="575" t="s">
        <v>397</v>
      </c>
      <c r="K17" s="15"/>
      <c r="L17" s="15">
        <v>46</v>
      </c>
      <c r="M17" s="15"/>
      <c r="N17" s="15"/>
      <c r="O17" s="15"/>
      <c r="P17" s="15">
        <v>49</v>
      </c>
      <c r="Q17" s="15"/>
      <c r="R17" s="15"/>
      <c r="S17" s="15"/>
      <c r="T17" s="15"/>
      <c r="U17" s="15"/>
      <c r="V17" s="15"/>
      <c r="W17" s="33">
        <f t="shared" si="2"/>
        <v>2</v>
      </c>
      <c r="X17" s="440">
        <f t="shared" si="3"/>
        <v>0</v>
      </c>
      <c r="Y17" s="441">
        <f t="shared" si="0"/>
        <v>0</v>
      </c>
      <c r="Z17" s="34">
        <f t="shared" si="1"/>
        <v>0</v>
      </c>
    </row>
    <row r="18" spans="1:26" x14ac:dyDescent="0.2">
      <c r="A18" s="139">
        <v>10</v>
      </c>
      <c r="B18" s="65" t="s">
        <v>693</v>
      </c>
      <c r="C18" s="139">
        <v>78</v>
      </c>
      <c r="D18" s="64" t="s">
        <v>35</v>
      </c>
      <c r="E18" s="64" t="s">
        <v>50</v>
      </c>
      <c r="F18" s="1100"/>
      <c r="G18" s="575" t="s">
        <v>397</v>
      </c>
      <c r="H18" s="575" t="s">
        <v>397</v>
      </c>
      <c r="I18" s="575"/>
      <c r="J18" s="575" t="s">
        <v>397</v>
      </c>
      <c r="K18" s="15"/>
      <c r="L18" s="15"/>
      <c r="M18" s="15"/>
      <c r="N18" s="15"/>
      <c r="O18" s="15">
        <v>78</v>
      </c>
      <c r="P18" s="15"/>
      <c r="Q18" s="15"/>
      <c r="R18" s="15"/>
      <c r="S18" s="15"/>
      <c r="T18" s="15"/>
      <c r="U18" s="15"/>
      <c r="V18" s="15"/>
      <c r="W18" s="33">
        <f t="shared" si="2"/>
        <v>1</v>
      </c>
      <c r="X18" s="440">
        <f t="shared" si="3"/>
        <v>0</v>
      </c>
      <c r="Y18" s="441">
        <f t="shared" si="0"/>
        <v>0</v>
      </c>
      <c r="Z18" s="34">
        <f t="shared" si="1"/>
        <v>0</v>
      </c>
    </row>
    <row r="19" spans="1:26" x14ac:dyDescent="0.2">
      <c r="A19" s="139">
        <v>11</v>
      </c>
      <c r="B19" s="634" t="s">
        <v>328</v>
      </c>
      <c r="C19" s="139">
        <v>74</v>
      </c>
      <c r="D19" s="64"/>
      <c r="E19" s="64" t="s">
        <v>50</v>
      </c>
      <c r="F19" s="1100"/>
      <c r="G19" s="15">
        <v>74</v>
      </c>
      <c r="H19" s="575" t="s">
        <v>397</v>
      </c>
      <c r="I19" s="575"/>
      <c r="J19" s="575" t="s">
        <v>397</v>
      </c>
      <c r="K19" s="575" t="s">
        <v>397</v>
      </c>
      <c r="L19" s="15"/>
      <c r="M19" s="15"/>
      <c r="N19" s="15"/>
      <c r="O19" s="15"/>
      <c r="P19" s="15"/>
      <c r="Q19" s="15"/>
      <c r="R19" s="15"/>
      <c r="S19" s="15"/>
      <c r="T19" s="15"/>
      <c r="U19" s="15"/>
      <c r="V19" s="15"/>
      <c r="W19" s="33">
        <f t="shared" si="2"/>
        <v>1</v>
      </c>
      <c r="X19" s="440">
        <f t="shared" si="3"/>
        <v>0</v>
      </c>
      <c r="Y19" s="441">
        <f t="shared" si="0"/>
        <v>0</v>
      </c>
      <c r="Z19" s="34">
        <f t="shared" si="1"/>
        <v>0</v>
      </c>
    </row>
    <row r="20" spans="1:26" x14ac:dyDescent="0.2">
      <c r="A20" s="139">
        <v>12</v>
      </c>
      <c r="B20" s="65" t="s">
        <v>791</v>
      </c>
      <c r="C20" s="637">
        <v>12</v>
      </c>
      <c r="D20" s="64" t="s">
        <v>35</v>
      </c>
      <c r="E20" s="64" t="s">
        <v>50</v>
      </c>
      <c r="F20" s="1100"/>
      <c r="G20" s="575" t="s">
        <v>397</v>
      </c>
      <c r="H20" s="575" t="s">
        <v>397</v>
      </c>
      <c r="I20" s="575"/>
      <c r="J20" s="575" t="s">
        <v>397</v>
      </c>
      <c r="K20" s="15"/>
      <c r="L20" s="15"/>
      <c r="M20" s="15"/>
      <c r="N20" s="15"/>
      <c r="O20" s="15"/>
      <c r="P20" s="15"/>
      <c r="Q20" s="15"/>
      <c r="R20" s="15"/>
      <c r="S20" s="15"/>
      <c r="T20" s="15">
        <v>12</v>
      </c>
      <c r="U20" s="15"/>
      <c r="V20" s="15"/>
      <c r="W20" s="33">
        <f t="shared" si="2"/>
        <v>1</v>
      </c>
      <c r="X20" s="440">
        <f t="shared" si="3"/>
        <v>0</v>
      </c>
      <c r="Y20" s="441">
        <f t="shared" si="0"/>
        <v>0</v>
      </c>
      <c r="Z20" s="34">
        <f t="shared" si="1"/>
        <v>0</v>
      </c>
    </row>
    <row r="21" spans="1:26" x14ac:dyDescent="0.2">
      <c r="A21" s="35">
        <f>COUNT(A9:A20)</f>
        <v>12</v>
      </c>
      <c r="B21" s="36" t="s">
        <v>101</v>
      </c>
      <c r="C21" s="37"/>
      <c r="D21" s="37"/>
      <c r="E21" s="37"/>
      <c r="F21" s="38">
        <f>COUNTIF(F9:F20,"&gt;=0")</f>
        <v>3</v>
      </c>
      <c r="G21" s="75">
        <f t="shared" ref="G21:V21" si="4">COUNTIF(G9:G20,"&gt;=0")+COUNTIF(G9:G20,"=v")+COUNTIF(G9:G20,"=w")</f>
        <v>4</v>
      </c>
      <c r="H21" s="75">
        <f t="shared" si="4"/>
        <v>2</v>
      </c>
      <c r="I21" s="75">
        <f t="shared" si="4"/>
        <v>8</v>
      </c>
      <c r="J21" s="75">
        <f t="shared" si="4"/>
        <v>2</v>
      </c>
      <c r="K21" s="75">
        <f t="shared" si="4"/>
        <v>3</v>
      </c>
      <c r="L21" s="75">
        <f t="shared" si="4"/>
        <v>3</v>
      </c>
      <c r="M21" s="75">
        <f t="shared" si="4"/>
        <v>4</v>
      </c>
      <c r="N21" s="75">
        <f t="shared" si="4"/>
        <v>4</v>
      </c>
      <c r="O21" s="75">
        <f t="shared" si="4"/>
        <v>5</v>
      </c>
      <c r="P21" s="75">
        <f t="shared" si="4"/>
        <v>6</v>
      </c>
      <c r="Q21" s="75">
        <f t="shared" si="4"/>
        <v>4</v>
      </c>
      <c r="R21" s="75">
        <f t="shared" si="4"/>
        <v>3</v>
      </c>
      <c r="S21" s="75">
        <f t="shared" si="4"/>
        <v>3</v>
      </c>
      <c r="T21" s="75">
        <f t="shared" si="4"/>
        <v>4</v>
      </c>
      <c r="U21" s="75">
        <f t="shared" si="4"/>
        <v>3</v>
      </c>
      <c r="V21" s="75">
        <f t="shared" si="4"/>
        <v>2</v>
      </c>
      <c r="W21" s="37"/>
      <c r="X21" s="39">
        <f>SUM(X9:X20)</f>
        <v>6</v>
      </c>
      <c r="Y21" s="39">
        <f>SUM(Y9:Y20)</f>
        <v>1</v>
      </c>
      <c r="Z21" s="40">
        <f>SUM(Z9:Z20)</f>
        <v>1</v>
      </c>
    </row>
  </sheetData>
  <autoFilter ref="A8:Z8"/>
  <conditionalFormatting sqref="T9:T20 G9:H20 N9:N20 J9:L20 P9:P20 R9:R20 V9:V20">
    <cfRule type="cellIs" dxfId="271" priority="37" stopIfTrue="1" operator="equal">
      <formula>97</formula>
    </cfRule>
    <cfRule type="cellIs" dxfId="270" priority="38" stopIfTrue="1" operator="equal">
      <formula>105</formula>
    </cfRule>
    <cfRule type="cellIs" dxfId="269" priority="39" stopIfTrue="1" operator="equal">
      <formula>115</formula>
    </cfRule>
  </conditionalFormatting>
  <conditionalFormatting sqref="Q9:Q20 M9:M20 O9:O20 U9:U20 S9:S20 I9:I20">
    <cfRule type="cellIs" dxfId="268" priority="34" stopIfTrue="1" operator="equal">
      <formula>146</formula>
    </cfRule>
    <cfRule type="cellIs" dxfId="267" priority="35" stopIfTrue="1" operator="equal">
      <formula>158</formula>
    </cfRule>
    <cfRule type="cellIs" dxfId="266" priority="36" stopIfTrue="1" operator="equal">
      <formula>173</formula>
    </cfRule>
  </conditionalFormatting>
  <conditionalFormatting sqref="S9:S20 I9:I20">
    <cfRule type="cellIs" dxfId="265" priority="31" stopIfTrue="1" operator="equal">
      <formula>83</formula>
    </cfRule>
    <cfRule type="cellIs" dxfId="264" priority="32" stopIfTrue="1" operator="equal">
      <formula>93</formula>
    </cfRule>
    <cfRule type="cellIs" dxfId="263" priority="33" stopIfTrue="1" operator="equal">
      <formula>105</formula>
    </cfRule>
  </conditionalFormatting>
  <conditionalFormatting sqref="B12:B20">
    <cfRule type="duplicateValues" dxfId="262" priority="12372" stopIfTrue="1"/>
  </conditionalFormatting>
  <conditionalFormatting sqref="W9:W20">
    <cfRule type="top10" dxfId="261" priority="12374" stopIfTrue="1" rank="1"/>
  </conditionalFormatting>
  <conditionalFormatting sqref="X9:X20">
    <cfRule type="top10" dxfId="260" priority="12375" stopIfTrue="1" rank="1"/>
  </conditionalFormatting>
  <conditionalFormatting sqref="Y9:Y20">
    <cfRule type="top10" dxfId="259" priority="12376" stopIfTrue="1" rank="1"/>
  </conditionalFormatting>
  <conditionalFormatting sqref="Z9:Z20">
    <cfRule type="top10" dxfId="258" priority="12377" stopIfTrue="1" rank="1"/>
  </conditionalFormatting>
  <conditionalFormatting sqref="G21:V21">
    <cfRule type="top10" dxfId="257" priority="12386" stopIfTrue="1" rank="1"/>
  </conditionalFormatting>
  <conditionalFormatting sqref="B9:B11">
    <cfRule type="duplicateValues" dxfId="256" priority="1" stopIfTrue="1"/>
  </conditionalFormatting>
  <printOptions horizontalCentered="1"/>
  <pageMargins left="0.39370078740157483" right="0.39370078740157483" top="0.98425196850393704" bottom="0.39370078740157483" header="0.78740157480314965" footer="0"/>
  <pageSetup paperSize="9" fitToHeight="0" orientation="landscape" r:id="rId1"/>
  <headerFooter>
    <oddHeader>&amp;R&amp;"Arial,Regular"&amp;9Page &amp;P of &amp;N</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showGridLines="0" showRowColHeaders="0" zoomScaleNormal="100" workbookViewId="0">
      <pane ySplit="2" topLeftCell="A3" activePane="bottomLeft" state="frozen"/>
      <selection pane="bottomLeft" activeCell="H1" sqref="H1"/>
    </sheetView>
  </sheetViews>
  <sheetFormatPr defaultRowHeight="12.75" x14ac:dyDescent="0.2"/>
  <cols>
    <col min="1" max="1" width="3.28515625" style="259" customWidth="1"/>
    <col min="2" max="2" width="47" style="259" customWidth="1"/>
    <col min="3" max="3" width="7.28515625" style="259" bestFit="1" customWidth="1"/>
    <col min="4" max="4" width="7.42578125" style="259" bestFit="1" customWidth="1"/>
    <col min="5" max="5" width="9.140625" style="259"/>
    <col min="6" max="6" width="6.7109375" style="259" bestFit="1" customWidth="1"/>
    <col min="7" max="7" width="5.140625" style="259" bestFit="1" customWidth="1"/>
    <col min="8" max="8" width="4.7109375" style="259" customWidth="1"/>
    <col min="9" max="9" width="3.7109375" style="259" customWidth="1"/>
    <col min="10" max="10" width="9.140625" style="259"/>
    <col min="11" max="11" width="9.140625" style="259" customWidth="1"/>
    <col min="12" max="14" width="9.140625" style="259"/>
    <col min="15" max="15" width="1.7109375" style="259" customWidth="1"/>
    <col min="16" max="16384" width="9.140625" style="259"/>
  </cols>
  <sheetData>
    <row r="1" spans="1:11" x14ac:dyDescent="0.2">
      <c r="A1" s="314" t="str">
        <f>UPPER((Kalend!E6)&amp;" - "&amp;(Kalend!C6)&amp;" - "&amp;(Kalend!D6))</f>
        <v>1 - EESTI REITINGUVÕISTLUS - TRIO</v>
      </c>
      <c r="F1" s="204" t="str">
        <f>HYPERLINK("#Üldreiting!I1","Reiting")</f>
        <v>Reiting</v>
      </c>
    </row>
    <row r="2" spans="1:11" x14ac:dyDescent="0.2">
      <c r="A2" s="309" t="str">
        <f>"Toimumisaeg: "&amp;(Kalend!A6)&amp;" kell "&amp;(Kalend!B6)</f>
        <v>Toimumisaeg: L, 07.05.2016 kell 11:00</v>
      </c>
    </row>
    <row r="3" spans="1:11" x14ac:dyDescent="0.2">
      <c r="A3" s="309" t="str">
        <f>"Toimumiskoht: "&amp;(Kalend!H6)</f>
        <v>Toimumiskoht: Jüri, Laste 3</v>
      </c>
    </row>
    <row r="4" spans="1:11" x14ac:dyDescent="0.2">
      <c r="A4" s="309" t="str">
        <f>"Korraldaja: "&amp;(Kalend!I6)</f>
        <v>Korraldaja: SK Maestro Petanque</v>
      </c>
    </row>
    <row r="6" spans="1:11" x14ac:dyDescent="0.2">
      <c r="A6" s="855" t="s">
        <v>331</v>
      </c>
      <c r="B6" s="856"/>
      <c r="C6" s="77" t="s">
        <v>332</v>
      </c>
      <c r="D6" s="77" t="s">
        <v>333</v>
      </c>
      <c r="E6" s="77" t="s">
        <v>334</v>
      </c>
      <c r="F6" s="77" t="s">
        <v>335</v>
      </c>
      <c r="G6" s="77" t="s">
        <v>28</v>
      </c>
    </row>
    <row r="7" spans="1:11" x14ac:dyDescent="0.2">
      <c r="A7" s="76">
        <v>1</v>
      </c>
      <c r="B7" s="253" t="s">
        <v>342</v>
      </c>
      <c r="C7" s="78">
        <v>13</v>
      </c>
      <c r="D7" s="78">
        <v>13</v>
      </c>
      <c r="E7" s="79"/>
      <c r="F7" s="79"/>
      <c r="G7" s="236" t="s">
        <v>337</v>
      </c>
    </row>
    <row r="8" spans="1:11" x14ac:dyDescent="0.2">
      <c r="A8" s="76">
        <v>2</v>
      </c>
      <c r="B8" s="253" t="s">
        <v>346</v>
      </c>
      <c r="C8" s="78">
        <v>13</v>
      </c>
      <c r="D8" s="79">
        <v>10</v>
      </c>
      <c r="E8" s="79"/>
      <c r="F8" s="78">
        <v>13</v>
      </c>
      <c r="G8" s="236" t="s">
        <v>336</v>
      </c>
      <c r="K8" s="157"/>
    </row>
    <row r="9" spans="1:11" x14ac:dyDescent="0.2">
      <c r="A9" s="76">
        <v>3</v>
      </c>
      <c r="B9" s="253" t="s">
        <v>344</v>
      </c>
      <c r="C9" s="79">
        <v>1</v>
      </c>
      <c r="D9" s="79"/>
      <c r="E9" s="78">
        <v>13</v>
      </c>
      <c r="F9" s="79">
        <v>0</v>
      </c>
      <c r="G9" s="236" t="s">
        <v>338</v>
      </c>
    </row>
    <row r="10" spans="1:11" x14ac:dyDescent="0.2">
      <c r="A10" s="76">
        <v>4</v>
      </c>
      <c r="B10" s="254"/>
      <c r="C10" s="79">
        <v>0</v>
      </c>
      <c r="D10" s="79"/>
      <c r="E10" s="79">
        <v>0</v>
      </c>
      <c r="F10" s="79"/>
      <c r="G10" s="236"/>
    </row>
    <row r="11" spans="1:11" x14ac:dyDescent="0.2">
      <c r="A11" s="80"/>
      <c r="B11" s="81"/>
      <c r="C11" s="82"/>
      <c r="D11" s="82"/>
      <c r="E11" s="82"/>
      <c r="F11" s="83"/>
      <c r="G11" s="84"/>
    </row>
    <row r="12" spans="1:11" x14ac:dyDescent="0.2">
      <c r="A12" s="855" t="s">
        <v>339</v>
      </c>
      <c r="B12" s="856"/>
      <c r="C12" s="77" t="s">
        <v>332</v>
      </c>
      <c r="D12" s="77" t="s">
        <v>333</v>
      </c>
      <c r="E12" s="77" t="s">
        <v>334</v>
      </c>
      <c r="F12" s="77" t="s">
        <v>335</v>
      </c>
      <c r="G12" s="77" t="s">
        <v>28</v>
      </c>
    </row>
    <row r="13" spans="1:11" x14ac:dyDescent="0.2">
      <c r="A13" s="76">
        <v>1</v>
      </c>
      <c r="B13" s="253" t="s">
        <v>343</v>
      </c>
      <c r="C13" s="78">
        <v>13</v>
      </c>
      <c r="D13" s="78">
        <v>13</v>
      </c>
      <c r="E13" s="79"/>
      <c r="F13" s="79"/>
      <c r="G13" s="236" t="s">
        <v>337</v>
      </c>
    </row>
    <row r="14" spans="1:11" x14ac:dyDescent="0.2">
      <c r="A14" s="76">
        <v>2</v>
      </c>
      <c r="B14" s="253" t="s">
        <v>347</v>
      </c>
      <c r="C14" s="79">
        <v>12</v>
      </c>
      <c r="D14" s="79"/>
      <c r="E14" s="78">
        <v>13</v>
      </c>
      <c r="F14" s="78">
        <v>13</v>
      </c>
      <c r="G14" s="236" t="s">
        <v>336</v>
      </c>
    </row>
    <row r="15" spans="1:11" x14ac:dyDescent="0.2">
      <c r="A15" s="76">
        <v>3</v>
      </c>
      <c r="B15" s="253" t="s">
        <v>348</v>
      </c>
      <c r="C15" s="78">
        <v>13</v>
      </c>
      <c r="D15" s="79">
        <v>1</v>
      </c>
      <c r="E15" s="79"/>
      <c r="F15" s="79">
        <v>5</v>
      </c>
      <c r="G15" s="236" t="s">
        <v>338</v>
      </c>
    </row>
    <row r="16" spans="1:11" x14ac:dyDescent="0.2">
      <c r="A16" s="76">
        <v>4</v>
      </c>
      <c r="B16" s="254"/>
      <c r="C16" s="79">
        <v>0</v>
      </c>
      <c r="D16" s="79"/>
      <c r="E16" s="79">
        <v>0</v>
      </c>
      <c r="F16" s="79"/>
      <c r="G16" s="236"/>
    </row>
    <row r="17" spans="1:9" x14ac:dyDescent="0.2">
      <c r="A17" s="80"/>
      <c r="B17" s="81"/>
      <c r="C17" s="82"/>
      <c r="D17" s="82"/>
      <c r="E17" s="82"/>
      <c r="F17" s="83"/>
      <c r="G17" s="84"/>
    </row>
    <row r="18" spans="1:9" x14ac:dyDescent="0.2">
      <c r="A18" s="855" t="s">
        <v>341</v>
      </c>
      <c r="B18" s="856"/>
      <c r="C18" s="77" t="s">
        <v>332</v>
      </c>
      <c r="D18" s="77" t="s">
        <v>333</v>
      </c>
      <c r="E18" s="77" t="s">
        <v>334</v>
      </c>
      <c r="F18" s="77" t="s">
        <v>335</v>
      </c>
      <c r="G18" s="77" t="s">
        <v>28</v>
      </c>
    </row>
    <row r="19" spans="1:9" x14ac:dyDescent="0.2">
      <c r="A19" s="76">
        <v>1</v>
      </c>
      <c r="B19" s="255" t="s">
        <v>340</v>
      </c>
      <c r="C19" s="78">
        <v>13</v>
      </c>
      <c r="D19" s="78">
        <v>13</v>
      </c>
      <c r="E19" s="79"/>
      <c r="F19" s="79"/>
      <c r="G19" s="236" t="s">
        <v>337</v>
      </c>
    </row>
    <row r="20" spans="1:9" x14ac:dyDescent="0.2">
      <c r="A20" s="76">
        <v>2</v>
      </c>
      <c r="B20" s="253" t="s">
        <v>349</v>
      </c>
      <c r="C20" s="78">
        <v>13</v>
      </c>
      <c r="D20" s="79">
        <v>10</v>
      </c>
      <c r="E20" s="79"/>
      <c r="F20" s="78">
        <v>13</v>
      </c>
      <c r="G20" s="236" t="s">
        <v>336</v>
      </c>
    </row>
    <row r="21" spans="1:9" x14ac:dyDescent="0.2">
      <c r="A21" s="76">
        <v>3</v>
      </c>
      <c r="B21" s="253" t="s">
        <v>350</v>
      </c>
      <c r="C21" s="79">
        <v>12</v>
      </c>
      <c r="D21" s="79"/>
      <c r="E21" s="78">
        <v>13</v>
      </c>
      <c r="F21" s="79">
        <v>2</v>
      </c>
      <c r="G21" s="236" t="s">
        <v>338</v>
      </c>
    </row>
    <row r="22" spans="1:9" x14ac:dyDescent="0.2">
      <c r="A22" s="76">
        <v>4</v>
      </c>
      <c r="B22" s="254"/>
      <c r="C22" s="79">
        <v>0</v>
      </c>
      <c r="D22" s="79"/>
      <c r="E22" s="79">
        <v>0</v>
      </c>
      <c r="F22" s="79"/>
      <c r="G22" s="236"/>
    </row>
    <row r="23" spans="1:9" s="252" customFormat="1" x14ac:dyDescent="0.2"/>
    <row r="24" spans="1:9" s="175" customFormat="1" x14ac:dyDescent="0.2">
      <c r="A24" s="85" t="s">
        <v>351</v>
      </c>
    </row>
    <row r="25" spans="1:9" s="175" customFormat="1" x14ac:dyDescent="0.2">
      <c r="A25" s="85"/>
    </row>
    <row r="26" spans="1:9" s="175" customFormat="1" x14ac:dyDescent="0.2">
      <c r="A26" s="113" t="s">
        <v>353</v>
      </c>
      <c r="B26" s="209" t="s">
        <v>340</v>
      </c>
      <c r="C26" s="111">
        <v>13</v>
      </c>
      <c r="D26" s="209"/>
      <c r="E26" s="209"/>
      <c r="F26" s="209"/>
      <c r="G26" s="209"/>
      <c r="H26" s="209"/>
      <c r="I26" s="209"/>
    </row>
    <row r="27" spans="1:9" s="175" customFormat="1" x14ac:dyDescent="0.2">
      <c r="A27" s="114"/>
      <c r="B27" s="98"/>
      <c r="C27" s="99" t="s">
        <v>340</v>
      </c>
      <c r="D27" s="245"/>
      <c r="E27" s="209"/>
      <c r="F27" s="97">
        <v>6</v>
      </c>
      <c r="G27" s="209"/>
      <c r="H27" s="209"/>
      <c r="I27" s="209"/>
    </row>
    <row r="28" spans="1:9" s="175" customFormat="1" x14ac:dyDescent="0.2">
      <c r="A28" s="113"/>
      <c r="B28" s="249" t="s">
        <v>352</v>
      </c>
      <c r="C28" s="100">
        <v>0</v>
      </c>
      <c r="D28" s="209"/>
      <c r="E28" s="101"/>
      <c r="F28" s="209"/>
      <c r="G28" s="209"/>
      <c r="H28" s="209"/>
      <c r="I28" s="209"/>
    </row>
    <row r="29" spans="1:9" s="175" customFormat="1" x14ac:dyDescent="0.2">
      <c r="A29" s="114"/>
      <c r="B29" s="209"/>
      <c r="C29" s="209"/>
      <c r="D29" s="102"/>
      <c r="E29" s="103"/>
      <c r="F29" s="209" t="s">
        <v>346</v>
      </c>
      <c r="G29" s="209"/>
      <c r="H29" s="209"/>
      <c r="I29" s="111">
        <v>13</v>
      </c>
    </row>
    <row r="30" spans="1:9" s="175" customFormat="1" x14ac:dyDescent="0.2">
      <c r="A30" s="113" t="s">
        <v>358</v>
      </c>
      <c r="B30" s="245" t="s">
        <v>346</v>
      </c>
      <c r="C30" s="110">
        <v>13</v>
      </c>
      <c r="D30" s="209"/>
      <c r="E30" s="103"/>
      <c r="F30" s="98"/>
      <c r="G30" s="98"/>
      <c r="H30" s="101"/>
      <c r="I30" s="209"/>
    </row>
    <row r="31" spans="1:9" s="175" customFormat="1" x14ac:dyDescent="0.2">
      <c r="A31" s="114"/>
      <c r="B31" s="98"/>
      <c r="C31" s="105" t="s">
        <v>346</v>
      </c>
      <c r="D31" s="209"/>
      <c r="E31" s="249"/>
      <c r="F31" s="110">
        <v>13</v>
      </c>
      <c r="G31" s="102"/>
      <c r="H31" s="103"/>
      <c r="I31" s="209"/>
    </row>
    <row r="32" spans="1:9" s="175" customFormat="1" x14ac:dyDescent="0.2">
      <c r="A32" s="113" t="s">
        <v>355</v>
      </c>
      <c r="B32" s="249" t="s">
        <v>347</v>
      </c>
      <c r="C32" s="106">
        <v>10</v>
      </c>
      <c r="D32" s="98"/>
      <c r="E32" s="209"/>
      <c r="F32" s="102"/>
      <c r="G32" s="102"/>
      <c r="H32" s="103"/>
      <c r="I32" s="209"/>
    </row>
    <row r="33" spans="1:11" s="175" customFormat="1" ht="13.5" thickBot="1" x14ac:dyDescent="0.25">
      <c r="A33" s="114"/>
      <c r="B33" s="209"/>
      <c r="C33" s="209"/>
      <c r="D33" s="209"/>
      <c r="E33" s="209"/>
      <c r="F33" s="102"/>
      <c r="G33" s="102"/>
      <c r="H33" s="103"/>
      <c r="I33" s="209"/>
      <c r="J33" s="175" t="s">
        <v>346</v>
      </c>
    </row>
    <row r="34" spans="1:11" s="175" customFormat="1" x14ac:dyDescent="0.2">
      <c r="A34" s="113" t="s">
        <v>360</v>
      </c>
      <c r="B34" s="209" t="s">
        <v>342</v>
      </c>
      <c r="C34" s="97">
        <v>5</v>
      </c>
      <c r="D34" s="209"/>
      <c r="E34" s="209"/>
      <c r="F34" s="102"/>
      <c r="G34" s="102"/>
      <c r="H34" s="103"/>
      <c r="I34" s="107"/>
      <c r="J34" s="88" t="s">
        <v>357</v>
      </c>
      <c r="K34" s="89"/>
    </row>
    <row r="35" spans="1:11" s="175" customFormat="1" x14ac:dyDescent="0.2">
      <c r="A35" s="114"/>
      <c r="B35" s="98"/>
      <c r="C35" s="99" t="s">
        <v>349</v>
      </c>
      <c r="D35" s="245"/>
      <c r="E35" s="209"/>
      <c r="F35" s="110">
        <v>13</v>
      </c>
      <c r="G35" s="102"/>
      <c r="H35" s="103"/>
      <c r="I35" s="209"/>
    </row>
    <row r="36" spans="1:11" s="175" customFormat="1" ht="13.5" thickBot="1" x14ac:dyDescent="0.25">
      <c r="A36" s="113" t="s">
        <v>354</v>
      </c>
      <c r="B36" s="245" t="s">
        <v>349</v>
      </c>
      <c r="C36" s="109">
        <v>13</v>
      </c>
      <c r="D36" s="209"/>
      <c r="E36" s="101"/>
      <c r="F36" s="102"/>
      <c r="G36" s="102"/>
      <c r="H36" s="103"/>
      <c r="I36" s="209"/>
      <c r="J36" s="210" t="s">
        <v>349</v>
      </c>
      <c r="K36" s="210"/>
    </row>
    <row r="37" spans="1:11" s="175" customFormat="1" x14ac:dyDescent="0.2">
      <c r="A37" s="114"/>
      <c r="B37" s="209"/>
      <c r="C37" s="209"/>
      <c r="D37" s="102"/>
      <c r="E37" s="103"/>
      <c r="F37" s="245" t="s">
        <v>349</v>
      </c>
      <c r="G37" s="245"/>
      <c r="H37" s="249"/>
      <c r="I37" s="97">
        <v>7</v>
      </c>
      <c r="J37" s="88" t="s">
        <v>359</v>
      </c>
    </row>
    <row r="38" spans="1:11" s="175" customFormat="1" x14ac:dyDescent="0.2">
      <c r="A38" s="113" t="s">
        <v>356</v>
      </c>
      <c r="B38" s="209" t="s">
        <v>343</v>
      </c>
      <c r="C38" s="110">
        <v>13</v>
      </c>
      <c r="D38" s="209"/>
      <c r="E38" s="103"/>
      <c r="F38" s="209"/>
      <c r="G38" s="209"/>
      <c r="H38" s="209"/>
      <c r="I38" s="209"/>
    </row>
    <row r="39" spans="1:11" s="175" customFormat="1" x14ac:dyDescent="0.2">
      <c r="A39" s="114"/>
      <c r="B39" s="98"/>
      <c r="C39" s="105" t="s">
        <v>343</v>
      </c>
      <c r="D39" s="209"/>
      <c r="E39" s="249"/>
      <c r="F39" s="97">
        <v>11</v>
      </c>
      <c r="G39" s="209"/>
      <c r="H39" s="209"/>
      <c r="I39" s="209"/>
    </row>
    <row r="40" spans="1:11" s="175" customFormat="1" x14ac:dyDescent="0.2">
      <c r="A40" s="113"/>
      <c r="B40" s="245" t="s">
        <v>352</v>
      </c>
      <c r="C40" s="106">
        <v>0</v>
      </c>
      <c r="D40" s="98"/>
      <c r="E40" s="209"/>
      <c r="F40" s="209"/>
      <c r="G40" s="209"/>
      <c r="H40" s="209"/>
      <c r="I40" s="209"/>
    </row>
    <row r="41" spans="1:11" s="175" customFormat="1" x14ac:dyDescent="0.2">
      <c r="B41" s="209"/>
      <c r="C41" s="209"/>
      <c r="D41" s="209"/>
      <c r="E41" s="209"/>
      <c r="F41" s="209" t="s">
        <v>340</v>
      </c>
      <c r="G41" s="209"/>
      <c r="H41" s="209"/>
      <c r="I41" s="104">
        <v>10</v>
      </c>
      <c r="J41" s="87"/>
      <c r="K41" s="87"/>
    </row>
    <row r="42" spans="1:11" s="175" customFormat="1" ht="13.5" thickBot="1" x14ac:dyDescent="0.25">
      <c r="B42" s="209"/>
      <c r="C42" s="209"/>
      <c r="D42" s="209"/>
      <c r="E42" s="209"/>
      <c r="F42" s="98"/>
      <c r="G42" s="98"/>
      <c r="H42" s="101"/>
      <c r="I42" s="108"/>
      <c r="J42" s="210" t="s">
        <v>343</v>
      </c>
      <c r="K42" s="210"/>
    </row>
    <row r="43" spans="1:11" s="175" customFormat="1" x14ac:dyDescent="0.2">
      <c r="B43" s="209"/>
      <c r="C43" s="209"/>
      <c r="D43" s="209"/>
      <c r="E43" s="209"/>
      <c r="F43" s="245" t="s">
        <v>343</v>
      </c>
      <c r="G43" s="245"/>
      <c r="H43" s="249"/>
      <c r="I43" s="111">
        <v>13</v>
      </c>
      <c r="J43" s="90" t="s">
        <v>361</v>
      </c>
      <c r="K43" s="87"/>
    </row>
    <row r="44" spans="1:11" s="175" customFormat="1" x14ac:dyDescent="0.2">
      <c r="B44" s="209"/>
      <c r="C44" s="209"/>
      <c r="D44" s="209"/>
      <c r="E44" s="209"/>
      <c r="F44" s="209"/>
      <c r="G44" s="209"/>
      <c r="H44" s="209"/>
      <c r="I44" s="209"/>
      <c r="J44" s="87"/>
      <c r="K44" s="87"/>
    </row>
    <row r="45" spans="1:11" s="175" customFormat="1" ht="13.5" thickBot="1" x14ac:dyDescent="0.25">
      <c r="B45" s="209"/>
      <c r="C45" s="209"/>
      <c r="D45" s="209"/>
      <c r="E45" s="209"/>
      <c r="F45" s="209"/>
      <c r="G45" s="102"/>
      <c r="H45" s="102"/>
      <c r="I45" s="209"/>
      <c r="J45" s="210" t="s">
        <v>340</v>
      </c>
      <c r="K45" s="210"/>
    </row>
    <row r="46" spans="1:11" s="175" customFormat="1" x14ac:dyDescent="0.2">
      <c r="J46" s="86" t="s">
        <v>362</v>
      </c>
    </row>
    <row r="47" spans="1:11" s="175" customFormat="1" x14ac:dyDescent="0.2">
      <c r="B47" s="209"/>
      <c r="C47" s="209" t="s">
        <v>352</v>
      </c>
      <c r="D47" s="209"/>
      <c r="E47" s="209"/>
      <c r="F47" s="97">
        <v>0</v>
      </c>
      <c r="G47" s="209"/>
      <c r="H47" s="209"/>
      <c r="I47" s="209"/>
    </row>
    <row r="48" spans="1:11" s="175" customFormat="1" x14ac:dyDescent="0.2">
      <c r="B48" s="209"/>
      <c r="C48" s="98"/>
      <c r="D48" s="98"/>
      <c r="E48" s="101"/>
      <c r="F48" s="99" t="s">
        <v>347</v>
      </c>
      <c r="G48" s="245"/>
      <c r="H48" s="245"/>
      <c r="I48" s="111">
        <v>13</v>
      </c>
    </row>
    <row r="49" spans="1:13" s="175" customFormat="1" x14ac:dyDescent="0.2">
      <c r="B49" s="209"/>
      <c r="C49" s="245" t="s">
        <v>347</v>
      </c>
      <c r="D49" s="245"/>
      <c r="E49" s="249"/>
      <c r="F49" s="109">
        <v>13</v>
      </c>
      <c r="G49" s="209"/>
      <c r="H49" s="103"/>
      <c r="I49" s="209"/>
    </row>
    <row r="50" spans="1:13" s="175" customFormat="1" ht="13.5" thickBot="1" x14ac:dyDescent="0.25">
      <c r="B50" s="209"/>
      <c r="C50" s="209"/>
      <c r="D50" s="209"/>
      <c r="E50" s="209"/>
      <c r="F50" s="102"/>
      <c r="G50" s="209"/>
      <c r="H50" s="103"/>
      <c r="I50" s="209"/>
      <c r="J50" s="175" t="s">
        <v>347</v>
      </c>
    </row>
    <row r="51" spans="1:13" s="175" customFormat="1" x14ac:dyDescent="0.2">
      <c r="B51" s="209"/>
      <c r="C51" s="209" t="s">
        <v>342</v>
      </c>
      <c r="D51" s="209"/>
      <c r="E51" s="209"/>
      <c r="F51" s="110">
        <v>13</v>
      </c>
      <c r="G51" s="209"/>
      <c r="H51" s="103"/>
      <c r="I51" s="107"/>
      <c r="J51" s="88" t="s">
        <v>363</v>
      </c>
      <c r="K51" s="89"/>
    </row>
    <row r="52" spans="1:13" s="175" customFormat="1" x14ac:dyDescent="0.2">
      <c r="B52" s="209"/>
      <c r="C52" s="98"/>
      <c r="D52" s="98"/>
      <c r="E52" s="101"/>
      <c r="F52" s="105" t="s">
        <v>342</v>
      </c>
      <c r="G52" s="209"/>
      <c r="H52" s="249"/>
      <c r="I52" s="104">
        <v>0</v>
      </c>
    </row>
    <row r="53" spans="1:13" s="175" customFormat="1" ht="13.5" thickBot="1" x14ac:dyDescent="0.25">
      <c r="B53" s="209"/>
      <c r="C53" s="245" t="s">
        <v>352</v>
      </c>
      <c r="D53" s="245"/>
      <c r="E53" s="249"/>
      <c r="F53" s="106">
        <v>0</v>
      </c>
      <c r="G53" s="98"/>
      <c r="H53" s="209"/>
      <c r="I53" s="102"/>
      <c r="J53" s="87" t="s">
        <v>342</v>
      </c>
      <c r="K53" s="210"/>
    </row>
    <row r="54" spans="1:13" s="175" customFormat="1" x14ac:dyDescent="0.2">
      <c r="B54" s="209"/>
      <c r="C54" s="209"/>
      <c r="D54" s="209"/>
      <c r="E54" s="209"/>
      <c r="F54" s="209"/>
      <c r="G54" s="209"/>
      <c r="H54" s="209"/>
      <c r="I54" s="102"/>
      <c r="J54" s="88" t="s">
        <v>364</v>
      </c>
      <c r="K54" s="87"/>
    </row>
    <row r="55" spans="1:13" s="600" customFormat="1" x14ac:dyDescent="0.2">
      <c r="B55" s="588"/>
      <c r="C55" s="588"/>
      <c r="D55" s="588"/>
      <c r="E55" s="588"/>
      <c r="F55" s="588"/>
      <c r="G55" s="588"/>
      <c r="H55" s="588"/>
      <c r="I55" s="102"/>
      <c r="J55" s="90"/>
      <c r="K55" s="87"/>
    </row>
    <row r="56" spans="1:13" s="175" customFormat="1" x14ac:dyDescent="0.2">
      <c r="A56" s="85" t="s">
        <v>365</v>
      </c>
      <c r="B56" s="209"/>
      <c r="C56" s="209"/>
      <c r="D56" s="209"/>
      <c r="E56" s="209"/>
      <c r="F56" s="209"/>
      <c r="G56" s="209"/>
      <c r="H56" s="209"/>
      <c r="I56" s="102"/>
      <c r="J56" s="90"/>
      <c r="K56" s="87"/>
    </row>
    <row r="57" spans="1:13" s="231" customFormat="1" x14ac:dyDescent="0.2">
      <c r="K57" s="87"/>
      <c r="L57" s="175"/>
      <c r="M57" s="175"/>
    </row>
    <row r="58" spans="1:13" s="231" customFormat="1" x14ac:dyDescent="0.2">
      <c r="A58" s="91"/>
      <c r="B58" s="91"/>
      <c r="C58" s="77">
        <v>1</v>
      </c>
      <c r="D58" s="77">
        <v>2</v>
      </c>
      <c r="E58" s="77">
        <v>3</v>
      </c>
      <c r="F58" s="77" t="s">
        <v>366</v>
      </c>
      <c r="G58" s="77" t="s">
        <v>367</v>
      </c>
    </row>
    <row r="59" spans="1:13" s="231" customFormat="1" x14ac:dyDescent="0.2">
      <c r="A59" s="91">
        <v>1</v>
      </c>
      <c r="B59" s="92" t="s">
        <v>344</v>
      </c>
      <c r="C59" s="93"/>
      <c r="D59" s="77">
        <v>13</v>
      </c>
      <c r="E59" s="117">
        <v>12</v>
      </c>
      <c r="F59" s="115" t="s">
        <v>368</v>
      </c>
      <c r="G59" s="117" t="s">
        <v>337</v>
      </c>
      <c r="H59" s="116" t="s">
        <v>371</v>
      </c>
      <c r="J59" s="118" t="s">
        <v>369</v>
      </c>
    </row>
    <row r="60" spans="1:13" s="231" customFormat="1" x14ac:dyDescent="0.2">
      <c r="A60" s="91">
        <v>2</v>
      </c>
      <c r="B60" s="92" t="s">
        <v>348</v>
      </c>
      <c r="C60" s="117">
        <v>8</v>
      </c>
      <c r="D60" s="93"/>
      <c r="E60" s="77">
        <v>13</v>
      </c>
      <c r="F60" s="115" t="s">
        <v>368</v>
      </c>
      <c r="G60" s="117" t="s">
        <v>338</v>
      </c>
      <c r="H60" s="116" t="s">
        <v>372</v>
      </c>
      <c r="J60" s="118" t="s">
        <v>374</v>
      </c>
    </row>
    <row r="61" spans="1:13" s="231" customFormat="1" x14ac:dyDescent="0.2">
      <c r="A61" s="91">
        <v>3</v>
      </c>
      <c r="B61" s="92" t="s">
        <v>350</v>
      </c>
      <c r="C61" s="77">
        <v>13</v>
      </c>
      <c r="D61" s="117">
        <v>11</v>
      </c>
      <c r="E61" s="93"/>
      <c r="F61" s="115" t="s">
        <v>368</v>
      </c>
      <c r="G61" s="117" t="s">
        <v>336</v>
      </c>
      <c r="H61" s="116" t="s">
        <v>373</v>
      </c>
      <c r="J61" s="118" t="s">
        <v>370</v>
      </c>
    </row>
    <row r="62" spans="1:13" s="231" customFormat="1" x14ac:dyDescent="0.2"/>
    <row r="63" spans="1:13" s="252" customFormat="1" x14ac:dyDescent="0.2">
      <c r="A63" s="231"/>
      <c r="B63" s="231"/>
      <c r="C63" s="231"/>
      <c r="D63" s="231"/>
      <c r="E63" s="231"/>
      <c r="F63" s="231"/>
      <c r="G63" s="231"/>
      <c r="H63" s="231"/>
      <c r="I63" s="231"/>
      <c r="J63" s="231"/>
      <c r="K63" s="231"/>
      <c r="L63" s="231"/>
      <c r="M63" s="231"/>
    </row>
    <row r="64" spans="1:13" s="252" customFormat="1" x14ac:dyDescent="0.2">
      <c r="A64" s="94">
        <v>1</v>
      </c>
      <c r="B64" s="95" t="s">
        <v>346</v>
      </c>
    </row>
    <row r="65" spans="1:9" s="252" customFormat="1" x14ac:dyDescent="0.2">
      <c r="A65" s="94">
        <v>2</v>
      </c>
      <c r="B65" s="232" t="s">
        <v>349</v>
      </c>
    </row>
    <row r="66" spans="1:9" s="252" customFormat="1" x14ac:dyDescent="0.2">
      <c r="A66" s="94">
        <v>3</v>
      </c>
      <c r="B66" s="233" t="s">
        <v>343</v>
      </c>
    </row>
    <row r="67" spans="1:9" s="252" customFormat="1" x14ac:dyDescent="0.2">
      <c r="A67" s="94">
        <v>4</v>
      </c>
      <c r="B67" s="96" t="s">
        <v>340</v>
      </c>
    </row>
    <row r="68" spans="1:9" s="252" customFormat="1" x14ac:dyDescent="0.2">
      <c r="A68" s="94">
        <v>5</v>
      </c>
      <c r="B68" s="96" t="s">
        <v>347</v>
      </c>
    </row>
    <row r="69" spans="1:9" s="252" customFormat="1" x14ac:dyDescent="0.2">
      <c r="A69" s="94">
        <v>6</v>
      </c>
      <c r="B69" s="96" t="s">
        <v>342</v>
      </c>
    </row>
    <row r="70" spans="1:9" s="252" customFormat="1" x14ac:dyDescent="0.2">
      <c r="A70" s="94">
        <v>7</v>
      </c>
      <c r="B70" s="96" t="s">
        <v>344</v>
      </c>
    </row>
    <row r="71" spans="1:9" s="252" customFormat="1" x14ac:dyDescent="0.2">
      <c r="A71" s="94">
        <v>8</v>
      </c>
      <c r="B71" s="96" t="s">
        <v>350</v>
      </c>
    </row>
    <row r="72" spans="1:9" x14ac:dyDescent="0.2">
      <c r="A72" s="94">
        <v>9</v>
      </c>
      <c r="B72" s="253" t="s">
        <v>348</v>
      </c>
      <c r="C72" s="252"/>
      <c r="D72" s="252"/>
      <c r="E72" s="252"/>
      <c r="F72" s="252"/>
      <c r="G72" s="252"/>
      <c r="H72" s="252"/>
      <c r="I72" s="252"/>
    </row>
  </sheetData>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2" manualBreakCount="2">
    <brk id="22" max="14" man="1"/>
    <brk id="5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showGridLines="0" showRowColHeaders="0" zoomScaleNormal="100" workbookViewId="0">
      <pane ySplit="2" topLeftCell="A3" activePane="bottomLeft" state="frozen"/>
      <selection pane="bottomLeft" activeCell="J1" sqref="J1"/>
    </sheetView>
  </sheetViews>
  <sheetFormatPr defaultRowHeight="12.75" x14ac:dyDescent="0.2"/>
  <cols>
    <col min="1" max="1" width="3.28515625" style="259" customWidth="1"/>
    <col min="2" max="2" width="32.5703125" style="259" bestFit="1" customWidth="1"/>
    <col min="3" max="3" width="7.28515625" style="259" bestFit="1" customWidth="1"/>
    <col min="4" max="4" width="7.42578125" style="259" bestFit="1" customWidth="1"/>
    <col min="5" max="5" width="9.140625" style="259"/>
    <col min="6" max="6" width="6.7109375" style="259" bestFit="1" customWidth="1"/>
    <col min="7" max="7" width="5.140625" style="259" bestFit="1" customWidth="1"/>
    <col min="8" max="16384" width="9.140625" style="259"/>
  </cols>
  <sheetData>
    <row r="1" spans="1:11" x14ac:dyDescent="0.2">
      <c r="A1" s="314" t="str">
        <f>UPPER((Kalend!E7)&amp;" - "&amp;(Kalend!C7)&amp;" - "&amp;(Kalend!D7))</f>
        <v>2 - EESTI REITINGUVÕISTLUS, MAESTRO KARIKAS 2016 - DUO</v>
      </c>
      <c r="H1" s="204" t="str">
        <f>HYPERLINK("#Üldreiting!I1","Reiting")</f>
        <v>Reiting</v>
      </c>
      <c r="I1" s="528"/>
      <c r="J1" s="528"/>
    </row>
    <row r="2" spans="1:11" x14ac:dyDescent="0.2">
      <c r="A2" s="309" t="str">
        <f>"Toimumisaeg: "&amp;(Kalend!A7)&amp;" kell "&amp;(Kalend!B7)</f>
        <v>Toimumisaeg: P, 08.05.2016 kell 10:00</v>
      </c>
    </row>
    <row r="3" spans="1:11" x14ac:dyDescent="0.2">
      <c r="A3" s="309" t="str">
        <f>"Toimumiskoht: "&amp;(Kalend!H7)</f>
        <v>Toimumiskoht: Jüri, Laste 3</v>
      </c>
    </row>
    <row r="4" spans="1:11" x14ac:dyDescent="0.2">
      <c r="A4" s="309" t="str">
        <f>"Korraldaja: "&amp;(Kalend!I7)</f>
        <v>Korraldaja: SK Maestro Petanque</v>
      </c>
    </row>
    <row r="6" spans="1:11" x14ac:dyDescent="0.2">
      <c r="A6" s="855" t="s">
        <v>331</v>
      </c>
      <c r="B6" s="856"/>
      <c r="C6" s="77" t="s">
        <v>332</v>
      </c>
      <c r="D6" s="77" t="s">
        <v>333</v>
      </c>
      <c r="E6" s="77" t="s">
        <v>334</v>
      </c>
      <c r="F6" s="77" t="s">
        <v>335</v>
      </c>
      <c r="G6" s="77" t="s">
        <v>28</v>
      </c>
    </row>
    <row r="7" spans="1:11" x14ac:dyDescent="0.2">
      <c r="A7" s="76">
        <v>1</v>
      </c>
      <c r="B7" s="142" t="s">
        <v>377</v>
      </c>
      <c r="C7" s="78">
        <v>13</v>
      </c>
      <c r="D7" s="79">
        <v>4</v>
      </c>
      <c r="E7" s="79"/>
      <c r="F7" s="78">
        <v>13</v>
      </c>
      <c r="G7" s="236" t="s">
        <v>336</v>
      </c>
    </row>
    <row r="8" spans="1:11" x14ac:dyDescent="0.2">
      <c r="A8" s="76">
        <v>2</v>
      </c>
      <c r="B8" s="142" t="s">
        <v>378</v>
      </c>
      <c r="C8" s="79">
        <v>8</v>
      </c>
      <c r="D8" s="79"/>
      <c r="E8" s="78">
        <v>13</v>
      </c>
      <c r="F8" s="79">
        <v>11</v>
      </c>
      <c r="G8" s="236" t="s">
        <v>338</v>
      </c>
      <c r="K8" s="157"/>
    </row>
    <row r="9" spans="1:11" x14ac:dyDescent="0.2">
      <c r="A9" s="76">
        <v>3</v>
      </c>
      <c r="B9" s="142" t="s">
        <v>379</v>
      </c>
      <c r="C9" s="78">
        <v>13</v>
      </c>
      <c r="D9" s="78">
        <v>13</v>
      </c>
      <c r="E9" s="79"/>
      <c r="F9" s="79"/>
      <c r="G9" s="236" t="s">
        <v>337</v>
      </c>
    </row>
    <row r="10" spans="1:11" x14ac:dyDescent="0.2">
      <c r="A10" s="76">
        <v>4</v>
      </c>
      <c r="B10" s="254"/>
      <c r="C10" s="79">
        <v>0</v>
      </c>
      <c r="D10" s="79"/>
      <c r="E10" s="79">
        <v>0</v>
      </c>
      <c r="F10" s="79"/>
      <c r="G10" s="236"/>
    </row>
    <row r="11" spans="1:11" x14ac:dyDescent="0.2">
      <c r="A11" s="80"/>
      <c r="B11" s="81"/>
      <c r="C11" s="82"/>
      <c r="D11" s="82"/>
      <c r="E11" s="82"/>
      <c r="F11" s="83"/>
      <c r="G11" s="84"/>
    </row>
    <row r="12" spans="1:11" x14ac:dyDescent="0.2">
      <c r="A12" s="855" t="s">
        <v>339</v>
      </c>
      <c r="B12" s="856"/>
      <c r="C12" s="77" t="s">
        <v>332</v>
      </c>
      <c r="D12" s="77" t="s">
        <v>333</v>
      </c>
      <c r="E12" s="77" t="s">
        <v>334</v>
      </c>
      <c r="F12" s="77" t="s">
        <v>335</v>
      </c>
      <c r="G12" s="77" t="s">
        <v>28</v>
      </c>
    </row>
    <row r="13" spans="1:11" x14ac:dyDescent="0.2">
      <c r="A13" s="76">
        <v>1</v>
      </c>
      <c r="B13" s="142" t="s">
        <v>380</v>
      </c>
      <c r="C13" s="78">
        <v>13</v>
      </c>
      <c r="D13" s="79">
        <v>8</v>
      </c>
      <c r="E13" s="79"/>
      <c r="F13" s="79">
        <v>12</v>
      </c>
      <c r="G13" s="236" t="s">
        <v>338</v>
      </c>
    </row>
    <row r="14" spans="1:11" x14ac:dyDescent="0.2">
      <c r="A14" s="76">
        <v>2</v>
      </c>
      <c r="B14" s="142" t="s">
        <v>381</v>
      </c>
      <c r="C14" s="79">
        <v>10</v>
      </c>
      <c r="D14" s="79"/>
      <c r="E14" s="78">
        <v>13</v>
      </c>
      <c r="F14" s="78">
        <v>13</v>
      </c>
      <c r="G14" s="236" t="s">
        <v>336</v>
      </c>
    </row>
    <row r="15" spans="1:11" x14ac:dyDescent="0.2">
      <c r="A15" s="76">
        <v>3</v>
      </c>
      <c r="B15" s="142" t="s">
        <v>382</v>
      </c>
      <c r="C15" s="78">
        <v>13</v>
      </c>
      <c r="D15" s="78">
        <v>13</v>
      </c>
      <c r="E15" s="79"/>
      <c r="F15" s="79"/>
      <c r="G15" s="236" t="s">
        <v>337</v>
      </c>
    </row>
    <row r="16" spans="1:11" x14ac:dyDescent="0.2">
      <c r="A16" s="76">
        <v>4</v>
      </c>
      <c r="B16" s="272" t="s">
        <v>383</v>
      </c>
      <c r="C16" s="79">
        <v>11</v>
      </c>
      <c r="D16" s="79"/>
      <c r="E16" s="79">
        <v>9</v>
      </c>
      <c r="F16" s="79"/>
      <c r="G16" s="236" t="s">
        <v>398</v>
      </c>
    </row>
    <row r="17" spans="1:7" x14ac:dyDescent="0.2">
      <c r="A17" s="80"/>
      <c r="B17" s="81"/>
      <c r="C17" s="82"/>
      <c r="D17" s="82"/>
      <c r="E17" s="82"/>
      <c r="F17" s="83"/>
      <c r="G17" s="84"/>
    </row>
    <row r="18" spans="1:7" x14ac:dyDescent="0.2">
      <c r="A18" s="855" t="s">
        <v>341</v>
      </c>
      <c r="B18" s="856"/>
      <c r="C18" s="77" t="s">
        <v>332</v>
      </c>
      <c r="D18" s="77" t="s">
        <v>333</v>
      </c>
      <c r="E18" s="77" t="s">
        <v>334</v>
      </c>
      <c r="F18" s="77" t="s">
        <v>335</v>
      </c>
      <c r="G18" s="77" t="s">
        <v>28</v>
      </c>
    </row>
    <row r="19" spans="1:7" x14ac:dyDescent="0.2">
      <c r="A19" s="76">
        <v>1</v>
      </c>
      <c r="B19" s="144" t="s">
        <v>400</v>
      </c>
      <c r="C19" s="78">
        <v>13</v>
      </c>
      <c r="D19" s="78">
        <v>13</v>
      </c>
      <c r="E19" s="79"/>
      <c r="F19" s="79"/>
      <c r="G19" s="236" t="s">
        <v>337</v>
      </c>
    </row>
    <row r="20" spans="1:7" x14ac:dyDescent="0.2">
      <c r="A20" s="76">
        <v>2</v>
      </c>
      <c r="B20" s="142" t="s">
        <v>384</v>
      </c>
      <c r="C20" s="79">
        <v>12</v>
      </c>
      <c r="D20" s="79"/>
      <c r="E20" s="78">
        <v>13</v>
      </c>
      <c r="F20" s="78">
        <v>13</v>
      </c>
      <c r="G20" s="236" t="s">
        <v>336</v>
      </c>
    </row>
    <row r="21" spans="1:7" x14ac:dyDescent="0.2">
      <c r="A21" s="76">
        <v>3</v>
      </c>
      <c r="B21" s="145" t="s">
        <v>385</v>
      </c>
      <c r="C21" s="78">
        <v>13</v>
      </c>
      <c r="D21" s="79">
        <v>7</v>
      </c>
      <c r="E21" s="79"/>
      <c r="F21" s="79">
        <v>12</v>
      </c>
      <c r="G21" s="236" t="s">
        <v>338</v>
      </c>
    </row>
    <row r="22" spans="1:7" x14ac:dyDescent="0.2">
      <c r="A22" s="76">
        <v>4</v>
      </c>
      <c r="B22" s="254"/>
      <c r="C22" s="79">
        <v>0</v>
      </c>
      <c r="D22" s="79"/>
      <c r="E22" s="79">
        <v>0</v>
      </c>
      <c r="F22" s="79"/>
      <c r="G22" s="236"/>
    </row>
    <row r="23" spans="1:7" x14ac:dyDescent="0.2">
      <c r="A23" s="80"/>
      <c r="B23" s="81"/>
      <c r="C23" s="82"/>
      <c r="D23" s="82"/>
      <c r="E23" s="82"/>
      <c r="F23" s="83"/>
      <c r="G23" s="84"/>
    </row>
    <row r="24" spans="1:7" x14ac:dyDescent="0.2">
      <c r="A24" s="855" t="s">
        <v>375</v>
      </c>
      <c r="B24" s="856"/>
      <c r="C24" s="77" t="s">
        <v>332</v>
      </c>
      <c r="D24" s="77" t="s">
        <v>333</v>
      </c>
      <c r="E24" s="77" t="s">
        <v>334</v>
      </c>
      <c r="F24" s="77" t="s">
        <v>335</v>
      </c>
      <c r="G24" s="77" t="s">
        <v>28</v>
      </c>
    </row>
    <row r="25" spans="1:7" x14ac:dyDescent="0.2">
      <c r="A25" s="76">
        <v>1</v>
      </c>
      <c r="B25" s="144" t="s">
        <v>386</v>
      </c>
      <c r="C25" s="78">
        <v>13</v>
      </c>
      <c r="D25" s="79">
        <v>10</v>
      </c>
      <c r="E25" s="79"/>
      <c r="F25" s="78">
        <v>13</v>
      </c>
      <c r="G25" s="236" t="s">
        <v>336</v>
      </c>
    </row>
    <row r="26" spans="1:7" x14ac:dyDescent="0.2">
      <c r="A26" s="76">
        <v>2</v>
      </c>
      <c r="B26" s="142" t="s">
        <v>388</v>
      </c>
      <c r="C26" s="78">
        <v>13</v>
      </c>
      <c r="D26" s="78">
        <v>13</v>
      </c>
      <c r="E26" s="79"/>
      <c r="F26" s="79"/>
      <c r="G26" s="236" t="s">
        <v>337</v>
      </c>
    </row>
    <row r="27" spans="1:7" x14ac:dyDescent="0.2">
      <c r="A27" s="76">
        <v>3</v>
      </c>
      <c r="B27" s="142" t="s">
        <v>387</v>
      </c>
      <c r="C27" s="79">
        <v>6</v>
      </c>
      <c r="D27" s="79"/>
      <c r="E27" s="78">
        <v>13</v>
      </c>
      <c r="F27" s="79">
        <v>8</v>
      </c>
      <c r="G27" s="236" t="s">
        <v>338</v>
      </c>
    </row>
    <row r="28" spans="1:7" x14ac:dyDescent="0.2">
      <c r="A28" s="76">
        <v>4</v>
      </c>
      <c r="B28" s="254"/>
      <c r="C28" s="79">
        <v>0</v>
      </c>
      <c r="D28" s="79"/>
      <c r="E28" s="79">
        <v>0</v>
      </c>
      <c r="F28" s="79"/>
      <c r="G28" s="236"/>
    </row>
    <row r="30" spans="1:7" s="239" customFormat="1" x14ac:dyDescent="0.2">
      <c r="A30" s="119" t="s">
        <v>376</v>
      </c>
    </row>
    <row r="31" spans="1:7" s="239" customFormat="1" x14ac:dyDescent="0.2">
      <c r="A31" s="119"/>
    </row>
    <row r="32" spans="1:7" s="239" customFormat="1" x14ac:dyDescent="0.2">
      <c r="A32" s="120" t="s">
        <v>399</v>
      </c>
      <c r="B32" s="239" t="s">
        <v>388</v>
      </c>
      <c r="C32" s="146">
        <v>13</v>
      </c>
    </row>
    <row r="33" spans="1:11" s="239" customFormat="1" x14ac:dyDescent="0.2">
      <c r="B33" s="122"/>
      <c r="C33" s="151" t="s">
        <v>388</v>
      </c>
      <c r="D33" s="248"/>
      <c r="F33" s="121">
        <v>5</v>
      </c>
    </row>
    <row r="34" spans="1:11" s="239" customFormat="1" x14ac:dyDescent="0.2">
      <c r="A34" s="120" t="s">
        <v>354</v>
      </c>
      <c r="B34" s="249" t="s">
        <v>384</v>
      </c>
      <c r="C34" s="131">
        <v>4</v>
      </c>
      <c r="E34" s="123"/>
    </row>
    <row r="35" spans="1:11" s="239" customFormat="1" x14ac:dyDescent="0.2">
      <c r="D35" s="124"/>
      <c r="E35" s="125"/>
      <c r="F35" s="239" t="s">
        <v>381</v>
      </c>
      <c r="I35" s="121">
        <v>1</v>
      </c>
    </row>
    <row r="36" spans="1:11" s="239" customFormat="1" x14ac:dyDescent="0.2">
      <c r="A36" s="120" t="s">
        <v>360</v>
      </c>
      <c r="B36" s="245" t="s">
        <v>379</v>
      </c>
      <c r="C36" s="126">
        <v>7</v>
      </c>
      <c r="E36" s="125"/>
      <c r="F36" s="122"/>
      <c r="G36" s="122"/>
      <c r="H36" s="123"/>
    </row>
    <row r="37" spans="1:11" s="239" customFormat="1" x14ac:dyDescent="0.2">
      <c r="B37" s="122"/>
      <c r="C37" s="148" t="s">
        <v>381</v>
      </c>
      <c r="E37" s="127"/>
      <c r="F37" s="147">
        <v>13</v>
      </c>
      <c r="G37" s="124"/>
      <c r="H37" s="125"/>
    </row>
    <row r="38" spans="1:11" s="239" customFormat="1" x14ac:dyDescent="0.2">
      <c r="A38" s="120" t="s">
        <v>355</v>
      </c>
      <c r="B38" s="249" t="s">
        <v>381</v>
      </c>
      <c r="C38" s="149">
        <v>13</v>
      </c>
      <c r="D38" s="122"/>
      <c r="F38" s="124"/>
      <c r="G38" s="124"/>
      <c r="H38" s="125"/>
    </row>
    <row r="39" spans="1:11" s="239" customFormat="1" ht="13.5" thickBot="1" x14ac:dyDescent="0.25">
      <c r="F39" s="124"/>
      <c r="G39" s="124"/>
      <c r="H39" s="125"/>
      <c r="J39" s="243" t="s">
        <v>400</v>
      </c>
    </row>
    <row r="40" spans="1:11" s="239" customFormat="1" x14ac:dyDescent="0.2">
      <c r="A40" s="120" t="s">
        <v>356</v>
      </c>
      <c r="B40" s="239" t="s">
        <v>382</v>
      </c>
      <c r="C40" s="121">
        <v>4</v>
      </c>
      <c r="F40" s="124"/>
      <c r="G40" s="124"/>
      <c r="H40" s="125"/>
      <c r="I40" s="128"/>
      <c r="J40" s="129" t="s">
        <v>357</v>
      </c>
      <c r="K40" s="130"/>
    </row>
    <row r="41" spans="1:11" s="239" customFormat="1" x14ac:dyDescent="0.2">
      <c r="B41" s="122"/>
      <c r="C41" s="151" t="s">
        <v>377</v>
      </c>
      <c r="D41" s="248"/>
      <c r="F41" s="126">
        <v>0</v>
      </c>
      <c r="G41" s="124"/>
      <c r="H41" s="125"/>
    </row>
    <row r="42" spans="1:11" s="239" customFormat="1" ht="13.5" thickBot="1" x14ac:dyDescent="0.25">
      <c r="A42" s="120" t="s">
        <v>358</v>
      </c>
      <c r="B42" s="248" t="s">
        <v>377</v>
      </c>
      <c r="C42" s="150">
        <v>13</v>
      </c>
      <c r="E42" s="123"/>
      <c r="F42" s="124"/>
      <c r="G42" s="124"/>
      <c r="H42" s="125"/>
      <c r="J42" s="247" t="s">
        <v>381</v>
      </c>
      <c r="K42" s="247"/>
    </row>
    <row r="43" spans="1:11" s="239" customFormat="1" x14ac:dyDescent="0.2">
      <c r="D43" s="124"/>
      <c r="E43" s="125"/>
      <c r="F43" s="248" t="s">
        <v>400</v>
      </c>
      <c r="G43" s="248"/>
      <c r="H43" s="127"/>
      <c r="I43" s="146">
        <v>13</v>
      </c>
      <c r="J43" s="129" t="s">
        <v>359</v>
      </c>
    </row>
    <row r="44" spans="1:11" s="239" customFormat="1" x14ac:dyDescent="0.2">
      <c r="A44" s="120" t="s">
        <v>353</v>
      </c>
      <c r="B44" s="239" t="s">
        <v>400</v>
      </c>
      <c r="C44" s="147">
        <v>13</v>
      </c>
      <c r="E44" s="125"/>
    </row>
    <row r="45" spans="1:11" s="239" customFormat="1" x14ac:dyDescent="0.2">
      <c r="B45" s="122"/>
      <c r="C45" s="148" t="s">
        <v>400</v>
      </c>
      <c r="E45" s="127"/>
      <c r="F45" s="146">
        <v>13</v>
      </c>
    </row>
    <row r="46" spans="1:11" s="239" customFormat="1" x14ac:dyDescent="0.2">
      <c r="A46" s="120" t="s">
        <v>401</v>
      </c>
      <c r="B46" s="248" t="s">
        <v>386</v>
      </c>
      <c r="C46" s="132">
        <v>7</v>
      </c>
      <c r="D46" s="122"/>
    </row>
    <row r="47" spans="1:11" s="239" customFormat="1" x14ac:dyDescent="0.2">
      <c r="F47" s="239" t="s">
        <v>388</v>
      </c>
      <c r="I47" s="147">
        <v>13</v>
      </c>
      <c r="J47" s="124"/>
      <c r="K47" s="124"/>
    </row>
    <row r="48" spans="1:11" s="239" customFormat="1" ht="13.5" thickBot="1" x14ac:dyDescent="0.25">
      <c r="F48" s="122"/>
      <c r="G48" s="122"/>
      <c r="H48" s="123"/>
      <c r="I48" s="247"/>
      <c r="J48" s="247" t="s">
        <v>388</v>
      </c>
      <c r="K48" s="247"/>
    </row>
    <row r="49" spans="3:11" s="239" customFormat="1" x14ac:dyDescent="0.2">
      <c r="F49" s="248" t="s">
        <v>377</v>
      </c>
      <c r="G49" s="248"/>
      <c r="H49" s="127"/>
      <c r="I49" s="121">
        <v>12</v>
      </c>
      <c r="J49" s="133" t="s">
        <v>361</v>
      </c>
      <c r="K49" s="124"/>
    </row>
    <row r="50" spans="3:11" s="239" customFormat="1" x14ac:dyDescent="0.2">
      <c r="J50" s="124"/>
      <c r="K50" s="124"/>
    </row>
    <row r="51" spans="3:11" s="239" customFormat="1" ht="13.5" thickBot="1" x14ac:dyDescent="0.25">
      <c r="G51" s="124"/>
      <c r="H51" s="124"/>
      <c r="J51" s="247" t="s">
        <v>377</v>
      </c>
      <c r="K51" s="247"/>
    </row>
    <row r="52" spans="3:11" s="239" customFormat="1" x14ac:dyDescent="0.2">
      <c r="C52" s="239" t="s">
        <v>384</v>
      </c>
      <c r="F52" s="121">
        <v>11</v>
      </c>
      <c r="J52" s="120" t="s">
        <v>362</v>
      </c>
    </row>
    <row r="53" spans="3:11" s="239" customFormat="1" x14ac:dyDescent="0.2">
      <c r="C53" s="122"/>
      <c r="D53" s="122"/>
      <c r="E53" s="123"/>
      <c r="F53" s="151" t="s">
        <v>379</v>
      </c>
      <c r="G53" s="248"/>
      <c r="H53" s="248"/>
      <c r="I53" s="121">
        <v>0</v>
      </c>
    </row>
    <row r="54" spans="3:11" s="239" customFormat="1" x14ac:dyDescent="0.2">
      <c r="C54" s="248" t="s">
        <v>379</v>
      </c>
      <c r="D54" s="248"/>
      <c r="E54" s="127"/>
      <c r="F54" s="150">
        <v>13</v>
      </c>
      <c r="H54" s="125"/>
    </row>
    <row r="55" spans="3:11" s="239" customFormat="1" ht="13.5" thickBot="1" x14ac:dyDescent="0.25">
      <c r="F55" s="124"/>
      <c r="H55" s="125"/>
      <c r="J55" s="239" t="s">
        <v>382</v>
      </c>
    </row>
    <row r="56" spans="3:11" s="239" customFormat="1" x14ac:dyDescent="0.2">
      <c r="C56" s="239" t="s">
        <v>382</v>
      </c>
      <c r="F56" s="147">
        <v>13</v>
      </c>
      <c r="H56" s="125"/>
      <c r="I56" s="128"/>
      <c r="J56" s="129" t="s">
        <v>363</v>
      </c>
      <c r="K56" s="130"/>
    </row>
    <row r="57" spans="3:11" s="239" customFormat="1" x14ac:dyDescent="0.2">
      <c r="C57" s="122"/>
      <c r="D57" s="122"/>
      <c r="E57" s="123"/>
      <c r="F57" s="148" t="s">
        <v>382</v>
      </c>
      <c r="H57" s="127"/>
      <c r="I57" s="147">
        <v>13</v>
      </c>
    </row>
    <row r="58" spans="3:11" s="239" customFormat="1" ht="13.5" thickBot="1" x14ac:dyDescent="0.25">
      <c r="C58" s="248" t="s">
        <v>386</v>
      </c>
      <c r="D58" s="248"/>
      <c r="E58" s="127"/>
      <c r="F58" s="132">
        <v>0</v>
      </c>
      <c r="G58" s="122"/>
      <c r="I58" s="124"/>
      <c r="J58" s="124" t="s">
        <v>379</v>
      </c>
      <c r="K58" s="247"/>
    </row>
    <row r="59" spans="3:11" s="239" customFormat="1" x14ac:dyDescent="0.2">
      <c r="I59" s="124"/>
      <c r="J59" s="129" t="s">
        <v>364</v>
      </c>
      <c r="K59" s="124"/>
    </row>
    <row r="60" spans="3:11" s="239" customFormat="1" x14ac:dyDescent="0.2">
      <c r="F60" s="239" t="s">
        <v>384</v>
      </c>
      <c r="I60" s="147">
        <v>13</v>
      </c>
      <c r="J60" s="124"/>
      <c r="K60" s="124"/>
    </row>
    <row r="61" spans="3:11" s="239" customFormat="1" ht="13.5" thickBot="1" x14ac:dyDescent="0.25">
      <c r="F61" s="122"/>
      <c r="G61" s="122"/>
      <c r="H61" s="123"/>
      <c r="I61" s="247"/>
      <c r="J61" s="247" t="s">
        <v>384</v>
      </c>
      <c r="K61" s="247"/>
    </row>
    <row r="62" spans="3:11" s="239" customFormat="1" x14ac:dyDescent="0.2">
      <c r="F62" s="248" t="s">
        <v>386</v>
      </c>
      <c r="G62" s="248"/>
      <c r="H62" s="127"/>
      <c r="I62" s="121">
        <v>11</v>
      </c>
      <c r="J62" s="133" t="s">
        <v>369</v>
      </c>
      <c r="K62" s="124"/>
    </row>
    <row r="63" spans="3:11" s="239" customFormat="1" x14ac:dyDescent="0.2">
      <c r="J63" s="124"/>
      <c r="K63" s="124"/>
    </row>
    <row r="64" spans="3:11" s="239" customFormat="1" ht="13.5" thickBot="1" x14ac:dyDescent="0.25">
      <c r="G64" s="124"/>
      <c r="H64" s="124"/>
      <c r="J64" s="247" t="s">
        <v>386</v>
      </c>
      <c r="K64" s="247"/>
    </row>
    <row r="65" spans="1:11" s="239" customFormat="1" x14ac:dyDescent="0.2">
      <c r="G65" s="124"/>
      <c r="H65" s="124"/>
      <c r="J65" s="120" t="s">
        <v>370</v>
      </c>
    </row>
    <row r="66" spans="1:11" s="239" customFormat="1" x14ac:dyDescent="0.2">
      <c r="G66" s="124"/>
      <c r="H66" s="124"/>
      <c r="J66" s="120"/>
    </row>
    <row r="67" spans="1:11" s="239" customFormat="1" x14ac:dyDescent="0.2">
      <c r="A67" s="119" t="s">
        <v>389</v>
      </c>
    </row>
    <row r="68" spans="1:11" s="239" customFormat="1" x14ac:dyDescent="0.2">
      <c r="A68" s="119"/>
    </row>
    <row r="69" spans="1:11" s="239" customFormat="1" x14ac:dyDescent="0.2">
      <c r="A69" s="120" t="s">
        <v>405</v>
      </c>
      <c r="B69" s="239" t="s">
        <v>378</v>
      </c>
      <c r="C69" s="146">
        <v>13</v>
      </c>
    </row>
    <row r="70" spans="1:11" s="239" customFormat="1" x14ac:dyDescent="0.2">
      <c r="B70" s="122"/>
      <c r="C70" s="151" t="s">
        <v>378</v>
      </c>
      <c r="D70" s="248"/>
      <c r="F70" s="121">
        <v>1</v>
      </c>
    </row>
    <row r="71" spans="1:11" s="239" customFormat="1" x14ac:dyDescent="0.2">
      <c r="A71" s="120" t="s">
        <v>408</v>
      </c>
      <c r="B71" s="249" t="s">
        <v>352</v>
      </c>
      <c r="C71" s="131">
        <v>0</v>
      </c>
      <c r="E71" s="123"/>
    </row>
    <row r="72" spans="1:11" s="239" customFormat="1" x14ac:dyDescent="0.2">
      <c r="D72" s="124"/>
      <c r="E72" s="125"/>
      <c r="F72" s="239" t="s">
        <v>380</v>
      </c>
      <c r="I72" s="146">
        <v>13</v>
      </c>
    </row>
    <row r="73" spans="1:11" s="239" customFormat="1" x14ac:dyDescent="0.2">
      <c r="A73" s="120" t="s">
        <v>406</v>
      </c>
      <c r="B73" s="245" t="s">
        <v>380</v>
      </c>
      <c r="C73" s="147">
        <v>13</v>
      </c>
      <c r="E73" s="125"/>
      <c r="F73" s="122"/>
      <c r="G73" s="122"/>
      <c r="H73" s="123"/>
    </row>
    <row r="74" spans="1:11" s="239" customFormat="1" x14ac:dyDescent="0.2">
      <c r="B74" s="122"/>
      <c r="C74" s="148" t="s">
        <v>380</v>
      </c>
      <c r="E74" s="127"/>
      <c r="F74" s="147">
        <v>13</v>
      </c>
      <c r="G74" s="124"/>
      <c r="H74" s="125"/>
    </row>
    <row r="75" spans="1:11" s="239" customFormat="1" x14ac:dyDescent="0.2">
      <c r="A75" s="120" t="s">
        <v>409</v>
      </c>
      <c r="B75" s="249" t="s">
        <v>352</v>
      </c>
      <c r="C75" s="132">
        <v>0</v>
      </c>
      <c r="D75" s="122"/>
      <c r="F75" s="124"/>
      <c r="G75" s="124"/>
      <c r="H75" s="125"/>
    </row>
    <row r="76" spans="1:11" s="239" customFormat="1" ht="13.5" thickBot="1" x14ac:dyDescent="0.25">
      <c r="F76" s="124"/>
      <c r="G76" s="124"/>
      <c r="H76" s="125"/>
      <c r="J76" s="239" t="s">
        <v>380</v>
      </c>
    </row>
    <row r="77" spans="1:11" s="239" customFormat="1" x14ac:dyDescent="0.2">
      <c r="A77" s="120" t="s">
        <v>402</v>
      </c>
      <c r="B77" s="239" t="s">
        <v>385</v>
      </c>
      <c r="C77" s="146">
        <v>13</v>
      </c>
      <c r="F77" s="124"/>
      <c r="G77" s="124"/>
      <c r="H77" s="125"/>
      <c r="I77" s="128"/>
      <c r="J77" s="129" t="s">
        <v>374</v>
      </c>
      <c r="K77" s="130"/>
    </row>
    <row r="78" spans="1:11" s="239" customFormat="1" x14ac:dyDescent="0.2">
      <c r="B78" s="122"/>
      <c r="C78" s="151" t="s">
        <v>385</v>
      </c>
      <c r="D78" s="248"/>
      <c r="F78" s="126">
        <v>5</v>
      </c>
      <c r="G78" s="124"/>
      <c r="H78" s="125"/>
    </row>
    <row r="79" spans="1:11" s="239" customFormat="1" ht="13.5" thickBot="1" x14ac:dyDescent="0.25">
      <c r="A79" s="120" t="s">
        <v>403</v>
      </c>
      <c r="B79" s="248" t="s">
        <v>383</v>
      </c>
      <c r="C79" s="131">
        <v>3</v>
      </c>
      <c r="E79" s="123"/>
      <c r="F79" s="124"/>
      <c r="G79" s="124"/>
      <c r="H79" s="125"/>
      <c r="J79" s="247" t="s">
        <v>387</v>
      </c>
      <c r="K79" s="247"/>
    </row>
    <row r="80" spans="1:11" s="239" customFormat="1" x14ac:dyDescent="0.2">
      <c r="D80" s="124"/>
      <c r="E80" s="125"/>
      <c r="F80" s="248" t="s">
        <v>387</v>
      </c>
      <c r="G80" s="248"/>
      <c r="H80" s="127"/>
      <c r="I80" s="121">
        <v>8</v>
      </c>
      <c r="J80" s="129" t="s">
        <v>390</v>
      </c>
    </row>
    <row r="81" spans="1:11" s="239" customFormat="1" x14ac:dyDescent="0.2">
      <c r="A81" s="120" t="s">
        <v>404</v>
      </c>
      <c r="B81" s="239" t="s">
        <v>387</v>
      </c>
      <c r="C81" s="147">
        <v>13</v>
      </c>
      <c r="E81" s="125"/>
    </row>
    <row r="82" spans="1:11" s="239" customFormat="1" x14ac:dyDescent="0.2">
      <c r="B82" s="122"/>
      <c r="C82" s="148" t="s">
        <v>387</v>
      </c>
      <c r="E82" s="127"/>
      <c r="F82" s="146">
        <v>13</v>
      </c>
    </row>
    <row r="83" spans="1:11" s="239" customFormat="1" x14ac:dyDescent="0.2">
      <c r="A83" s="120" t="s">
        <v>407</v>
      </c>
      <c r="B83" s="248" t="s">
        <v>352</v>
      </c>
      <c r="C83" s="132">
        <v>0</v>
      </c>
      <c r="D83" s="122"/>
    </row>
    <row r="84" spans="1:11" s="239" customFormat="1" x14ac:dyDescent="0.2">
      <c r="F84" s="239" t="s">
        <v>378</v>
      </c>
      <c r="I84" s="147">
        <v>13</v>
      </c>
      <c r="J84" s="124"/>
      <c r="K84" s="124"/>
    </row>
    <row r="85" spans="1:11" s="239" customFormat="1" ht="13.5" thickBot="1" x14ac:dyDescent="0.25">
      <c r="F85" s="122"/>
      <c r="G85" s="122"/>
      <c r="H85" s="123"/>
      <c r="I85" s="247"/>
      <c r="J85" s="247" t="s">
        <v>378</v>
      </c>
      <c r="K85" s="247"/>
    </row>
    <row r="86" spans="1:11" s="239" customFormat="1" x14ac:dyDescent="0.2">
      <c r="F86" s="248" t="s">
        <v>385</v>
      </c>
      <c r="G86" s="248"/>
      <c r="H86" s="127"/>
      <c r="I86" s="121">
        <v>5</v>
      </c>
      <c r="J86" s="133" t="s">
        <v>391</v>
      </c>
      <c r="K86" s="124"/>
    </row>
    <row r="87" spans="1:11" s="239" customFormat="1" x14ac:dyDescent="0.2">
      <c r="J87" s="124"/>
      <c r="K87" s="124"/>
    </row>
    <row r="88" spans="1:11" s="239" customFormat="1" ht="13.5" thickBot="1" x14ac:dyDescent="0.25">
      <c r="G88" s="124"/>
      <c r="H88" s="124"/>
      <c r="J88" s="247" t="s">
        <v>385</v>
      </c>
      <c r="K88" s="247"/>
    </row>
    <row r="89" spans="1:11" s="239" customFormat="1" x14ac:dyDescent="0.2">
      <c r="C89" s="239" t="s">
        <v>352</v>
      </c>
      <c r="F89" s="121"/>
      <c r="J89" s="120" t="s">
        <v>392</v>
      </c>
    </row>
    <row r="90" spans="1:11" s="239" customFormat="1" x14ac:dyDescent="0.2">
      <c r="C90" s="122"/>
      <c r="D90" s="122"/>
      <c r="E90" s="123"/>
      <c r="F90" s="151" t="s">
        <v>352</v>
      </c>
      <c r="G90" s="248"/>
      <c r="H90" s="248"/>
      <c r="I90" s="121">
        <v>0</v>
      </c>
    </row>
    <row r="91" spans="1:11" s="239" customFormat="1" x14ac:dyDescent="0.2">
      <c r="C91" s="248" t="s">
        <v>352</v>
      </c>
      <c r="D91" s="248"/>
      <c r="E91" s="127"/>
      <c r="F91" s="131"/>
      <c r="H91" s="125"/>
    </row>
    <row r="92" spans="1:11" s="239" customFormat="1" ht="13.5" thickBot="1" x14ac:dyDescent="0.25">
      <c r="F92" s="124"/>
      <c r="H92" s="125"/>
      <c r="J92" s="239" t="s">
        <v>383</v>
      </c>
    </row>
    <row r="93" spans="1:11" s="239" customFormat="1" x14ac:dyDescent="0.2">
      <c r="C93" s="239" t="s">
        <v>383</v>
      </c>
      <c r="F93" s="147">
        <v>13</v>
      </c>
      <c r="H93" s="125"/>
      <c r="I93" s="128"/>
      <c r="J93" s="129" t="s">
        <v>393</v>
      </c>
      <c r="K93" s="130"/>
    </row>
    <row r="94" spans="1:11" s="239" customFormat="1" x14ac:dyDescent="0.2">
      <c r="C94" s="122"/>
      <c r="D94" s="122"/>
      <c r="E94" s="123"/>
      <c r="F94" s="148" t="s">
        <v>383</v>
      </c>
      <c r="H94" s="127"/>
      <c r="I94" s="147">
        <v>13</v>
      </c>
    </row>
    <row r="95" spans="1:11" s="239" customFormat="1" x14ac:dyDescent="0.2">
      <c r="C95" s="248" t="s">
        <v>352</v>
      </c>
      <c r="D95" s="248"/>
      <c r="E95" s="127"/>
      <c r="F95" s="132">
        <v>0</v>
      </c>
      <c r="G95" s="122"/>
      <c r="I95" s="124"/>
      <c r="J95" s="124"/>
      <c r="K95" s="124"/>
    </row>
    <row r="96" spans="1:11" s="239" customFormat="1" x14ac:dyDescent="0.2">
      <c r="J96" s="124"/>
      <c r="K96" s="124"/>
    </row>
    <row r="97" spans="1:2" s="252" customFormat="1" x14ac:dyDescent="0.2">
      <c r="A97" s="134">
        <v>1</v>
      </c>
      <c r="B97" s="135" t="s">
        <v>400</v>
      </c>
    </row>
    <row r="98" spans="1:2" s="252" customFormat="1" x14ac:dyDescent="0.2">
      <c r="A98" s="134">
        <v>2</v>
      </c>
      <c r="B98" s="136" t="s">
        <v>381</v>
      </c>
    </row>
    <row r="99" spans="1:2" s="252" customFormat="1" x14ac:dyDescent="0.2">
      <c r="A99" s="134">
        <v>3</v>
      </c>
      <c r="B99" s="143" t="s">
        <v>388</v>
      </c>
    </row>
    <row r="100" spans="1:2" s="252" customFormat="1" x14ac:dyDescent="0.2">
      <c r="A100" s="134">
        <v>4</v>
      </c>
      <c r="B100" s="137" t="s">
        <v>377</v>
      </c>
    </row>
    <row r="101" spans="1:2" s="252" customFormat="1" x14ac:dyDescent="0.2">
      <c r="A101" s="134">
        <v>5</v>
      </c>
      <c r="B101" s="137" t="s">
        <v>382</v>
      </c>
    </row>
    <row r="102" spans="1:2" s="252" customFormat="1" x14ac:dyDescent="0.2">
      <c r="A102" s="134">
        <v>6</v>
      </c>
      <c r="B102" s="137" t="s">
        <v>379</v>
      </c>
    </row>
    <row r="103" spans="1:2" s="252" customFormat="1" x14ac:dyDescent="0.2">
      <c r="A103" s="134">
        <v>7</v>
      </c>
      <c r="B103" s="137" t="s">
        <v>384</v>
      </c>
    </row>
    <row r="104" spans="1:2" s="252" customFormat="1" x14ac:dyDescent="0.2">
      <c r="A104" s="134">
        <v>8</v>
      </c>
      <c r="B104" s="137" t="s">
        <v>386</v>
      </c>
    </row>
    <row r="105" spans="1:2" s="252" customFormat="1" x14ac:dyDescent="0.2">
      <c r="A105" s="134">
        <v>9</v>
      </c>
      <c r="B105" s="142" t="s">
        <v>380</v>
      </c>
    </row>
    <row r="106" spans="1:2" s="252" customFormat="1" x14ac:dyDescent="0.2">
      <c r="A106" s="134">
        <v>10</v>
      </c>
      <c r="B106" s="142" t="s">
        <v>387</v>
      </c>
    </row>
    <row r="107" spans="1:2" s="252" customFormat="1" x14ac:dyDescent="0.2">
      <c r="A107" s="134">
        <v>11</v>
      </c>
      <c r="B107" s="144" t="s">
        <v>378</v>
      </c>
    </row>
    <row r="108" spans="1:2" s="252" customFormat="1" x14ac:dyDescent="0.2">
      <c r="A108" s="134">
        <v>12</v>
      </c>
      <c r="B108" s="142" t="s">
        <v>385</v>
      </c>
    </row>
    <row r="109" spans="1:2" s="252" customFormat="1" x14ac:dyDescent="0.2">
      <c r="A109" s="134">
        <v>13</v>
      </c>
      <c r="B109" s="138" t="s">
        <v>383</v>
      </c>
    </row>
  </sheetData>
  <pageMargins left="0.78740157480314965" right="0.39370078740157483" top="0.78740157480314965" bottom="0.39370078740157483" header="0.59055118110236227" footer="0"/>
  <pageSetup paperSize="9" fitToHeight="0" orientation="landscape" r:id="rId1"/>
  <headerFooter>
    <oddHeader>&amp;RPage &amp;P of &amp;N</oddHeader>
  </headerFooter>
  <rowBreaks count="3" manualBreakCount="3">
    <brk id="28" max="16383" man="1"/>
    <brk id="65" max="16383" man="1"/>
    <brk id="9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1"/>
  <sheetViews>
    <sheetView showGridLines="0" showRowColHeaders="0" zoomScaleNormal="100" workbookViewId="0">
      <pane ySplit="2" topLeftCell="A3" activePane="bottomLeft" state="frozen"/>
      <selection pane="bottomLeft" activeCell="H1" sqref="H1"/>
    </sheetView>
  </sheetViews>
  <sheetFormatPr defaultRowHeight="12.75" x14ac:dyDescent="0.2"/>
  <cols>
    <col min="1" max="1" width="3.28515625" style="528" customWidth="1"/>
    <col min="2" max="2" width="48.7109375" style="528" bestFit="1" customWidth="1"/>
    <col min="3" max="6" width="5.7109375" style="528" customWidth="1"/>
    <col min="7" max="7" width="3.7109375" style="528" customWidth="1"/>
    <col min="8" max="9" width="5.7109375" style="528" customWidth="1"/>
    <col min="10" max="10" width="3.140625" style="528" bestFit="1" customWidth="1"/>
    <col min="11" max="16384" width="9.140625" style="528"/>
  </cols>
  <sheetData>
    <row r="1" spans="1:8" x14ac:dyDescent="0.2">
      <c r="A1" s="314" t="str">
        <f>UPPER((Kalend!E8)&amp;" - "&amp;(Kalend!C8)&amp;" - "&amp;(Kalend!D8))</f>
        <v>KV-1 - EM KATSEVÕISTLUS - NAISED - 1. ETAPP - TRIO</v>
      </c>
      <c r="F1" s="204" t="str">
        <f>HYPERLINK("#Üldreiting!I1","Reiting")</f>
        <v>Reiting</v>
      </c>
    </row>
    <row r="2" spans="1:8" x14ac:dyDescent="0.2">
      <c r="A2" s="309" t="str">
        <f>"Toimumisaeg: "&amp;(Kalend!A8)&amp;" kell "&amp;(Kalend!B8)</f>
        <v>Toimumisaeg: L, 14.05.2016 kell 11:00</v>
      </c>
    </row>
    <row r="3" spans="1:8" x14ac:dyDescent="0.2">
      <c r="A3" s="309" t="str">
        <f>"Toimumiskoht: "&amp;(Kalend!H8)</f>
        <v>Toimumiskoht: Tallinn, Linnu tee / petangihall</v>
      </c>
    </row>
    <row r="4" spans="1:8" x14ac:dyDescent="0.2">
      <c r="A4" s="309" t="str">
        <f>"Korraldaja: "&amp;(Kalend!I8)</f>
        <v>Korraldaja: EPKL</v>
      </c>
    </row>
    <row r="5" spans="1:8" x14ac:dyDescent="0.2">
      <c r="B5" s="280"/>
    </row>
    <row r="6" spans="1:8" x14ac:dyDescent="0.2">
      <c r="A6" s="167" t="s">
        <v>433</v>
      </c>
      <c r="B6" s="280"/>
    </row>
    <row r="7" spans="1:8" x14ac:dyDescent="0.2">
      <c r="B7" s="280"/>
    </row>
    <row r="8" spans="1:8" x14ac:dyDescent="0.2">
      <c r="A8" s="629"/>
      <c r="B8" s="962"/>
      <c r="C8" s="961">
        <v>1</v>
      </c>
      <c r="D8" s="961">
        <v>2</v>
      </c>
      <c r="E8" s="961">
        <v>3</v>
      </c>
      <c r="F8" s="678" t="s">
        <v>366</v>
      </c>
    </row>
    <row r="9" spans="1:8" x14ac:dyDescent="0.2">
      <c r="A9" s="677">
        <v>1</v>
      </c>
      <c r="B9" s="633" t="s">
        <v>1181</v>
      </c>
      <c r="C9" s="679"/>
      <c r="D9" s="965">
        <v>13</v>
      </c>
      <c r="E9" s="965">
        <v>13</v>
      </c>
      <c r="F9" s="680" t="s">
        <v>1176</v>
      </c>
    </row>
    <row r="10" spans="1:8" x14ac:dyDescent="0.2">
      <c r="A10" s="677">
        <v>2</v>
      </c>
      <c r="B10" s="633" t="s">
        <v>347</v>
      </c>
      <c r="C10" s="965">
        <v>9</v>
      </c>
      <c r="D10" s="679"/>
      <c r="E10" s="965">
        <v>9</v>
      </c>
      <c r="F10" s="680" t="s">
        <v>1175</v>
      </c>
    </row>
    <row r="11" spans="1:8" x14ac:dyDescent="0.2">
      <c r="A11" s="677">
        <v>3</v>
      </c>
      <c r="B11" s="633" t="s">
        <v>343</v>
      </c>
      <c r="C11" s="965">
        <v>3</v>
      </c>
      <c r="D11" s="965">
        <v>13</v>
      </c>
      <c r="E11" s="679"/>
      <c r="F11" s="1011" t="s">
        <v>368</v>
      </c>
    </row>
    <row r="12" spans="1:8" x14ac:dyDescent="0.2">
      <c r="B12" s="967"/>
    </row>
    <row r="13" spans="1:8" x14ac:dyDescent="0.2">
      <c r="B13" s="967"/>
    </row>
    <row r="14" spans="1:8" x14ac:dyDescent="0.2">
      <c r="A14" s="629"/>
      <c r="B14" s="633"/>
      <c r="C14" s="961">
        <v>1</v>
      </c>
      <c r="D14" s="961">
        <v>2</v>
      </c>
      <c r="E14" s="961">
        <v>3</v>
      </c>
      <c r="F14" s="678" t="s">
        <v>366</v>
      </c>
      <c r="H14" s="964" t="s">
        <v>30</v>
      </c>
    </row>
    <row r="15" spans="1:8" x14ac:dyDescent="0.2">
      <c r="A15" s="677">
        <v>1</v>
      </c>
      <c r="B15" s="633" t="s">
        <v>1181</v>
      </c>
      <c r="C15" s="679"/>
      <c r="D15" s="965">
        <v>6</v>
      </c>
      <c r="E15" s="965">
        <v>13</v>
      </c>
      <c r="F15" s="1011" t="s">
        <v>368</v>
      </c>
      <c r="H15" s="966" t="s">
        <v>1177</v>
      </c>
    </row>
    <row r="16" spans="1:8" x14ac:dyDescent="0.2">
      <c r="A16" s="677">
        <v>2</v>
      </c>
      <c r="B16" s="633" t="s">
        <v>347</v>
      </c>
      <c r="C16" s="965">
        <v>13</v>
      </c>
      <c r="D16" s="679"/>
      <c r="E16" s="965">
        <v>13</v>
      </c>
      <c r="F16" s="680" t="s">
        <v>1176</v>
      </c>
      <c r="H16" s="966" t="s">
        <v>1172</v>
      </c>
    </row>
    <row r="17" spans="1:8" x14ac:dyDescent="0.2">
      <c r="A17" s="677">
        <v>3</v>
      </c>
      <c r="B17" s="633" t="s">
        <v>343</v>
      </c>
      <c r="C17" s="965">
        <v>11</v>
      </c>
      <c r="D17" s="965">
        <v>2</v>
      </c>
      <c r="E17" s="679"/>
      <c r="F17" s="680" t="s">
        <v>1175</v>
      </c>
      <c r="H17" s="966" t="s">
        <v>921</v>
      </c>
    </row>
    <row r="18" spans="1:8" x14ac:dyDescent="0.2">
      <c r="B18" s="280"/>
    </row>
    <row r="19" spans="1:8" x14ac:dyDescent="0.2">
      <c r="B19" s="963" t="s">
        <v>641</v>
      </c>
      <c r="C19" s="964" t="s">
        <v>1174</v>
      </c>
    </row>
    <row r="20" spans="1:8" x14ac:dyDescent="0.2">
      <c r="B20" s="963" t="s">
        <v>642</v>
      </c>
      <c r="C20" s="964" t="s">
        <v>1173</v>
      </c>
    </row>
    <row r="21" spans="1:8" x14ac:dyDescent="0.2">
      <c r="B21" s="963" t="s">
        <v>643</v>
      </c>
      <c r="C21" s="964" t="s">
        <v>1178</v>
      </c>
    </row>
  </sheetData>
  <conditionalFormatting sqref="C5:G21">
    <cfRule type="cellIs" dxfId="255"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O187"/>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3.28515625" style="259" customWidth="1"/>
    <col min="2" max="2" width="15.28515625" style="259" bestFit="1" customWidth="1"/>
    <col min="3" max="3" width="7.28515625" style="259" bestFit="1" customWidth="1"/>
    <col min="4" max="4" width="7.42578125" style="259" bestFit="1" customWidth="1"/>
    <col min="5" max="5" width="9.140625" style="259"/>
    <col min="6" max="6" width="6.7109375" style="259" bestFit="1" customWidth="1"/>
    <col min="7" max="7" width="5.140625" style="259" bestFit="1" customWidth="1"/>
    <col min="8" max="8" width="9.140625" style="259"/>
    <col min="9" max="9" width="3.28515625" style="259" customWidth="1"/>
    <col min="10" max="10" width="15.28515625" style="259" customWidth="1"/>
    <col min="11" max="11" width="7.28515625" style="259" bestFit="1" customWidth="1"/>
    <col min="12" max="12" width="8" style="259" bestFit="1" customWidth="1"/>
    <col min="13" max="13" width="9.140625" style="259"/>
    <col min="14" max="14" width="6.7109375" style="259" bestFit="1" customWidth="1"/>
    <col min="15" max="15" width="5.140625" style="259" bestFit="1" customWidth="1"/>
    <col min="16" max="16384" width="9.140625" style="259"/>
  </cols>
  <sheetData>
    <row r="1" spans="1:15" x14ac:dyDescent="0.2">
      <c r="A1" s="314" t="str">
        <f>UPPER((Kalend!E9)&amp;" - "&amp;(Kalend!C9)&amp;" - "&amp;(Kalend!D9))</f>
        <v>3M - 26. EESTI MV - ÜKSIK</v>
      </c>
      <c r="E1" s="168" t="s">
        <v>432</v>
      </c>
      <c r="I1" s="204" t="str">
        <f>HYPERLINK("#Üldreiting!I1","Reiting")</f>
        <v>Reiting</v>
      </c>
      <c r="J1" s="528"/>
      <c r="K1" s="528"/>
    </row>
    <row r="2" spans="1:15" x14ac:dyDescent="0.2">
      <c r="A2" s="309" t="str">
        <f>"Toimumisaeg: "&amp;(Kalend!A9)&amp;" kell "&amp;(Kalend!B9)</f>
        <v>Toimumisaeg: L, 21.05.2016 kell 10:00</v>
      </c>
    </row>
    <row r="3" spans="1:15" x14ac:dyDescent="0.2">
      <c r="A3" s="309" t="str">
        <f>"Toimumiskoht: "&amp;(Kalend!H9)</f>
        <v>Toimumiskoht: Tallinn, Kadrioru park</v>
      </c>
    </row>
    <row r="4" spans="1:15" x14ac:dyDescent="0.2">
      <c r="A4" s="309" t="str">
        <f>"Korraldaja: "&amp;(Kalend!I9)</f>
        <v>Korraldaja: EPKL</v>
      </c>
    </row>
    <row r="6" spans="1:15" s="176" customFormat="1" x14ac:dyDescent="0.2">
      <c r="A6" s="855" t="s">
        <v>331</v>
      </c>
      <c r="B6" s="856"/>
      <c r="C6" s="77" t="s">
        <v>332</v>
      </c>
      <c r="D6" s="77" t="s">
        <v>333</v>
      </c>
      <c r="E6" s="77" t="s">
        <v>334</v>
      </c>
      <c r="F6" s="77" t="s">
        <v>335</v>
      </c>
      <c r="G6" s="77" t="s">
        <v>28</v>
      </c>
      <c r="I6" s="855" t="s">
        <v>443</v>
      </c>
      <c r="J6" s="856"/>
      <c r="K6" s="77" t="s">
        <v>332</v>
      </c>
      <c r="L6" s="77" t="s">
        <v>333</v>
      </c>
      <c r="M6" s="77" t="s">
        <v>334</v>
      </c>
      <c r="N6" s="77" t="s">
        <v>335</v>
      </c>
      <c r="O6" s="77" t="s">
        <v>28</v>
      </c>
    </row>
    <row r="7" spans="1:15" s="176" customFormat="1" x14ac:dyDescent="0.2">
      <c r="A7" s="76">
        <v>1</v>
      </c>
      <c r="B7" s="253" t="s">
        <v>53</v>
      </c>
      <c r="C7" s="78">
        <v>13</v>
      </c>
      <c r="D7" s="78">
        <v>13</v>
      </c>
      <c r="E7" s="79"/>
      <c r="F7" s="79"/>
      <c r="G7" s="236" t="s">
        <v>337</v>
      </c>
      <c r="I7" s="76">
        <v>1</v>
      </c>
      <c r="J7" s="253" t="s">
        <v>38</v>
      </c>
      <c r="K7" s="78">
        <v>13</v>
      </c>
      <c r="L7" s="79">
        <v>9</v>
      </c>
      <c r="M7" s="79"/>
      <c r="N7" s="79">
        <v>5</v>
      </c>
      <c r="O7" s="236" t="s">
        <v>338</v>
      </c>
    </row>
    <row r="8" spans="1:15" s="176" customFormat="1" x14ac:dyDescent="0.2">
      <c r="A8" s="76">
        <v>2</v>
      </c>
      <c r="B8" s="253" t="s">
        <v>71</v>
      </c>
      <c r="C8" s="78">
        <v>13</v>
      </c>
      <c r="D8" s="79">
        <v>6</v>
      </c>
      <c r="E8" s="79"/>
      <c r="F8" s="78">
        <v>13</v>
      </c>
      <c r="G8" s="236" t="s">
        <v>336</v>
      </c>
      <c r="I8" s="76">
        <v>2</v>
      </c>
      <c r="J8" s="254" t="s">
        <v>44</v>
      </c>
      <c r="K8" s="78">
        <v>13</v>
      </c>
      <c r="L8" s="78">
        <v>13</v>
      </c>
      <c r="M8" s="79"/>
      <c r="N8" s="79"/>
      <c r="O8" s="236" t="s">
        <v>337</v>
      </c>
    </row>
    <row r="9" spans="1:15" s="176" customFormat="1" x14ac:dyDescent="0.2">
      <c r="A9" s="76">
        <v>3</v>
      </c>
      <c r="B9" s="253" t="s">
        <v>80</v>
      </c>
      <c r="C9" s="79">
        <v>8</v>
      </c>
      <c r="D9" s="79"/>
      <c r="E9" s="78">
        <v>13</v>
      </c>
      <c r="F9" s="79">
        <v>10</v>
      </c>
      <c r="G9" s="236" t="s">
        <v>338</v>
      </c>
      <c r="I9" s="76">
        <v>3</v>
      </c>
      <c r="J9" s="253" t="s">
        <v>58</v>
      </c>
      <c r="K9" s="79">
        <v>2</v>
      </c>
      <c r="L9" s="79"/>
      <c r="M9" s="78">
        <v>13</v>
      </c>
      <c r="N9" s="78">
        <v>13</v>
      </c>
      <c r="O9" s="236" t="s">
        <v>336</v>
      </c>
    </row>
    <row r="10" spans="1:15" s="176" customFormat="1" x14ac:dyDescent="0.2">
      <c r="A10" s="76">
        <v>4</v>
      </c>
      <c r="B10" s="254"/>
      <c r="C10" s="79">
        <v>0</v>
      </c>
      <c r="D10" s="79"/>
      <c r="E10" s="79">
        <v>0</v>
      </c>
      <c r="F10" s="79"/>
      <c r="G10" s="236"/>
      <c r="I10" s="76">
        <v>4</v>
      </c>
      <c r="J10" s="254"/>
      <c r="K10" s="79">
        <v>0</v>
      </c>
      <c r="L10" s="79"/>
      <c r="M10" s="79">
        <v>0</v>
      </c>
      <c r="N10" s="79"/>
      <c r="O10" s="236"/>
    </row>
    <row r="11" spans="1:15" s="176" customFormat="1" x14ac:dyDescent="0.2">
      <c r="A11" s="80"/>
      <c r="B11" s="81"/>
      <c r="C11" s="82"/>
      <c r="D11" s="82"/>
      <c r="E11" s="82"/>
      <c r="F11" s="83"/>
      <c r="G11" s="84"/>
      <c r="I11" s="80"/>
      <c r="J11" s="81"/>
      <c r="K11" s="82"/>
      <c r="L11" s="82"/>
      <c r="M11" s="82"/>
      <c r="N11" s="83"/>
      <c r="O11" s="84"/>
    </row>
    <row r="12" spans="1:15" s="176" customFormat="1" x14ac:dyDescent="0.2">
      <c r="A12" s="855" t="s">
        <v>339</v>
      </c>
      <c r="B12" s="856"/>
      <c r="C12" s="77" t="s">
        <v>332</v>
      </c>
      <c r="D12" s="77" t="s">
        <v>333</v>
      </c>
      <c r="E12" s="77" t="s">
        <v>334</v>
      </c>
      <c r="F12" s="77" t="s">
        <v>335</v>
      </c>
      <c r="G12" s="77" t="s">
        <v>28</v>
      </c>
      <c r="I12" s="855" t="s">
        <v>444</v>
      </c>
      <c r="J12" s="856"/>
      <c r="K12" s="77" t="s">
        <v>332</v>
      </c>
      <c r="L12" s="77" t="s">
        <v>333</v>
      </c>
      <c r="M12" s="77" t="s">
        <v>334</v>
      </c>
      <c r="N12" s="77" t="s">
        <v>335</v>
      </c>
      <c r="O12" s="77" t="s">
        <v>28</v>
      </c>
    </row>
    <row r="13" spans="1:15" s="176" customFormat="1" x14ac:dyDescent="0.2">
      <c r="A13" s="76">
        <v>1</v>
      </c>
      <c r="B13" s="253" t="s">
        <v>33</v>
      </c>
      <c r="C13" s="78">
        <v>13</v>
      </c>
      <c r="D13" s="79">
        <v>10</v>
      </c>
      <c r="E13" s="79"/>
      <c r="F13" s="78">
        <v>13</v>
      </c>
      <c r="G13" s="236" t="s">
        <v>336</v>
      </c>
      <c r="I13" s="76">
        <v>1</v>
      </c>
      <c r="J13" s="255" t="s">
        <v>47</v>
      </c>
      <c r="K13" s="78">
        <v>13</v>
      </c>
      <c r="L13" s="78">
        <v>13</v>
      </c>
      <c r="M13" s="79"/>
      <c r="N13" s="79"/>
      <c r="O13" s="236" t="s">
        <v>337</v>
      </c>
    </row>
    <row r="14" spans="1:15" s="176" customFormat="1" x14ac:dyDescent="0.2">
      <c r="A14" s="76">
        <v>2</v>
      </c>
      <c r="B14" s="253" t="s">
        <v>64</v>
      </c>
      <c r="C14" s="78">
        <v>13</v>
      </c>
      <c r="D14" s="78">
        <v>13</v>
      </c>
      <c r="E14" s="79"/>
      <c r="F14" s="79"/>
      <c r="G14" s="236" t="s">
        <v>337</v>
      </c>
      <c r="I14" s="76">
        <v>2</v>
      </c>
      <c r="J14" s="255" t="s">
        <v>84</v>
      </c>
      <c r="K14" s="78">
        <v>13</v>
      </c>
      <c r="L14" s="79">
        <v>8</v>
      </c>
      <c r="M14" s="79"/>
      <c r="N14" s="78">
        <v>13</v>
      </c>
      <c r="O14" s="236" t="s">
        <v>336</v>
      </c>
    </row>
    <row r="15" spans="1:15" s="176" customFormat="1" x14ac:dyDescent="0.2">
      <c r="A15" s="76">
        <v>3</v>
      </c>
      <c r="B15" s="253" t="s">
        <v>62</v>
      </c>
      <c r="C15" s="79">
        <v>5</v>
      </c>
      <c r="D15" s="79"/>
      <c r="E15" s="79">
        <v>12</v>
      </c>
      <c r="F15" s="79"/>
      <c r="G15" s="236" t="s">
        <v>398</v>
      </c>
      <c r="I15" s="76">
        <v>3</v>
      </c>
      <c r="J15" s="225" t="s">
        <v>46</v>
      </c>
      <c r="K15" s="79">
        <v>2</v>
      </c>
      <c r="L15" s="79"/>
      <c r="M15" s="78">
        <v>13</v>
      </c>
      <c r="N15" s="79">
        <v>7</v>
      </c>
      <c r="O15" s="236" t="s">
        <v>338</v>
      </c>
    </row>
    <row r="16" spans="1:15" s="176" customFormat="1" x14ac:dyDescent="0.2">
      <c r="A16" s="76">
        <v>4</v>
      </c>
      <c r="B16" s="254" t="s">
        <v>424</v>
      </c>
      <c r="C16" s="79">
        <v>6</v>
      </c>
      <c r="D16" s="79"/>
      <c r="E16" s="78">
        <v>13</v>
      </c>
      <c r="F16" s="79">
        <v>2</v>
      </c>
      <c r="G16" s="236" t="s">
        <v>338</v>
      </c>
      <c r="I16" s="76">
        <v>4</v>
      </c>
      <c r="J16" s="254"/>
      <c r="K16" s="79">
        <v>0</v>
      </c>
      <c r="L16" s="79"/>
      <c r="M16" s="79">
        <v>0</v>
      </c>
      <c r="N16" s="79"/>
      <c r="O16" s="236"/>
    </row>
    <row r="17" spans="1:15" s="176" customFormat="1" x14ac:dyDescent="0.2">
      <c r="A17" s="80"/>
      <c r="B17" s="81"/>
      <c r="C17" s="82"/>
      <c r="D17" s="82"/>
      <c r="E17" s="82"/>
      <c r="F17" s="83"/>
      <c r="G17" s="84"/>
    </row>
    <row r="18" spans="1:15" s="176" customFormat="1" x14ac:dyDescent="0.2">
      <c r="A18" s="855" t="s">
        <v>341</v>
      </c>
      <c r="B18" s="856"/>
      <c r="C18" s="77" t="s">
        <v>332</v>
      </c>
      <c r="D18" s="77" t="s">
        <v>333</v>
      </c>
      <c r="E18" s="77" t="s">
        <v>334</v>
      </c>
      <c r="F18" s="77" t="s">
        <v>335</v>
      </c>
      <c r="G18" s="77" t="s">
        <v>28</v>
      </c>
      <c r="I18" s="855" t="s">
        <v>445</v>
      </c>
      <c r="J18" s="856"/>
      <c r="K18" s="77" t="s">
        <v>332</v>
      </c>
      <c r="L18" s="77" t="s">
        <v>333</v>
      </c>
      <c r="M18" s="77" t="s">
        <v>334</v>
      </c>
      <c r="N18" s="77" t="s">
        <v>335</v>
      </c>
      <c r="O18" s="77" t="s">
        <v>28</v>
      </c>
    </row>
    <row r="19" spans="1:15" s="176" customFormat="1" x14ac:dyDescent="0.2">
      <c r="A19" s="76">
        <v>1</v>
      </c>
      <c r="B19" s="253" t="s">
        <v>41</v>
      </c>
      <c r="C19" s="78">
        <v>13</v>
      </c>
      <c r="D19" s="78">
        <v>13</v>
      </c>
      <c r="E19" s="79"/>
      <c r="F19" s="79"/>
      <c r="G19" s="236" t="s">
        <v>337</v>
      </c>
      <c r="I19" s="76">
        <v>1</v>
      </c>
      <c r="J19" s="225" t="s">
        <v>51</v>
      </c>
      <c r="K19" s="78">
        <v>13</v>
      </c>
      <c r="L19" s="79">
        <v>6</v>
      </c>
      <c r="M19" s="79"/>
      <c r="N19" s="78">
        <v>13</v>
      </c>
      <c r="O19" s="236" t="s">
        <v>336</v>
      </c>
    </row>
    <row r="20" spans="1:15" s="176" customFormat="1" x14ac:dyDescent="0.2">
      <c r="A20" s="76">
        <v>2</v>
      </c>
      <c r="B20" s="253" t="s">
        <v>69</v>
      </c>
      <c r="C20" s="78">
        <v>13</v>
      </c>
      <c r="D20" s="79">
        <v>7</v>
      </c>
      <c r="E20" s="79"/>
      <c r="F20" s="79">
        <v>9</v>
      </c>
      <c r="G20" s="236" t="s">
        <v>338</v>
      </c>
      <c r="I20" s="76">
        <v>2</v>
      </c>
      <c r="J20" s="255" t="s">
        <v>73</v>
      </c>
      <c r="K20" s="78">
        <v>13</v>
      </c>
      <c r="L20" s="78">
        <v>13</v>
      </c>
      <c r="M20" s="79"/>
      <c r="N20" s="79"/>
      <c r="O20" s="236" t="s">
        <v>337</v>
      </c>
    </row>
    <row r="21" spans="1:15" s="176" customFormat="1" x14ac:dyDescent="0.2">
      <c r="A21" s="76">
        <v>3</v>
      </c>
      <c r="B21" s="253" t="s">
        <v>36</v>
      </c>
      <c r="C21" s="79">
        <v>5</v>
      </c>
      <c r="D21" s="79"/>
      <c r="E21" s="78">
        <v>13</v>
      </c>
      <c r="F21" s="78">
        <v>13</v>
      </c>
      <c r="G21" s="236" t="s">
        <v>336</v>
      </c>
      <c r="I21" s="76">
        <v>3</v>
      </c>
      <c r="J21" s="255" t="s">
        <v>88</v>
      </c>
      <c r="K21" s="79">
        <v>9</v>
      </c>
      <c r="L21" s="79"/>
      <c r="M21" s="78">
        <v>13</v>
      </c>
      <c r="N21" s="79">
        <v>8</v>
      </c>
      <c r="O21" s="236" t="s">
        <v>338</v>
      </c>
    </row>
    <row r="22" spans="1:15" s="176" customFormat="1" x14ac:dyDescent="0.2">
      <c r="A22" s="76">
        <v>4</v>
      </c>
      <c r="B22" s="253"/>
      <c r="C22" s="79">
        <v>0</v>
      </c>
      <c r="D22" s="79"/>
      <c r="E22" s="79">
        <v>0</v>
      </c>
      <c r="F22" s="79"/>
      <c r="G22" s="236"/>
      <c r="I22" s="76">
        <v>4</v>
      </c>
      <c r="J22" s="254"/>
      <c r="K22" s="79">
        <v>0</v>
      </c>
      <c r="L22" s="79"/>
      <c r="M22" s="79">
        <v>0</v>
      </c>
      <c r="N22" s="79"/>
      <c r="O22" s="236"/>
    </row>
    <row r="23" spans="1:15" s="176" customFormat="1" x14ac:dyDescent="0.2">
      <c r="I23" s="80"/>
      <c r="J23" s="81"/>
      <c r="K23" s="82"/>
      <c r="L23" s="82"/>
      <c r="M23" s="82"/>
      <c r="N23" s="83"/>
      <c r="O23" s="84"/>
    </row>
    <row r="24" spans="1:15" s="176" customFormat="1" x14ac:dyDescent="0.2">
      <c r="A24" s="855" t="s">
        <v>375</v>
      </c>
      <c r="B24" s="856"/>
      <c r="C24" s="77" t="s">
        <v>332</v>
      </c>
      <c r="D24" s="77" t="s">
        <v>333</v>
      </c>
      <c r="E24" s="77" t="s">
        <v>334</v>
      </c>
      <c r="F24" s="77" t="s">
        <v>335</v>
      </c>
      <c r="G24" s="77" t="s">
        <v>28</v>
      </c>
      <c r="I24" s="855" t="s">
        <v>446</v>
      </c>
      <c r="J24" s="856"/>
      <c r="K24" s="77" t="s">
        <v>332</v>
      </c>
      <c r="L24" s="77" t="s">
        <v>333</v>
      </c>
      <c r="M24" s="77" t="s">
        <v>334</v>
      </c>
      <c r="N24" s="77" t="s">
        <v>335</v>
      </c>
      <c r="O24" s="77" t="s">
        <v>28</v>
      </c>
    </row>
    <row r="25" spans="1:15" s="176" customFormat="1" x14ac:dyDescent="0.2">
      <c r="A25" s="76">
        <v>1</v>
      </c>
      <c r="B25" s="253" t="s">
        <v>66</v>
      </c>
      <c r="C25" s="78">
        <v>13</v>
      </c>
      <c r="D25" s="79">
        <v>8</v>
      </c>
      <c r="E25" s="79"/>
      <c r="F25" s="79">
        <v>10</v>
      </c>
      <c r="G25" s="236" t="s">
        <v>338</v>
      </c>
      <c r="I25" s="76">
        <v>1</v>
      </c>
      <c r="J25" s="253" t="s">
        <v>40</v>
      </c>
      <c r="K25" s="78">
        <v>13</v>
      </c>
      <c r="L25" s="79">
        <v>12</v>
      </c>
      <c r="M25" s="79"/>
      <c r="N25" s="78">
        <v>13</v>
      </c>
      <c r="O25" s="236" t="s">
        <v>336</v>
      </c>
    </row>
    <row r="26" spans="1:15" s="176" customFormat="1" x14ac:dyDescent="0.2">
      <c r="A26" s="76">
        <v>2</v>
      </c>
      <c r="B26" s="253" t="s">
        <v>61</v>
      </c>
      <c r="C26" s="79">
        <v>12</v>
      </c>
      <c r="D26" s="79"/>
      <c r="E26" s="78">
        <v>13</v>
      </c>
      <c r="F26" s="78">
        <v>13</v>
      </c>
      <c r="G26" s="236" t="s">
        <v>336</v>
      </c>
      <c r="I26" s="76">
        <v>2</v>
      </c>
      <c r="J26" s="254" t="s">
        <v>68</v>
      </c>
      <c r="K26" s="79">
        <v>10</v>
      </c>
      <c r="L26" s="79"/>
      <c r="M26" s="78">
        <v>13</v>
      </c>
      <c r="N26" s="79">
        <v>0</v>
      </c>
      <c r="O26" s="236" t="s">
        <v>338</v>
      </c>
    </row>
    <row r="27" spans="1:15" s="176" customFormat="1" x14ac:dyDescent="0.2">
      <c r="A27" s="76">
        <v>3</v>
      </c>
      <c r="B27" s="253" t="s">
        <v>422</v>
      </c>
      <c r="C27" s="78">
        <v>13</v>
      </c>
      <c r="D27" s="78">
        <v>13</v>
      </c>
      <c r="E27" s="79"/>
      <c r="F27" s="79"/>
      <c r="G27" s="236" t="s">
        <v>337</v>
      </c>
      <c r="I27" s="76">
        <v>3</v>
      </c>
      <c r="J27" s="253" t="s">
        <v>423</v>
      </c>
      <c r="K27" s="78">
        <v>13</v>
      </c>
      <c r="L27" s="78">
        <v>13</v>
      </c>
      <c r="M27" s="79"/>
      <c r="N27" s="79"/>
      <c r="O27" s="236" t="s">
        <v>337</v>
      </c>
    </row>
    <row r="28" spans="1:15" s="176" customFormat="1" x14ac:dyDescent="0.2">
      <c r="A28" s="76">
        <v>4</v>
      </c>
      <c r="B28" s="254"/>
      <c r="C28" s="79">
        <v>0</v>
      </c>
      <c r="D28" s="79"/>
      <c r="E28" s="79">
        <v>0</v>
      </c>
      <c r="F28" s="79"/>
      <c r="G28" s="236"/>
      <c r="I28" s="76">
        <v>4</v>
      </c>
      <c r="J28" s="254"/>
      <c r="K28" s="79">
        <v>0</v>
      </c>
      <c r="L28" s="79"/>
      <c r="M28" s="79">
        <v>0</v>
      </c>
      <c r="N28" s="79"/>
      <c r="O28" s="236"/>
    </row>
    <row r="30" spans="1:15" s="231" customFormat="1" x14ac:dyDescent="0.2">
      <c r="A30" s="177" t="s">
        <v>447</v>
      </c>
      <c r="B30" s="230"/>
      <c r="C30" s="82"/>
      <c r="D30" s="82"/>
      <c r="E30" s="82"/>
      <c r="F30" s="83"/>
      <c r="G30" s="84"/>
    </row>
    <row r="31" spans="1:15" s="231" customFormat="1" x14ac:dyDescent="0.2"/>
    <row r="32" spans="1:15" s="231" customFormat="1" x14ac:dyDescent="0.2">
      <c r="A32" s="178" t="s">
        <v>466</v>
      </c>
      <c r="B32" s="231" t="s">
        <v>47</v>
      </c>
      <c r="C32" s="217">
        <v>6</v>
      </c>
    </row>
    <row r="33" spans="1:13" s="231" customFormat="1" x14ac:dyDescent="0.2">
      <c r="A33" s="179"/>
      <c r="B33" s="180"/>
      <c r="C33" s="218" t="s">
        <v>33</v>
      </c>
      <c r="D33" s="226"/>
      <c r="F33" s="217">
        <v>7</v>
      </c>
    </row>
    <row r="34" spans="1:13" s="231" customFormat="1" x14ac:dyDescent="0.2">
      <c r="A34" s="179" t="s">
        <v>355</v>
      </c>
      <c r="B34" s="226" t="s">
        <v>33</v>
      </c>
      <c r="C34" s="212">
        <v>13</v>
      </c>
      <c r="E34" s="182"/>
    </row>
    <row r="35" spans="1:13" s="231" customFormat="1" x14ac:dyDescent="0.2">
      <c r="A35" s="179"/>
      <c r="D35" s="230"/>
      <c r="E35" s="183"/>
      <c r="F35" s="227" t="s">
        <v>41</v>
      </c>
      <c r="I35" s="217">
        <v>10</v>
      </c>
    </row>
    <row r="36" spans="1:13" s="231" customFormat="1" x14ac:dyDescent="0.2">
      <c r="A36" s="179" t="s">
        <v>353</v>
      </c>
      <c r="B36" s="231" t="s">
        <v>41</v>
      </c>
      <c r="C36" s="214">
        <v>13</v>
      </c>
      <c r="E36" s="183"/>
      <c r="F36" s="185"/>
      <c r="G36" s="180"/>
      <c r="H36" s="182"/>
    </row>
    <row r="37" spans="1:13" s="231" customFormat="1" x14ac:dyDescent="0.2">
      <c r="A37" s="179"/>
      <c r="B37" s="180"/>
      <c r="C37" s="227" t="s">
        <v>41</v>
      </c>
      <c r="E37" s="186"/>
      <c r="F37" s="214">
        <v>13</v>
      </c>
      <c r="G37" s="230"/>
      <c r="H37" s="183"/>
    </row>
    <row r="38" spans="1:13" s="231" customFormat="1" x14ac:dyDescent="0.2">
      <c r="A38" s="179" t="s">
        <v>401</v>
      </c>
      <c r="B38" s="226" t="s">
        <v>61</v>
      </c>
      <c r="C38" s="187">
        <v>7</v>
      </c>
      <c r="D38" s="180"/>
      <c r="F38" s="230"/>
      <c r="G38" s="230"/>
      <c r="H38" s="183"/>
    </row>
    <row r="39" spans="1:13" s="231" customFormat="1" x14ac:dyDescent="0.2">
      <c r="A39" s="118"/>
      <c r="F39" s="230"/>
      <c r="G39" s="230"/>
      <c r="H39" s="183"/>
      <c r="I39" s="227" t="s">
        <v>423</v>
      </c>
      <c r="K39" s="213">
        <v>13</v>
      </c>
    </row>
    <row r="40" spans="1:13" s="231" customFormat="1" x14ac:dyDescent="0.2">
      <c r="A40" s="178" t="s">
        <v>467</v>
      </c>
      <c r="B40" s="231" t="s">
        <v>423</v>
      </c>
      <c r="C40" s="213">
        <v>13</v>
      </c>
      <c r="F40" s="230"/>
      <c r="G40" s="230"/>
      <c r="H40" s="183"/>
      <c r="I40" s="180"/>
      <c r="J40" s="182"/>
    </row>
    <row r="41" spans="1:13" s="231" customFormat="1" x14ac:dyDescent="0.2">
      <c r="A41" s="179"/>
      <c r="B41" s="180"/>
      <c r="C41" s="218" t="s">
        <v>423</v>
      </c>
      <c r="D41" s="226"/>
      <c r="F41" s="214">
        <v>13</v>
      </c>
      <c r="G41" s="230"/>
      <c r="H41" s="183"/>
      <c r="I41" s="230"/>
      <c r="J41" s="183"/>
    </row>
    <row r="42" spans="1:13" s="231" customFormat="1" x14ac:dyDescent="0.2">
      <c r="A42" s="179" t="s">
        <v>468</v>
      </c>
      <c r="B42" s="226" t="s">
        <v>58</v>
      </c>
      <c r="C42" s="181">
        <v>4</v>
      </c>
      <c r="E42" s="182"/>
      <c r="F42" s="230"/>
      <c r="G42" s="230"/>
      <c r="H42" s="183"/>
      <c r="I42" s="230"/>
      <c r="J42" s="183"/>
    </row>
    <row r="43" spans="1:13" s="231" customFormat="1" x14ac:dyDescent="0.2">
      <c r="A43" s="179"/>
      <c r="D43" s="230"/>
      <c r="E43" s="183"/>
      <c r="F43" s="226" t="s">
        <v>423</v>
      </c>
      <c r="G43" s="226"/>
      <c r="H43" s="186"/>
      <c r="I43" s="214">
        <v>13</v>
      </c>
      <c r="J43" s="183"/>
    </row>
    <row r="44" spans="1:13" s="231" customFormat="1" x14ac:dyDescent="0.2">
      <c r="A44" s="179" t="s">
        <v>360</v>
      </c>
      <c r="B44" s="231" t="s">
        <v>53</v>
      </c>
      <c r="C44" s="214">
        <v>13</v>
      </c>
      <c r="E44" s="183"/>
      <c r="F44" s="227"/>
      <c r="G44" s="230"/>
      <c r="H44" s="230"/>
      <c r="I44" s="230"/>
      <c r="J44" s="183"/>
    </row>
    <row r="45" spans="1:13" s="231" customFormat="1" x14ac:dyDescent="0.2">
      <c r="A45" s="179"/>
      <c r="B45" s="180"/>
      <c r="C45" s="227" t="s">
        <v>53</v>
      </c>
      <c r="E45" s="186"/>
      <c r="F45" s="184">
        <v>12</v>
      </c>
      <c r="I45" s="230"/>
      <c r="J45" s="183"/>
    </row>
    <row r="46" spans="1:13" s="231" customFormat="1" x14ac:dyDescent="0.2">
      <c r="A46" s="179" t="s">
        <v>469</v>
      </c>
      <c r="B46" s="226" t="s">
        <v>51</v>
      </c>
      <c r="C46" s="187">
        <v>5</v>
      </c>
      <c r="D46" s="180"/>
      <c r="F46" s="230"/>
      <c r="G46" s="230"/>
      <c r="H46" s="230"/>
      <c r="I46" s="230"/>
      <c r="J46" s="183"/>
    </row>
    <row r="47" spans="1:13" s="231" customFormat="1" ht="13.5" thickBot="1" x14ac:dyDescent="0.25">
      <c r="I47" s="230"/>
      <c r="J47" s="183"/>
      <c r="L47" s="231" t="s">
        <v>423</v>
      </c>
    </row>
    <row r="48" spans="1:13" s="231" customFormat="1" x14ac:dyDescent="0.2">
      <c r="A48" s="178" t="s">
        <v>356</v>
      </c>
      <c r="B48" s="231" t="s">
        <v>64</v>
      </c>
      <c r="C48" s="213">
        <v>13</v>
      </c>
      <c r="I48" s="230"/>
      <c r="J48" s="183"/>
      <c r="K48" s="188"/>
      <c r="L48" s="189" t="s">
        <v>357</v>
      </c>
      <c r="M48" s="190"/>
    </row>
    <row r="49" spans="1:13" s="231" customFormat="1" x14ac:dyDescent="0.2">
      <c r="A49" s="179"/>
      <c r="B49" s="180"/>
      <c r="C49" s="218" t="s">
        <v>64</v>
      </c>
      <c r="D49" s="226"/>
      <c r="F49" s="217">
        <v>11</v>
      </c>
      <c r="I49" s="230"/>
      <c r="J49" s="183"/>
    </row>
    <row r="50" spans="1:13" s="231" customFormat="1" x14ac:dyDescent="0.2">
      <c r="A50" s="179" t="s">
        <v>470</v>
      </c>
      <c r="B50" s="226" t="s">
        <v>40</v>
      </c>
      <c r="C50" s="181">
        <v>7</v>
      </c>
      <c r="E50" s="182"/>
      <c r="I50" s="230"/>
      <c r="J50" s="183"/>
    </row>
    <row r="51" spans="1:13" s="231" customFormat="1" x14ac:dyDescent="0.2">
      <c r="A51" s="179"/>
      <c r="D51" s="230"/>
      <c r="E51" s="183"/>
      <c r="F51" s="231" t="s">
        <v>422</v>
      </c>
      <c r="I51" s="214">
        <v>13</v>
      </c>
      <c r="J51" s="183"/>
    </row>
    <row r="52" spans="1:13" s="231" customFormat="1" x14ac:dyDescent="0.2">
      <c r="A52" s="179" t="s">
        <v>399</v>
      </c>
      <c r="B52" s="231" t="s">
        <v>422</v>
      </c>
      <c r="C52" s="214">
        <v>13</v>
      </c>
      <c r="E52" s="183"/>
      <c r="F52" s="185"/>
      <c r="G52" s="180"/>
      <c r="H52" s="182"/>
      <c r="I52" s="230"/>
      <c r="J52" s="183"/>
    </row>
    <row r="53" spans="1:13" s="231" customFormat="1" x14ac:dyDescent="0.2">
      <c r="A53" s="179"/>
      <c r="B53" s="180"/>
      <c r="C53" s="227" t="s">
        <v>422</v>
      </c>
      <c r="E53" s="186"/>
      <c r="F53" s="214">
        <v>13</v>
      </c>
      <c r="G53" s="230"/>
      <c r="H53" s="183"/>
      <c r="I53" s="230"/>
      <c r="J53" s="183"/>
    </row>
    <row r="54" spans="1:13" s="231" customFormat="1" x14ac:dyDescent="0.2">
      <c r="A54" s="179" t="s">
        <v>354</v>
      </c>
      <c r="B54" s="226" t="s">
        <v>36</v>
      </c>
      <c r="C54" s="187">
        <v>8</v>
      </c>
      <c r="D54" s="180"/>
      <c r="F54" s="230"/>
      <c r="G54" s="230"/>
      <c r="H54" s="183"/>
      <c r="I54" s="230"/>
      <c r="J54" s="183"/>
    </row>
    <row r="55" spans="1:13" s="231" customFormat="1" x14ac:dyDescent="0.2">
      <c r="F55" s="230"/>
      <c r="G55" s="230"/>
      <c r="H55" s="183"/>
      <c r="I55" s="226" t="s">
        <v>422</v>
      </c>
      <c r="J55" s="186"/>
      <c r="K55" s="217">
        <v>8</v>
      </c>
    </row>
    <row r="56" spans="1:13" s="231" customFormat="1" ht="13.5" thickBot="1" x14ac:dyDescent="0.25">
      <c r="A56" s="178" t="s">
        <v>472</v>
      </c>
      <c r="B56" s="231" t="s">
        <v>44</v>
      </c>
      <c r="C56" s="217">
        <v>11</v>
      </c>
      <c r="F56" s="230"/>
      <c r="G56" s="230"/>
      <c r="H56" s="183"/>
      <c r="L56" s="230" t="s">
        <v>422</v>
      </c>
      <c r="M56" s="228"/>
    </row>
    <row r="57" spans="1:13" s="231" customFormat="1" x14ac:dyDescent="0.2">
      <c r="A57" s="179"/>
      <c r="B57" s="180"/>
      <c r="C57" s="219" t="s">
        <v>71</v>
      </c>
      <c r="D57" s="226"/>
      <c r="F57" s="184">
        <v>9</v>
      </c>
      <c r="G57" s="230"/>
      <c r="H57" s="183"/>
      <c r="L57" s="189" t="s">
        <v>359</v>
      </c>
      <c r="M57" s="230"/>
    </row>
    <row r="58" spans="1:13" s="231" customFormat="1" x14ac:dyDescent="0.2">
      <c r="A58" s="179" t="s">
        <v>358</v>
      </c>
      <c r="B58" s="226" t="s">
        <v>71</v>
      </c>
      <c r="C58" s="212">
        <v>13</v>
      </c>
      <c r="E58" s="182"/>
      <c r="F58" s="230"/>
      <c r="G58" s="230"/>
      <c r="H58" s="183"/>
    </row>
    <row r="59" spans="1:13" s="231" customFormat="1" x14ac:dyDescent="0.2">
      <c r="A59" s="179"/>
      <c r="D59" s="230"/>
      <c r="E59" s="183"/>
      <c r="F59" s="226" t="s">
        <v>73</v>
      </c>
      <c r="G59" s="226"/>
      <c r="H59" s="186"/>
      <c r="I59" s="217">
        <v>11</v>
      </c>
    </row>
    <row r="60" spans="1:13" s="231" customFormat="1" x14ac:dyDescent="0.2">
      <c r="A60" s="179" t="s">
        <v>473</v>
      </c>
      <c r="B60" s="231" t="s">
        <v>73</v>
      </c>
      <c r="C60" s="214">
        <v>13</v>
      </c>
      <c r="E60" s="183"/>
      <c r="F60" s="227"/>
      <c r="G60" s="230"/>
      <c r="H60" s="230"/>
    </row>
    <row r="61" spans="1:13" s="231" customFormat="1" x14ac:dyDescent="0.2">
      <c r="A61" s="179"/>
      <c r="B61" s="180"/>
      <c r="C61" s="227" t="s">
        <v>73</v>
      </c>
      <c r="E61" s="186"/>
      <c r="F61" s="214">
        <v>13</v>
      </c>
      <c r="I61" s="231" t="s">
        <v>41</v>
      </c>
      <c r="K61" s="184">
        <v>3</v>
      </c>
    </row>
    <row r="62" spans="1:13" s="231" customFormat="1" ht="13.5" thickBot="1" x14ac:dyDescent="0.25">
      <c r="A62" s="179" t="s">
        <v>471</v>
      </c>
      <c r="B62" s="226" t="s">
        <v>84</v>
      </c>
      <c r="C62" s="187">
        <v>8</v>
      </c>
      <c r="D62" s="180"/>
      <c r="F62" s="230"/>
      <c r="G62" s="230"/>
      <c r="H62" s="230"/>
      <c r="I62" s="180"/>
      <c r="J62" s="182"/>
      <c r="K62" s="228"/>
      <c r="L62" s="228" t="s">
        <v>73</v>
      </c>
      <c r="M62" s="228"/>
    </row>
    <row r="63" spans="1:13" s="231" customFormat="1" x14ac:dyDescent="0.2">
      <c r="H63" s="230"/>
      <c r="I63" s="226" t="s">
        <v>73</v>
      </c>
      <c r="J63" s="186"/>
      <c r="K63" s="213">
        <v>13</v>
      </c>
      <c r="L63" s="112" t="s">
        <v>361</v>
      </c>
      <c r="M63" s="230"/>
    </row>
    <row r="64" spans="1:13" s="231" customFormat="1" x14ac:dyDescent="0.2">
      <c r="H64" s="230"/>
      <c r="L64" s="230"/>
      <c r="M64" s="230"/>
    </row>
    <row r="65" spans="1:13" s="231" customFormat="1" ht="13.5" thickBot="1" x14ac:dyDescent="0.25">
      <c r="H65" s="230"/>
      <c r="I65" s="230"/>
      <c r="J65" s="230"/>
      <c r="L65" s="228" t="s">
        <v>41</v>
      </c>
      <c r="M65" s="228"/>
    </row>
    <row r="66" spans="1:13" s="231" customFormat="1" x14ac:dyDescent="0.2">
      <c r="I66" s="230"/>
      <c r="J66" s="230"/>
      <c r="L66" s="118" t="s">
        <v>362</v>
      </c>
    </row>
    <row r="67" spans="1:13" s="231" customFormat="1" x14ac:dyDescent="0.2">
      <c r="I67" s="230"/>
      <c r="J67" s="230"/>
      <c r="L67" s="118"/>
    </row>
    <row r="68" spans="1:13" s="231" customFormat="1" x14ac:dyDescent="0.2">
      <c r="A68" s="191" t="s">
        <v>448</v>
      </c>
      <c r="I68" s="230"/>
      <c r="J68" s="230"/>
      <c r="L68" s="118"/>
    </row>
    <row r="69" spans="1:13" s="231" customFormat="1" x14ac:dyDescent="0.2">
      <c r="F69" s="192" t="s">
        <v>33</v>
      </c>
      <c r="G69" s="217"/>
      <c r="H69" s="217"/>
      <c r="I69" s="213">
        <v>13</v>
      </c>
      <c r="J69" s="217"/>
      <c r="K69" s="217"/>
    </row>
    <row r="70" spans="1:13" s="231" customFormat="1" x14ac:dyDescent="0.2">
      <c r="F70" s="193"/>
      <c r="G70" s="193"/>
      <c r="H70" s="194"/>
      <c r="I70" s="195" t="s">
        <v>33</v>
      </c>
      <c r="J70" s="217"/>
      <c r="K70" s="217">
        <v>11</v>
      </c>
    </row>
    <row r="71" spans="1:13" s="231" customFormat="1" x14ac:dyDescent="0.2">
      <c r="F71" s="195" t="s">
        <v>53</v>
      </c>
      <c r="G71" s="195"/>
      <c r="H71" s="196"/>
      <c r="I71" s="217">
        <v>10</v>
      </c>
      <c r="J71" s="194"/>
      <c r="K71" s="217"/>
    </row>
    <row r="72" spans="1:13" s="231" customFormat="1" ht="13.5" thickBot="1" x14ac:dyDescent="0.25">
      <c r="F72" s="217"/>
      <c r="G72" s="217"/>
      <c r="H72" s="217"/>
      <c r="I72" s="184"/>
      <c r="J72" s="197"/>
      <c r="K72" s="217"/>
      <c r="L72" s="231" t="s">
        <v>71</v>
      </c>
    </row>
    <row r="73" spans="1:13" s="231" customFormat="1" x14ac:dyDescent="0.2">
      <c r="F73" s="217" t="s">
        <v>64</v>
      </c>
      <c r="G73" s="217"/>
      <c r="H73" s="217"/>
      <c r="I73" s="217">
        <v>3</v>
      </c>
      <c r="J73" s="197"/>
      <c r="K73" s="198"/>
      <c r="L73" s="189" t="s">
        <v>363</v>
      </c>
      <c r="M73" s="190"/>
    </row>
    <row r="74" spans="1:13" s="231" customFormat="1" x14ac:dyDescent="0.2">
      <c r="F74" s="193"/>
      <c r="G74" s="193"/>
      <c r="H74" s="194"/>
      <c r="I74" s="217" t="s">
        <v>71</v>
      </c>
      <c r="J74" s="196"/>
      <c r="K74" s="214">
        <v>13</v>
      </c>
    </row>
    <row r="75" spans="1:13" s="231" customFormat="1" ht="13.5" thickBot="1" x14ac:dyDescent="0.25">
      <c r="F75" s="195" t="s">
        <v>71</v>
      </c>
      <c r="G75" s="195"/>
      <c r="H75" s="196"/>
      <c r="I75" s="215">
        <v>13</v>
      </c>
      <c r="J75" s="217"/>
      <c r="K75" s="184"/>
      <c r="L75" s="230" t="s">
        <v>33</v>
      </c>
      <c r="M75" s="228"/>
    </row>
    <row r="76" spans="1:13" s="231" customFormat="1" x14ac:dyDescent="0.2">
      <c r="F76" s="217"/>
      <c r="G76" s="217"/>
      <c r="H76" s="217"/>
      <c r="I76" s="217"/>
      <c r="J76" s="217"/>
      <c r="K76" s="184"/>
      <c r="L76" s="189" t="s">
        <v>364</v>
      </c>
      <c r="M76" s="230"/>
    </row>
    <row r="77" spans="1:13" s="231" customFormat="1" x14ac:dyDescent="0.2">
      <c r="F77" s="217"/>
      <c r="G77" s="217"/>
      <c r="H77" s="184"/>
      <c r="I77" s="217" t="s">
        <v>53</v>
      </c>
      <c r="J77" s="217"/>
      <c r="K77" s="184">
        <v>12</v>
      </c>
      <c r="L77" s="230"/>
      <c r="M77" s="230"/>
    </row>
    <row r="78" spans="1:13" s="231" customFormat="1" ht="13.5" thickBot="1" x14ac:dyDescent="0.25">
      <c r="F78" s="217"/>
      <c r="G78" s="217"/>
      <c r="H78" s="184"/>
      <c r="I78" s="193"/>
      <c r="J78" s="194"/>
      <c r="K78" s="199"/>
      <c r="L78" s="228" t="s">
        <v>64</v>
      </c>
      <c r="M78" s="228"/>
    </row>
    <row r="79" spans="1:13" s="231" customFormat="1" x14ac:dyDescent="0.2">
      <c r="F79" s="217"/>
      <c r="G79" s="217"/>
      <c r="H79" s="184"/>
      <c r="I79" s="195" t="s">
        <v>64</v>
      </c>
      <c r="J79" s="196"/>
      <c r="K79" s="213">
        <v>13</v>
      </c>
      <c r="L79" s="112" t="s">
        <v>369</v>
      </c>
      <c r="M79" s="230"/>
    </row>
    <row r="80" spans="1:13" s="231" customFormat="1" x14ac:dyDescent="0.2">
      <c r="H80" s="230"/>
      <c r="L80" s="230"/>
      <c r="M80" s="230"/>
    </row>
    <row r="81" spans="1:13" s="231" customFormat="1" ht="13.5" thickBot="1" x14ac:dyDescent="0.25">
      <c r="F81" s="118"/>
      <c r="I81" s="230"/>
      <c r="J81" s="230"/>
      <c r="L81" s="228" t="s">
        <v>53</v>
      </c>
      <c r="M81" s="228"/>
    </row>
    <row r="82" spans="1:13" s="231" customFormat="1" x14ac:dyDescent="0.2">
      <c r="F82" s="118"/>
      <c r="I82" s="230"/>
      <c r="J82" s="230"/>
      <c r="L82" s="112" t="s">
        <v>370</v>
      </c>
    </row>
    <row r="83" spans="1:13" s="231" customFormat="1" x14ac:dyDescent="0.2">
      <c r="F83" s="118"/>
      <c r="I83" s="230"/>
      <c r="J83" s="230"/>
      <c r="L83" s="112"/>
    </row>
    <row r="84" spans="1:13" s="231" customFormat="1" x14ac:dyDescent="0.2">
      <c r="A84" s="200" t="s">
        <v>449</v>
      </c>
    </row>
    <row r="85" spans="1:13" s="231" customFormat="1" x14ac:dyDescent="0.2">
      <c r="A85" s="201"/>
    </row>
    <row r="86" spans="1:13" s="231" customFormat="1" x14ac:dyDescent="0.2">
      <c r="B86" s="230"/>
      <c r="C86" s="226" t="s">
        <v>47</v>
      </c>
      <c r="D86" s="230"/>
      <c r="F86" s="217">
        <v>1</v>
      </c>
    </row>
    <row r="87" spans="1:13" s="231" customFormat="1" x14ac:dyDescent="0.2">
      <c r="B87" s="230"/>
      <c r="C87" s="180"/>
      <c r="D87" s="180"/>
      <c r="E87" s="182"/>
      <c r="F87" s="227" t="s">
        <v>61</v>
      </c>
      <c r="I87" s="213">
        <v>13</v>
      </c>
    </row>
    <row r="88" spans="1:13" s="231" customFormat="1" x14ac:dyDescent="0.2">
      <c r="B88" s="230"/>
      <c r="C88" s="226" t="s">
        <v>61</v>
      </c>
      <c r="D88" s="226"/>
      <c r="E88" s="186"/>
      <c r="F88" s="215">
        <v>13</v>
      </c>
      <c r="G88" s="180"/>
      <c r="H88" s="182"/>
    </row>
    <row r="89" spans="1:13" s="231" customFormat="1" x14ac:dyDescent="0.2">
      <c r="B89" s="230"/>
      <c r="F89" s="230"/>
      <c r="G89" s="230"/>
      <c r="H89" s="183"/>
      <c r="I89" s="227" t="s">
        <v>61</v>
      </c>
      <c r="K89" s="213">
        <v>13</v>
      </c>
    </row>
    <row r="90" spans="1:13" s="231" customFormat="1" x14ac:dyDescent="0.2">
      <c r="B90" s="230"/>
      <c r="C90" s="226" t="s">
        <v>58</v>
      </c>
      <c r="D90" s="226"/>
      <c r="F90" s="184">
        <v>9</v>
      </c>
      <c r="G90" s="230"/>
      <c r="H90" s="183"/>
      <c r="I90" s="185"/>
      <c r="J90" s="182"/>
    </row>
    <row r="91" spans="1:13" s="231" customFormat="1" x14ac:dyDescent="0.2">
      <c r="B91" s="230"/>
      <c r="D91" s="230"/>
      <c r="E91" s="182"/>
      <c r="F91" s="226" t="s">
        <v>51</v>
      </c>
      <c r="G91" s="226"/>
      <c r="H91" s="186"/>
      <c r="I91" s="184">
        <v>9</v>
      </c>
      <c r="J91" s="183"/>
    </row>
    <row r="92" spans="1:13" s="231" customFormat="1" x14ac:dyDescent="0.2">
      <c r="B92" s="230"/>
      <c r="C92" s="230" t="s">
        <v>51</v>
      </c>
      <c r="E92" s="186"/>
      <c r="F92" s="214">
        <v>13</v>
      </c>
      <c r="I92" s="230"/>
      <c r="J92" s="183"/>
    </row>
    <row r="93" spans="1:13" s="231" customFormat="1" ht="13.5" thickBot="1" x14ac:dyDescent="0.25">
      <c r="B93" s="230"/>
      <c r="C93" s="193"/>
      <c r="D93" s="180"/>
      <c r="F93" s="230"/>
      <c r="G93" s="230"/>
      <c r="H93" s="230"/>
      <c r="I93" s="230"/>
      <c r="J93" s="183"/>
      <c r="L93" s="231" t="s">
        <v>61</v>
      </c>
    </row>
    <row r="94" spans="1:13" s="231" customFormat="1" x14ac:dyDescent="0.2">
      <c r="B94" s="230"/>
      <c r="C94" s="230" t="s">
        <v>40</v>
      </c>
      <c r="D94" s="230"/>
      <c r="F94" s="213">
        <v>13</v>
      </c>
      <c r="J94" s="183"/>
      <c r="K94" s="190"/>
      <c r="L94" s="189" t="s">
        <v>374</v>
      </c>
      <c r="M94" s="190"/>
    </row>
    <row r="95" spans="1:13" s="231" customFormat="1" x14ac:dyDescent="0.2">
      <c r="B95" s="230"/>
      <c r="C95" s="180"/>
      <c r="D95" s="180"/>
      <c r="E95" s="182"/>
      <c r="F95" s="227" t="s">
        <v>40</v>
      </c>
      <c r="I95" s="213">
        <v>13</v>
      </c>
      <c r="J95" s="183"/>
    </row>
    <row r="96" spans="1:13" s="231" customFormat="1" ht="13.5" thickBot="1" x14ac:dyDescent="0.25">
      <c r="B96" s="230"/>
      <c r="C96" s="226" t="s">
        <v>36</v>
      </c>
      <c r="D96" s="226"/>
      <c r="E96" s="186"/>
      <c r="F96" s="193">
        <v>2</v>
      </c>
      <c r="G96" s="180"/>
      <c r="H96" s="182"/>
      <c r="J96" s="183"/>
      <c r="L96" s="230" t="s">
        <v>40</v>
      </c>
      <c r="M96" s="228"/>
    </row>
    <row r="97" spans="2:13" s="231" customFormat="1" x14ac:dyDescent="0.2">
      <c r="B97" s="230"/>
      <c r="F97" s="230"/>
      <c r="G97" s="230"/>
      <c r="H97" s="183"/>
      <c r="I97" s="227" t="s">
        <v>40</v>
      </c>
      <c r="J97" s="186"/>
      <c r="K97" s="217">
        <v>6</v>
      </c>
      <c r="L97" s="189" t="s">
        <v>390</v>
      </c>
      <c r="M97" s="230"/>
    </row>
    <row r="98" spans="2:13" s="231" customFormat="1" x14ac:dyDescent="0.2">
      <c r="B98" s="230"/>
      <c r="C98" s="226" t="s">
        <v>44</v>
      </c>
      <c r="D98" s="226"/>
      <c r="F98" s="184">
        <v>13</v>
      </c>
      <c r="G98" s="230"/>
      <c r="H98" s="183"/>
      <c r="I98" s="185"/>
      <c r="J98" s="180"/>
    </row>
    <row r="99" spans="2:13" s="231" customFormat="1" x14ac:dyDescent="0.2">
      <c r="B99" s="230"/>
      <c r="D99" s="230"/>
      <c r="E99" s="182"/>
      <c r="F99" s="220" t="s">
        <v>44</v>
      </c>
      <c r="G99" s="226"/>
      <c r="H99" s="186"/>
      <c r="I99" s="184">
        <v>8</v>
      </c>
      <c r="J99" s="230"/>
    </row>
    <row r="100" spans="2:13" s="231" customFormat="1" x14ac:dyDescent="0.2">
      <c r="B100" s="230"/>
      <c r="C100" s="230" t="s">
        <v>84</v>
      </c>
      <c r="E100" s="186"/>
      <c r="F100" s="184">
        <v>9</v>
      </c>
      <c r="I100" s="230"/>
      <c r="J100" s="230"/>
    </row>
    <row r="101" spans="2:13" s="231" customFormat="1" x14ac:dyDescent="0.2">
      <c r="B101" s="230"/>
      <c r="C101" s="193"/>
      <c r="D101" s="180"/>
      <c r="F101" s="230"/>
      <c r="G101" s="230"/>
      <c r="H101" s="230"/>
      <c r="I101" s="231" t="s">
        <v>51</v>
      </c>
      <c r="K101" s="184">
        <v>7</v>
      </c>
    </row>
    <row r="102" spans="2:13" s="231" customFormat="1" ht="13.5" thickBot="1" x14ac:dyDescent="0.25">
      <c r="B102" s="230"/>
      <c r="F102" s="230"/>
      <c r="G102" s="230"/>
      <c r="H102" s="230"/>
      <c r="I102" s="180"/>
      <c r="J102" s="182"/>
      <c r="K102" s="228"/>
      <c r="L102" s="228" t="s">
        <v>44</v>
      </c>
      <c r="M102" s="228"/>
    </row>
    <row r="103" spans="2:13" s="231" customFormat="1" x14ac:dyDescent="0.2">
      <c r="B103" s="230"/>
      <c r="C103" s="217"/>
      <c r="F103" s="230"/>
      <c r="G103" s="230"/>
      <c r="H103" s="230"/>
      <c r="I103" s="226" t="s">
        <v>44</v>
      </c>
      <c r="J103" s="186"/>
      <c r="K103" s="213">
        <v>13</v>
      </c>
      <c r="L103" s="112" t="s">
        <v>391</v>
      </c>
      <c r="M103" s="230"/>
    </row>
    <row r="104" spans="2:13" s="231" customFormat="1" x14ac:dyDescent="0.2">
      <c r="B104" s="230"/>
      <c r="C104" s="230"/>
      <c r="D104" s="230"/>
      <c r="E104" s="230"/>
      <c r="F104" s="184"/>
      <c r="G104" s="230"/>
      <c r="H104" s="230"/>
      <c r="L104" s="230"/>
      <c r="M104" s="230"/>
    </row>
    <row r="105" spans="2:13" s="231" customFormat="1" ht="13.5" thickBot="1" x14ac:dyDescent="0.25">
      <c r="B105" s="230"/>
      <c r="C105" s="184"/>
      <c r="D105" s="230"/>
      <c r="E105" s="230"/>
      <c r="F105" s="230"/>
      <c r="G105" s="230"/>
      <c r="H105" s="230"/>
      <c r="I105" s="230"/>
      <c r="J105" s="230"/>
      <c r="L105" s="228" t="s">
        <v>51</v>
      </c>
      <c r="M105" s="228"/>
    </row>
    <row r="106" spans="2:13" s="231" customFormat="1" x14ac:dyDescent="0.2">
      <c r="B106" s="230"/>
      <c r="C106" s="230"/>
      <c r="D106" s="230"/>
      <c r="E106" s="230"/>
      <c r="F106" s="230" t="s">
        <v>47</v>
      </c>
      <c r="I106" s="217">
        <v>0</v>
      </c>
      <c r="L106" s="118" t="s">
        <v>392</v>
      </c>
    </row>
    <row r="107" spans="2:13" s="231" customFormat="1" x14ac:dyDescent="0.2">
      <c r="B107" s="230"/>
      <c r="C107" s="230"/>
      <c r="D107" s="230"/>
      <c r="E107" s="230"/>
      <c r="F107" s="180"/>
      <c r="G107" s="180"/>
      <c r="H107" s="182"/>
      <c r="I107" s="227" t="s">
        <v>58</v>
      </c>
      <c r="K107" s="213">
        <v>13</v>
      </c>
    </row>
    <row r="108" spans="2:13" s="231" customFormat="1" x14ac:dyDescent="0.2">
      <c r="B108" s="230"/>
      <c r="C108" s="184"/>
      <c r="D108" s="230"/>
      <c r="E108" s="230"/>
      <c r="F108" s="226" t="s">
        <v>58</v>
      </c>
      <c r="G108" s="226"/>
      <c r="H108" s="186"/>
      <c r="I108" s="216">
        <v>13</v>
      </c>
      <c r="J108" s="182"/>
    </row>
    <row r="109" spans="2:13" s="231" customFormat="1" ht="13.5" thickBot="1" x14ac:dyDescent="0.25">
      <c r="B109" s="230"/>
      <c r="C109" s="230"/>
      <c r="D109" s="230"/>
      <c r="E109" s="230"/>
      <c r="F109" s="217"/>
      <c r="J109" s="183"/>
      <c r="L109" s="231" t="s">
        <v>58</v>
      </c>
    </row>
    <row r="110" spans="2:13" s="231" customFormat="1" x14ac:dyDescent="0.2">
      <c r="B110" s="230"/>
      <c r="E110" s="230"/>
      <c r="F110" s="230" t="s">
        <v>36</v>
      </c>
      <c r="I110" s="217">
        <v>7</v>
      </c>
      <c r="J110" s="183"/>
      <c r="K110" s="190"/>
      <c r="L110" s="189" t="s">
        <v>393</v>
      </c>
      <c r="M110" s="190"/>
    </row>
    <row r="111" spans="2:13" s="231" customFormat="1" x14ac:dyDescent="0.2">
      <c r="E111" s="230"/>
      <c r="F111" s="180"/>
      <c r="G111" s="180"/>
      <c r="H111" s="182"/>
      <c r="I111" s="227" t="s">
        <v>84</v>
      </c>
      <c r="J111" s="186"/>
      <c r="K111" s="217">
        <v>9</v>
      </c>
    </row>
    <row r="112" spans="2:13" s="231" customFormat="1" ht="13.5" thickBot="1" x14ac:dyDescent="0.25">
      <c r="E112" s="230"/>
      <c r="F112" s="226" t="s">
        <v>84</v>
      </c>
      <c r="G112" s="226"/>
      <c r="H112" s="186"/>
      <c r="I112" s="216">
        <v>13</v>
      </c>
      <c r="J112" s="230"/>
      <c r="L112" s="230" t="s">
        <v>84</v>
      </c>
      <c r="M112" s="228"/>
    </row>
    <row r="113" spans="1:13" s="231" customFormat="1" x14ac:dyDescent="0.2">
      <c r="E113" s="230"/>
      <c r="F113" s="184"/>
      <c r="I113" s="230"/>
      <c r="J113" s="230"/>
      <c r="L113" s="189" t="s">
        <v>394</v>
      </c>
    </row>
    <row r="114" spans="1:13" s="231" customFormat="1" x14ac:dyDescent="0.2">
      <c r="E114" s="230"/>
      <c r="F114" s="230"/>
      <c r="G114" s="230"/>
      <c r="H114" s="230"/>
      <c r="I114" s="231" t="s">
        <v>47</v>
      </c>
      <c r="K114" s="184">
        <v>11</v>
      </c>
    </row>
    <row r="115" spans="1:13" s="231" customFormat="1" ht="13.5" thickBot="1" x14ac:dyDescent="0.25">
      <c r="E115" s="230"/>
      <c r="F115" s="230"/>
      <c r="G115" s="230"/>
      <c r="H115" s="230"/>
      <c r="I115" s="180"/>
      <c r="J115" s="182"/>
      <c r="K115" s="228"/>
      <c r="L115" s="228" t="s">
        <v>36</v>
      </c>
      <c r="M115" s="228"/>
    </row>
    <row r="116" spans="1:13" s="231" customFormat="1" x14ac:dyDescent="0.2">
      <c r="E116" s="230"/>
      <c r="F116" s="230"/>
      <c r="G116" s="230"/>
      <c r="H116" s="230"/>
      <c r="I116" s="226" t="s">
        <v>36</v>
      </c>
      <c r="J116" s="186"/>
      <c r="K116" s="213">
        <v>13</v>
      </c>
      <c r="L116" s="112" t="s">
        <v>395</v>
      </c>
      <c r="M116" s="230"/>
    </row>
    <row r="117" spans="1:13" s="231" customFormat="1" x14ac:dyDescent="0.2">
      <c r="L117" s="230"/>
      <c r="M117" s="230"/>
    </row>
    <row r="118" spans="1:13" s="231" customFormat="1" ht="13.5" thickBot="1" x14ac:dyDescent="0.25">
      <c r="F118" s="184"/>
      <c r="G118" s="230"/>
      <c r="H118" s="230"/>
      <c r="L118" s="228" t="s">
        <v>47</v>
      </c>
      <c r="M118" s="228"/>
    </row>
    <row r="119" spans="1:13" s="231" customFormat="1" x14ac:dyDescent="0.2">
      <c r="F119" s="230"/>
      <c r="G119" s="230"/>
      <c r="H119" s="230"/>
      <c r="I119" s="230"/>
      <c r="J119" s="230"/>
      <c r="L119" s="118" t="s">
        <v>396</v>
      </c>
    </row>
    <row r="120" spans="1:13" s="231" customFormat="1" x14ac:dyDescent="0.2"/>
    <row r="121" spans="1:13" s="231" customFormat="1" x14ac:dyDescent="0.2">
      <c r="A121" s="191" t="s">
        <v>479</v>
      </c>
      <c r="I121" s="230"/>
      <c r="J121" s="230"/>
      <c r="L121" s="118"/>
    </row>
    <row r="122" spans="1:13" s="231" customFormat="1" x14ac:dyDescent="0.2">
      <c r="I122" s="230"/>
      <c r="J122" s="230"/>
      <c r="L122" s="118"/>
    </row>
    <row r="123" spans="1:13" s="231" customFormat="1" x14ac:dyDescent="0.2">
      <c r="B123" s="221" t="s">
        <v>402</v>
      </c>
      <c r="C123" s="226" t="s">
        <v>69</v>
      </c>
      <c r="D123" s="230"/>
      <c r="F123" s="217">
        <v>5</v>
      </c>
    </row>
    <row r="124" spans="1:13" s="231" customFormat="1" x14ac:dyDescent="0.2">
      <c r="B124" s="230"/>
      <c r="C124" s="180"/>
      <c r="D124" s="180"/>
      <c r="E124" s="182"/>
      <c r="F124" s="227" t="s">
        <v>424</v>
      </c>
      <c r="I124" s="213">
        <v>13</v>
      </c>
    </row>
    <row r="125" spans="1:13" s="231" customFormat="1" x14ac:dyDescent="0.2">
      <c r="B125" s="221" t="s">
        <v>406</v>
      </c>
      <c r="C125" s="226" t="s">
        <v>424</v>
      </c>
      <c r="D125" s="226"/>
      <c r="E125" s="186"/>
      <c r="F125" s="215">
        <v>13</v>
      </c>
      <c r="G125" s="180"/>
      <c r="H125" s="182"/>
    </row>
    <row r="126" spans="1:13" s="231" customFormat="1" x14ac:dyDescent="0.2">
      <c r="B126" s="230"/>
      <c r="F126" s="230"/>
      <c r="G126" s="230"/>
      <c r="H126" s="183"/>
      <c r="I126" s="227" t="s">
        <v>424</v>
      </c>
      <c r="K126" s="213">
        <v>13</v>
      </c>
    </row>
    <row r="127" spans="1:13" s="231" customFormat="1" x14ac:dyDescent="0.2">
      <c r="B127" s="221" t="s">
        <v>404</v>
      </c>
      <c r="C127" s="226" t="s">
        <v>66</v>
      </c>
      <c r="D127" s="226"/>
      <c r="F127" s="214">
        <v>13</v>
      </c>
      <c r="G127" s="230"/>
      <c r="H127" s="183"/>
      <c r="I127" s="185"/>
      <c r="J127" s="182"/>
    </row>
    <row r="128" spans="1:13" s="231" customFormat="1" x14ac:dyDescent="0.2">
      <c r="B128" s="230"/>
      <c r="D128" s="230"/>
      <c r="E128" s="182"/>
      <c r="F128" s="226" t="s">
        <v>66</v>
      </c>
      <c r="G128" s="226"/>
      <c r="H128" s="186"/>
      <c r="I128" s="184">
        <v>3</v>
      </c>
      <c r="J128" s="183"/>
    </row>
    <row r="129" spans="2:13" s="231" customFormat="1" x14ac:dyDescent="0.2">
      <c r="B129" s="221" t="s">
        <v>474</v>
      </c>
      <c r="C129" s="230" t="s">
        <v>46</v>
      </c>
      <c r="E129" s="186"/>
      <c r="F129" s="184">
        <v>10</v>
      </c>
      <c r="I129" s="230"/>
      <c r="J129" s="183"/>
    </row>
    <row r="130" spans="2:13" s="231" customFormat="1" ht="13.5" thickBot="1" x14ac:dyDescent="0.25">
      <c r="B130" s="230"/>
      <c r="C130" s="193"/>
      <c r="D130" s="180"/>
      <c r="F130" s="230"/>
      <c r="G130" s="230"/>
      <c r="H130" s="230"/>
      <c r="I130" s="230"/>
      <c r="J130" s="183"/>
      <c r="L130" s="231" t="s">
        <v>424</v>
      </c>
    </row>
    <row r="131" spans="2:13" s="231" customFormat="1" x14ac:dyDescent="0.2">
      <c r="B131" s="221" t="s">
        <v>475</v>
      </c>
      <c r="C131" s="230" t="s">
        <v>38</v>
      </c>
      <c r="D131" s="230"/>
      <c r="F131" s="213">
        <v>13</v>
      </c>
      <c r="J131" s="183"/>
      <c r="K131" s="190"/>
      <c r="L131" s="189" t="s">
        <v>450</v>
      </c>
      <c r="M131" s="190"/>
    </row>
    <row r="132" spans="2:13" s="231" customFormat="1" x14ac:dyDescent="0.2">
      <c r="B132" s="230"/>
      <c r="C132" s="180"/>
      <c r="D132" s="180"/>
      <c r="E132" s="182"/>
      <c r="F132" s="227" t="s">
        <v>38</v>
      </c>
      <c r="I132" s="217">
        <v>6</v>
      </c>
      <c r="J132" s="183"/>
    </row>
    <row r="133" spans="2:13" s="231" customFormat="1" ht="13.5" thickBot="1" x14ac:dyDescent="0.25">
      <c r="B133" s="221" t="s">
        <v>476</v>
      </c>
      <c r="C133" s="226" t="s">
        <v>88</v>
      </c>
      <c r="D133" s="226"/>
      <c r="E133" s="186"/>
      <c r="F133" s="193">
        <v>9</v>
      </c>
      <c r="G133" s="180"/>
      <c r="H133" s="182"/>
      <c r="J133" s="183"/>
      <c r="L133" s="230" t="s">
        <v>80</v>
      </c>
      <c r="M133" s="228"/>
    </row>
    <row r="134" spans="2:13" s="231" customFormat="1" x14ac:dyDescent="0.2">
      <c r="B134" s="230"/>
      <c r="F134" s="230"/>
      <c r="G134" s="230"/>
      <c r="H134" s="183"/>
      <c r="I134" s="227" t="s">
        <v>80</v>
      </c>
      <c r="J134" s="186"/>
      <c r="K134" s="217">
        <v>6</v>
      </c>
      <c r="L134" s="189" t="s">
        <v>451</v>
      </c>
      <c r="M134" s="230"/>
    </row>
    <row r="135" spans="2:13" s="231" customFormat="1" x14ac:dyDescent="0.2">
      <c r="B135" s="221" t="s">
        <v>477</v>
      </c>
      <c r="C135" s="226" t="s">
        <v>68</v>
      </c>
      <c r="D135" s="226"/>
      <c r="F135" s="184">
        <v>11</v>
      </c>
      <c r="G135" s="230"/>
      <c r="H135" s="183"/>
      <c r="I135" s="185"/>
      <c r="J135" s="180"/>
    </row>
    <row r="136" spans="2:13" s="231" customFormat="1" x14ac:dyDescent="0.2">
      <c r="B136" s="230"/>
      <c r="D136" s="230"/>
      <c r="E136" s="182"/>
      <c r="F136" s="226" t="s">
        <v>80</v>
      </c>
      <c r="G136" s="226"/>
      <c r="H136" s="186"/>
      <c r="I136" s="214">
        <v>13</v>
      </c>
      <c r="J136" s="230"/>
    </row>
    <row r="137" spans="2:13" s="231" customFormat="1" x14ac:dyDescent="0.2">
      <c r="B137" s="221" t="s">
        <v>405</v>
      </c>
      <c r="C137" s="230" t="s">
        <v>80</v>
      </c>
      <c r="E137" s="186"/>
      <c r="F137" s="214">
        <v>13</v>
      </c>
      <c r="I137" s="230"/>
      <c r="J137" s="230"/>
    </row>
    <row r="138" spans="2:13" s="231" customFormat="1" x14ac:dyDescent="0.2">
      <c r="B138" s="230"/>
      <c r="C138" s="193"/>
      <c r="D138" s="180"/>
      <c r="F138" s="230"/>
      <c r="G138" s="230"/>
      <c r="H138" s="230"/>
      <c r="I138" s="231" t="s">
        <v>66</v>
      </c>
      <c r="K138" s="184">
        <v>7</v>
      </c>
    </row>
    <row r="139" spans="2:13" s="231" customFormat="1" ht="13.5" thickBot="1" x14ac:dyDescent="0.25">
      <c r="B139" s="230"/>
      <c r="F139" s="230"/>
      <c r="G139" s="230"/>
      <c r="H139" s="230"/>
      <c r="I139" s="180"/>
      <c r="J139" s="182"/>
      <c r="K139" s="228"/>
      <c r="L139" s="228" t="s">
        <v>38</v>
      </c>
      <c r="M139" s="228"/>
    </row>
    <row r="140" spans="2:13" s="231" customFormat="1" x14ac:dyDescent="0.2">
      <c r="B140" s="230"/>
      <c r="C140" s="217"/>
      <c r="F140" s="230"/>
      <c r="G140" s="230"/>
      <c r="H140" s="230"/>
      <c r="I140" s="226" t="s">
        <v>38</v>
      </c>
      <c r="J140" s="186"/>
      <c r="K140" s="213">
        <v>13</v>
      </c>
      <c r="L140" s="112" t="s">
        <v>452</v>
      </c>
      <c r="M140" s="230"/>
    </row>
    <row r="141" spans="2:13" s="231" customFormat="1" x14ac:dyDescent="0.2">
      <c r="B141" s="230"/>
      <c r="C141" s="230"/>
      <c r="D141" s="230"/>
      <c r="E141" s="230"/>
      <c r="F141" s="184"/>
      <c r="G141" s="230"/>
      <c r="H141" s="230"/>
      <c r="L141" s="230"/>
      <c r="M141" s="230"/>
    </row>
    <row r="142" spans="2:13" s="231" customFormat="1" ht="13.5" thickBot="1" x14ac:dyDescent="0.25">
      <c r="B142" s="230"/>
      <c r="C142" s="184"/>
      <c r="D142" s="230"/>
      <c r="E142" s="230"/>
      <c r="F142" s="230"/>
      <c r="G142" s="230"/>
      <c r="H142" s="230"/>
      <c r="I142" s="230"/>
      <c r="J142" s="230"/>
      <c r="L142" s="228" t="s">
        <v>66</v>
      </c>
      <c r="M142" s="228"/>
    </row>
    <row r="143" spans="2:13" s="231" customFormat="1" x14ac:dyDescent="0.2">
      <c r="B143" s="230"/>
      <c r="C143" s="230"/>
      <c r="D143" s="230"/>
      <c r="E143" s="230"/>
      <c r="F143" s="230" t="s">
        <v>69</v>
      </c>
      <c r="I143" s="217">
        <v>3</v>
      </c>
      <c r="L143" s="118" t="s">
        <v>453</v>
      </c>
    </row>
    <row r="144" spans="2:13" s="231" customFormat="1" x14ac:dyDescent="0.2">
      <c r="B144" s="230"/>
      <c r="C144" s="230"/>
      <c r="D144" s="230"/>
      <c r="E144" s="230"/>
      <c r="F144" s="180"/>
      <c r="G144" s="180"/>
      <c r="H144" s="182"/>
      <c r="I144" s="227" t="s">
        <v>46</v>
      </c>
      <c r="K144" s="217">
        <v>8</v>
      </c>
    </row>
    <row r="145" spans="1:13" s="231" customFormat="1" x14ac:dyDescent="0.2">
      <c r="B145" s="230"/>
      <c r="C145" s="184"/>
      <c r="D145" s="230"/>
      <c r="E145" s="230"/>
      <c r="F145" s="226" t="s">
        <v>46</v>
      </c>
      <c r="G145" s="226"/>
      <c r="H145" s="186"/>
      <c r="I145" s="216">
        <v>13</v>
      </c>
      <c r="J145" s="182"/>
    </row>
    <row r="146" spans="1:13" s="231" customFormat="1" ht="13.5" thickBot="1" x14ac:dyDescent="0.25">
      <c r="B146" s="230"/>
      <c r="C146" s="230"/>
      <c r="D146" s="230"/>
      <c r="E146" s="230"/>
      <c r="F146" s="217"/>
      <c r="J146" s="183"/>
      <c r="L146" s="231" t="s">
        <v>68</v>
      </c>
    </row>
    <row r="147" spans="1:13" s="231" customFormat="1" x14ac:dyDescent="0.2">
      <c r="B147" s="230"/>
      <c r="E147" s="230"/>
      <c r="F147" s="230" t="s">
        <v>88</v>
      </c>
      <c r="I147" s="217">
        <v>10</v>
      </c>
      <c r="J147" s="183"/>
      <c r="K147" s="190"/>
      <c r="L147" s="189" t="s">
        <v>454</v>
      </c>
      <c r="M147" s="190"/>
    </row>
    <row r="148" spans="1:13" s="231" customFormat="1" x14ac:dyDescent="0.2">
      <c r="E148" s="230"/>
      <c r="F148" s="180"/>
      <c r="G148" s="180"/>
      <c r="H148" s="182"/>
      <c r="I148" s="227" t="s">
        <v>68</v>
      </c>
      <c r="J148" s="186"/>
      <c r="K148" s="213">
        <v>13</v>
      </c>
    </row>
    <row r="149" spans="1:13" s="231" customFormat="1" ht="13.5" thickBot="1" x14ac:dyDescent="0.25">
      <c r="E149" s="230"/>
      <c r="F149" s="226" t="s">
        <v>68</v>
      </c>
      <c r="G149" s="226"/>
      <c r="H149" s="186"/>
      <c r="I149" s="216">
        <v>13</v>
      </c>
      <c r="J149" s="230"/>
      <c r="L149" s="230" t="s">
        <v>46</v>
      </c>
      <c r="M149" s="228"/>
    </row>
    <row r="150" spans="1:13" s="231" customFormat="1" x14ac:dyDescent="0.2">
      <c r="E150" s="230"/>
      <c r="F150" s="184"/>
      <c r="I150" s="230"/>
      <c r="J150" s="230"/>
      <c r="L150" s="189" t="s">
        <v>455</v>
      </c>
    </row>
    <row r="151" spans="1:13" s="231" customFormat="1" x14ac:dyDescent="0.2">
      <c r="E151" s="230"/>
      <c r="F151" s="230"/>
      <c r="G151" s="230"/>
      <c r="H151" s="230"/>
      <c r="I151" s="231" t="s">
        <v>69</v>
      </c>
      <c r="K151" s="214">
        <v>13</v>
      </c>
    </row>
    <row r="152" spans="1:13" s="231" customFormat="1" ht="13.5" thickBot="1" x14ac:dyDescent="0.25">
      <c r="E152" s="230"/>
      <c r="F152" s="230"/>
      <c r="G152" s="230"/>
      <c r="H152" s="230"/>
      <c r="I152" s="180"/>
      <c r="J152" s="182"/>
      <c r="K152" s="228"/>
      <c r="L152" s="228" t="s">
        <v>69</v>
      </c>
      <c r="M152" s="228"/>
    </row>
    <row r="153" spans="1:13" s="231" customFormat="1" x14ac:dyDescent="0.2">
      <c r="E153" s="230"/>
      <c r="F153" s="230"/>
      <c r="G153" s="230"/>
      <c r="H153" s="230"/>
      <c r="I153" s="226" t="s">
        <v>88</v>
      </c>
      <c r="J153" s="186"/>
      <c r="K153" s="217">
        <v>4</v>
      </c>
      <c r="L153" s="112" t="s">
        <v>456</v>
      </c>
      <c r="M153" s="230"/>
    </row>
    <row r="154" spans="1:13" s="231" customFormat="1" x14ac:dyDescent="0.2">
      <c r="L154" s="230"/>
      <c r="M154" s="230"/>
    </row>
    <row r="155" spans="1:13" s="231" customFormat="1" ht="13.5" thickBot="1" x14ac:dyDescent="0.25">
      <c r="F155" s="184"/>
      <c r="G155" s="230"/>
      <c r="H155" s="230"/>
      <c r="L155" s="228" t="s">
        <v>88</v>
      </c>
      <c r="M155" s="228"/>
    </row>
    <row r="156" spans="1:13" s="231" customFormat="1" x14ac:dyDescent="0.2">
      <c r="F156" s="230"/>
      <c r="G156" s="230"/>
      <c r="H156" s="230"/>
      <c r="I156" s="230"/>
      <c r="J156" s="230"/>
      <c r="L156" s="118" t="s">
        <v>457</v>
      </c>
    </row>
    <row r="157" spans="1:13" s="231" customFormat="1" x14ac:dyDescent="0.2"/>
    <row r="158" spans="1:13" s="231" customFormat="1" x14ac:dyDescent="0.2">
      <c r="A158" s="191" t="s">
        <v>478</v>
      </c>
      <c r="I158" s="230"/>
      <c r="J158" s="230"/>
      <c r="L158" s="118"/>
    </row>
    <row r="159" spans="1:13" s="231" customFormat="1" x14ac:dyDescent="0.2">
      <c r="F159" s="230"/>
      <c r="G159" s="230"/>
      <c r="H159" s="230"/>
      <c r="I159" s="230"/>
      <c r="J159" s="230"/>
      <c r="L159" s="118"/>
    </row>
    <row r="160" spans="1:13" s="231" customFormat="1" ht="13.5" thickBot="1" x14ac:dyDescent="0.25">
      <c r="F160" s="230"/>
      <c r="G160" s="230"/>
      <c r="H160" s="230"/>
      <c r="I160" s="230"/>
      <c r="J160" s="230"/>
      <c r="L160" s="228" t="s">
        <v>62</v>
      </c>
    </row>
    <row r="161" spans="1:12" s="231" customFormat="1" x14ac:dyDescent="0.2">
      <c r="F161" s="230"/>
      <c r="G161" s="230"/>
      <c r="H161" s="230"/>
      <c r="I161" s="230"/>
      <c r="J161" s="230"/>
      <c r="L161" s="118" t="s">
        <v>458</v>
      </c>
    </row>
    <row r="162" spans="1:12" s="231" customFormat="1" x14ac:dyDescent="0.2">
      <c r="F162" s="230"/>
      <c r="G162" s="230"/>
      <c r="H162" s="230"/>
      <c r="I162" s="230"/>
      <c r="J162" s="230"/>
      <c r="L162" s="118"/>
    </row>
    <row r="163" spans="1:12" s="231" customFormat="1" x14ac:dyDescent="0.2">
      <c r="A163" s="91">
        <v>1</v>
      </c>
      <c r="B163" s="203" t="s">
        <v>423</v>
      </c>
    </row>
    <row r="164" spans="1:12" s="231" customFormat="1" x14ac:dyDescent="0.2">
      <c r="A164" s="91">
        <v>2</v>
      </c>
      <c r="B164" s="232" t="s">
        <v>422</v>
      </c>
    </row>
    <row r="165" spans="1:12" s="231" customFormat="1" x14ac:dyDescent="0.2">
      <c r="A165" s="91">
        <v>3</v>
      </c>
      <c r="B165" s="233" t="s">
        <v>73</v>
      </c>
    </row>
    <row r="166" spans="1:12" s="231" customFormat="1" x14ac:dyDescent="0.2">
      <c r="A166" s="91">
        <v>4</v>
      </c>
      <c r="B166" s="250" t="s">
        <v>41</v>
      </c>
    </row>
    <row r="167" spans="1:12" s="231" customFormat="1" x14ac:dyDescent="0.2">
      <c r="A167" s="91">
        <v>5</v>
      </c>
      <c r="B167" s="250" t="s">
        <v>71</v>
      </c>
    </row>
    <row r="168" spans="1:12" s="231" customFormat="1" x14ac:dyDescent="0.2">
      <c r="A168" s="91">
        <v>6</v>
      </c>
      <c r="B168" s="250" t="s">
        <v>33</v>
      </c>
    </row>
    <row r="169" spans="1:12" s="231" customFormat="1" x14ac:dyDescent="0.2">
      <c r="A169" s="91">
        <v>7</v>
      </c>
      <c r="B169" s="250" t="s">
        <v>64</v>
      </c>
    </row>
    <row r="170" spans="1:12" s="231" customFormat="1" x14ac:dyDescent="0.2">
      <c r="A170" s="91">
        <v>8</v>
      </c>
      <c r="B170" s="250" t="s">
        <v>53</v>
      </c>
    </row>
    <row r="171" spans="1:12" s="231" customFormat="1" x14ac:dyDescent="0.2">
      <c r="A171" s="91">
        <v>9</v>
      </c>
      <c r="B171" s="250" t="s">
        <v>61</v>
      </c>
    </row>
    <row r="172" spans="1:12" s="231" customFormat="1" x14ac:dyDescent="0.2">
      <c r="A172" s="91">
        <v>10</v>
      </c>
      <c r="B172" s="250" t="s">
        <v>40</v>
      </c>
    </row>
    <row r="173" spans="1:12" s="231" customFormat="1" x14ac:dyDescent="0.2">
      <c r="A173" s="91">
        <v>11</v>
      </c>
      <c r="B173" s="250" t="s">
        <v>44</v>
      </c>
    </row>
    <row r="174" spans="1:12" s="231" customFormat="1" x14ac:dyDescent="0.2">
      <c r="A174" s="91">
        <v>12</v>
      </c>
      <c r="B174" s="250" t="s">
        <v>51</v>
      </c>
    </row>
    <row r="175" spans="1:12" s="231" customFormat="1" x14ac:dyDescent="0.2">
      <c r="A175" s="91">
        <v>13</v>
      </c>
      <c r="B175" s="250" t="s">
        <v>58</v>
      </c>
    </row>
    <row r="176" spans="1:12" s="231" customFormat="1" x14ac:dyDescent="0.2">
      <c r="A176" s="91">
        <v>14</v>
      </c>
      <c r="B176" s="250" t="s">
        <v>84</v>
      </c>
    </row>
    <row r="177" spans="1:2" s="231" customFormat="1" x14ac:dyDescent="0.2">
      <c r="A177" s="91">
        <v>15</v>
      </c>
      <c r="B177" s="250" t="s">
        <v>36</v>
      </c>
    </row>
    <row r="178" spans="1:2" s="231" customFormat="1" x14ac:dyDescent="0.2">
      <c r="A178" s="91">
        <v>16</v>
      </c>
      <c r="B178" s="250" t="s">
        <v>47</v>
      </c>
    </row>
    <row r="179" spans="1:2" s="231" customFormat="1" x14ac:dyDescent="0.2">
      <c r="A179" s="91">
        <v>17</v>
      </c>
      <c r="B179" s="250" t="s">
        <v>424</v>
      </c>
    </row>
    <row r="180" spans="1:2" s="231" customFormat="1" x14ac:dyDescent="0.2">
      <c r="A180" s="91">
        <v>18</v>
      </c>
      <c r="B180" s="250" t="s">
        <v>80</v>
      </c>
    </row>
    <row r="181" spans="1:2" s="231" customFormat="1" x14ac:dyDescent="0.2">
      <c r="A181" s="91">
        <v>19</v>
      </c>
      <c r="B181" s="250" t="s">
        <v>38</v>
      </c>
    </row>
    <row r="182" spans="1:2" s="231" customFormat="1" x14ac:dyDescent="0.2">
      <c r="A182" s="91">
        <v>20</v>
      </c>
      <c r="B182" s="250" t="s">
        <v>66</v>
      </c>
    </row>
    <row r="183" spans="1:2" s="231" customFormat="1" x14ac:dyDescent="0.2">
      <c r="A183" s="91">
        <v>21</v>
      </c>
      <c r="B183" s="250" t="s">
        <v>68</v>
      </c>
    </row>
    <row r="184" spans="1:2" s="231" customFormat="1" x14ac:dyDescent="0.2">
      <c r="A184" s="91">
        <v>22</v>
      </c>
      <c r="B184" s="250" t="s">
        <v>46</v>
      </c>
    </row>
    <row r="185" spans="1:2" s="231" customFormat="1" x14ac:dyDescent="0.2">
      <c r="A185" s="91">
        <v>23</v>
      </c>
      <c r="B185" s="250" t="s">
        <v>69</v>
      </c>
    </row>
    <row r="186" spans="1:2" s="231" customFormat="1" x14ac:dyDescent="0.2">
      <c r="A186" s="91">
        <v>24</v>
      </c>
      <c r="B186" s="250" t="s">
        <v>88</v>
      </c>
    </row>
    <row r="187" spans="1:2" s="231" customFormat="1" x14ac:dyDescent="0.2">
      <c r="A187" s="91">
        <v>25</v>
      </c>
      <c r="B187" s="250" t="s">
        <v>62</v>
      </c>
    </row>
  </sheetData>
  <pageMargins left="0.78740157480314965" right="0.39370078740157483" top="0.78740157480314965" bottom="0.31496062992125984" header="0.59055118110236227" footer="0"/>
  <pageSetup paperSize="9" fitToHeight="0" orientation="landscape" r:id="rId1"/>
  <headerFooter>
    <oddHeader>&amp;RPage &amp;P of &amp;N</oddHeader>
  </headerFooter>
  <rowBreaks count="5" manualBreakCount="5">
    <brk id="28" max="16383" man="1"/>
    <brk id="66" max="16383" man="1"/>
    <brk id="82" max="16383" man="1"/>
    <brk id="119" max="14" man="1"/>
    <brk id="156"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59"/>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3.28515625" style="259" customWidth="1"/>
    <col min="2" max="2" width="15.28515625" style="259" customWidth="1"/>
    <col min="3" max="3" width="7.28515625" style="259" customWidth="1"/>
    <col min="4" max="4" width="7.42578125" style="259" customWidth="1"/>
    <col min="5" max="5" width="9.140625" style="259"/>
    <col min="6" max="6" width="6.7109375" style="259" bestFit="1" customWidth="1"/>
    <col min="7" max="7" width="5.140625" style="259" customWidth="1"/>
    <col min="8" max="16384" width="9.140625" style="259"/>
  </cols>
  <sheetData>
    <row r="1" spans="1:11" x14ac:dyDescent="0.2">
      <c r="A1" s="314" t="str">
        <f>UPPER((Kalend!E9)&amp;" - "&amp;(Kalend!C9)&amp;" - "&amp;(Kalend!D9))</f>
        <v>3M - 26. EESTI MV - ÜKSIK</v>
      </c>
      <c r="E1" s="167" t="s">
        <v>433</v>
      </c>
      <c r="I1" s="204" t="str">
        <f>HYPERLINK("#Üldreiting!I1","Reiting")</f>
        <v>Reiting</v>
      </c>
      <c r="J1" s="528"/>
      <c r="K1" s="528"/>
    </row>
    <row r="2" spans="1:11" x14ac:dyDescent="0.2">
      <c r="A2" s="309" t="str">
        <f>"Toimumisaeg: "&amp;(Kalend!A9)&amp;" kell "&amp;(Kalend!B9)</f>
        <v>Toimumisaeg: L, 21.05.2016 kell 10:00</v>
      </c>
    </row>
    <row r="3" spans="1:11" x14ac:dyDescent="0.2">
      <c r="A3" s="309" t="str">
        <f>"Toimumiskoht: "&amp;(Kalend!H9)</f>
        <v>Toimumiskoht: Tallinn, Kadrioru park</v>
      </c>
    </row>
    <row r="4" spans="1:11" x14ac:dyDescent="0.2">
      <c r="A4" s="309" t="str">
        <f>"Korraldaja: "&amp;(Kalend!I9)</f>
        <v>Korraldaja: EPKL</v>
      </c>
    </row>
    <row r="6" spans="1:11" x14ac:dyDescent="0.2">
      <c r="A6" s="855" t="s">
        <v>331</v>
      </c>
      <c r="B6" s="856"/>
      <c r="C6" s="77" t="s">
        <v>332</v>
      </c>
      <c r="D6" s="77" t="s">
        <v>333</v>
      </c>
      <c r="E6" s="77" t="s">
        <v>334</v>
      </c>
      <c r="F6" s="77" t="s">
        <v>335</v>
      </c>
      <c r="G6" s="77" t="s">
        <v>28</v>
      </c>
    </row>
    <row r="7" spans="1:11" x14ac:dyDescent="0.2">
      <c r="A7" s="76">
        <v>1</v>
      </c>
      <c r="B7" s="253" t="s">
        <v>45</v>
      </c>
      <c r="C7" s="78">
        <v>13</v>
      </c>
      <c r="D7" s="79">
        <v>6</v>
      </c>
      <c r="E7" s="79"/>
      <c r="F7" s="79">
        <v>7</v>
      </c>
      <c r="G7" s="236" t="s">
        <v>338</v>
      </c>
    </row>
    <row r="8" spans="1:11" x14ac:dyDescent="0.2">
      <c r="A8" s="76">
        <v>2</v>
      </c>
      <c r="B8" s="253" t="s">
        <v>37</v>
      </c>
      <c r="C8" s="78">
        <v>13</v>
      </c>
      <c r="D8" s="78">
        <v>13</v>
      </c>
      <c r="E8" s="79"/>
      <c r="F8" s="79"/>
      <c r="G8" s="236" t="s">
        <v>337</v>
      </c>
      <c r="K8" s="157"/>
    </row>
    <row r="9" spans="1:11" x14ac:dyDescent="0.2">
      <c r="A9" s="76">
        <v>3</v>
      </c>
      <c r="B9" s="253" t="s">
        <v>54</v>
      </c>
      <c r="C9" s="79">
        <v>5</v>
      </c>
      <c r="D9" s="79"/>
      <c r="E9" s="79">
        <v>3</v>
      </c>
      <c r="F9" s="79"/>
      <c r="G9" s="236" t="s">
        <v>398</v>
      </c>
    </row>
    <row r="10" spans="1:11" x14ac:dyDescent="0.2">
      <c r="A10" s="76">
        <v>4</v>
      </c>
      <c r="B10" s="254" t="s">
        <v>74</v>
      </c>
      <c r="C10" s="79">
        <v>12</v>
      </c>
      <c r="D10" s="79"/>
      <c r="E10" s="78">
        <v>13</v>
      </c>
      <c r="F10" s="78">
        <v>13</v>
      </c>
      <c r="G10" s="236" t="s">
        <v>336</v>
      </c>
    </row>
    <row r="11" spans="1:11" x14ac:dyDescent="0.2">
      <c r="A11" s="80"/>
      <c r="B11" s="81"/>
      <c r="C11" s="82"/>
      <c r="D11" s="82"/>
      <c r="E11" s="82"/>
      <c r="F11" s="83"/>
      <c r="G11" s="84"/>
    </row>
    <row r="12" spans="1:11" x14ac:dyDescent="0.2">
      <c r="A12" s="76" t="s">
        <v>339</v>
      </c>
      <c r="B12" s="76"/>
      <c r="C12" s="77" t="s">
        <v>332</v>
      </c>
      <c r="D12" s="77" t="s">
        <v>333</v>
      </c>
      <c r="E12" s="77" t="s">
        <v>334</v>
      </c>
      <c r="F12" s="77" t="s">
        <v>335</v>
      </c>
      <c r="G12" s="77" t="s">
        <v>28</v>
      </c>
    </row>
    <row r="13" spans="1:11" x14ac:dyDescent="0.2">
      <c r="A13" s="76">
        <v>1</v>
      </c>
      <c r="B13" s="253" t="s">
        <v>63</v>
      </c>
      <c r="C13" s="78">
        <v>13</v>
      </c>
      <c r="D13" s="79">
        <v>7</v>
      </c>
      <c r="E13" s="79"/>
      <c r="F13" s="78">
        <v>13</v>
      </c>
      <c r="G13" s="236" t="s">
        <v>336</v>
      </c>
    </row>
    <row r="14" spans="1:11" x14ac:dyDescent="0.2">
      <c r="A14" s="76">
        <v>2</v>
      </c>
      <c r="B14" s="253" t="s">
        <v>56</v>
      </c>
      <c r="C14" s="79">
        <v>10</v>
      </c>
      <c r="D14" s="79"/>
      <c r="E14" s="78">
        <v>13</v>
      </c>
      <c r="F14" s="79">
        <v>5</v>
      </c>
      <c r="G14" s="236" t="s">
        <v>338</v>
      </c>
    </row>
    <row r="15" spans="1:11" x14ac:dyDescent="0.2">
      <c r="A15" s="76">
        <v>3</v>
      </c>
      <c r="B15" s="253" t="s">
        <v>70</v>
      </c>
      <c r="C15" s="78">
        <v>13</v>
      </c>
      <c r="D15" s="78">
        <v>13</v>
      </c>
      <c r="E15" s="79"/>
      <c r="F15" s="79"/>
      <c r="G15" s="236" t="s">
        <v>337</v>
      </c>
    </row>
    <row r="16" spans="1:11" x14ac:dyDescent="0.2">
      <c r="A16" s="76">
        <v>4</v>
      </c>
      <c r="B16" s="254" t="s">
        <v>441</v>
      </c>
      <c r="C16" s="79">
        <v>6</v>
      </c>
      <c r="D16" s="79"/>
      <c r="E16" s="79">
        <v>11</v>
      </c>
      <c r="F16" s="79"/>
      <c r="G16" s="236" t="s">
        <v>398</v>
      </c>
    </row>
    <row r="18" spans="1:8" x14ac:dyDescent="0.2">
      <c r="A18" s="202" t="s">
        <v>447</v>
      </c>
    </row>
    <row r="20" spans="1:8" x14ac:dyDescent="0.2">
      <c r="A20" s="178" t="s">
        <v>360</v>
      </c>
      <c r="B20" s="231" t="s">
        <v>37</v>
      </c>
      <c r="C20" s="213">
        <v>13</v>
      </c>
      <c r="D20" s="231"/>
      <c r="E20" s="231"/>
      <c r="F20" s="231"/>
      <c r="G20" s="231"/>
      <c r="H20" s="231"/>
    </row>
    <row r="21" spans="1:8" x14ac:dyDescent="0.2">
      <c r="A21" s="179"/>
      <c r="B21" s="180"/>
      <c r="C21" s="218" t="s">
        <v>37</v>
      </c>
      <c r="D21" s="226"/>
      <c r="E21" s="231"/>
      <c r="F21" s="213">
        <v>13</v>
      </c>
      <c r="G21" s="231"/>
      <c r="H21" s="231"/>
    </row>
    <row r="22" spans="1:8" x14ac:dyDescent="0.2">
      <c r="A22" s="179" t="s">
        <v>355</v>
      </c>
      <c r="B22" s="226" t="s">
        <v>63</v>
      </c>
      <c r="C22" s="181">
        <v>8</v>
      </c>
      <c r="D22" s="231"/>
      <c r="E22" s="182"/>
      <c r="F22" s="231"/>
      <c r="G22" s="231"/>
      <c r="H22" s="231"/>
    </row>
    <row r="23" spans="1:8" ht="13.5" thickBot="1" x14ac:dyDescent="0.25">
      <c r="A23" s="179"/>
      <c r="B23" s="231"/>
      <c r="C23" s="231"/>
      <c r="D23" s="230"/>
      <c r="E23" s="183"/>
      <c r="F23" s="231"/>
      <c r="G23" s="231" t="s">
        <v>37</v>
      </c>
      <c r="H23" s="231"/>
    </row>
    <row r="24" spans="1:8" x14ac:dyDescent="0.2">
      <c r="A24" s="179" t="s">
        <v>356</v>
      </c>
      <c r="B24" s="231" t="s">
        <v>70</v>
      </c>
      <c r="C24" s="184">
        <v>6</v>
      </c>
      <c r="D24" s="231"/>
      <c r="E24" s="183"/>
      <c r="F24" s="188"/>
      <c r="G24" s="189" t="s">
        <v>357</v>
      </c>
      <c r="H24" s="190"/>
    </row>
    <row r="25" spans="1:8" x14ac:dyDescent="0.2">
      <c r="A25" s="179"/>
      <c r="B25" s="180"/>
      <c r="C25" s="227" t="s">
        <v>74</v>
      </c>
      <c r="D25" s="231"/>
      <c r="E25" s="186"/>
      <c r="F25" s="184">
        <v>4</v>
      </c>
      <c r="G25" s="231"/>
      <c r="H25" s="231"/>
    </row>
    <row r="26" spans="1:8" ht="13.5" thickBot="1" x14ac:dyDescent="0.25">
      <c r="A26" s="179" t="s">
        <v>358</v>
      </c>
      <c r="B26" s="226" t="s">
        <v>74</v>
      </c>
      <c r="C26" s="216">
        <v>13</v>
      </c>
      <c r="D26" s="180"/>
      <c r="E26" s="231"/>
      <c r="F26" s="230"/>
      <c r="G26" s="230" t="s">
        <v>74</v>
      </c>
      <c r="H26" s="228"/>
    </row>
    <row r="27" spans="1:8" x14ac:dyDescent="0.2">
      <c r="A27" s="118"/>
      <c r="B27" s="231"/>
      <c r="C27" s="231"/>
      <c r="D27" s="231"/>
      <c r="E27" s="231"/>
      <c r="F27" s="230"/>
      <c r="G27" s="189" t="s">
        <v>359</v>
      </c>
      <c r="H27" s="230"/>
    </row>
    <row r="28" spans="1:8" x14ac:dyDescent="0.2">
      <c r="A28" s="118"/>
      <c r="B28" s="231"/>
      <c r="C28" s="231" t="s">
        <v>63</v>
      </c>
      <c r="D28" s="231"/>
      <c r="E28" s="231"/>
      <c r="F28" s="184">
        <v>9</v>
      </c>
      <c r="G28" s="230"/>
      <c r="H28" s="230"/>
    </row>
    <row r="29" spans="1:8" ht="13.5" thickBot="1" x14ac:dyDescent="0.25">
      <c r="A29" s="118"/>
      <c r="B29" s="231"/>
      <c r="C29" s="180"/>
      <c r="D29" s="180"/>
      <c r="E29" s="182"/>
      <c r="F29" s="228"/>
      <c r="G29" s="228" t="s">
        <v>70</v>
      </c>
      <c r="H29" s="228"/>
    </row>
    <row r="30" spans="1:8" x14ac:dyDescent="0.2">
      <c r="A30" s="118"/>
      <c r="B30" s="231"/>
      <c r="C30" s="226" t="s">
        <v>70</v>
      </c>
      <c r="D30" s="226"/>
      <c r="E30" s="186"/>
      <c r="F30" s="213">
        <v>13</v>
      </c>
      <c r="G30" s="112" t="s">
        <v>361</v>
      </c>
      <c r="H30" s="230"/>
    </row>
    <row r="31" spans="1:8" x14ac:dyDescent="0.2">
      <c r="A31" s="118"/>
      <c r="B31" s="231"/>
      <c r="C31" s="231"/>
      <c r="D31" s="231"/>
      <c r="E31" s="231"/>
      <c r="F31" s="231"/>
      <c r="G31" s="230"/>
      <c r="H31" s="230"/>
    </row>
    <row r="32" spans="1:8" ht="13.5" thickBot="1" x14ac:dyDescent="0.25">
      <c r="A32" s="118"/>
      <c r="B32" s="231"/>
      <c r="C32" s="231"/>
      <c r="D32" s="230"/>
      <c r="E32" s="230"/>
      <c r="F32" s="231"/>
      <c r="G32" s="228" t="s">
        <v>63</v>
      </c>
      <c r="H32" s="228"/>
    </row>
    <row r="33" spans="1:8" x14ac:dyDescent="0.2">
      <c r="A33" s="118"/>
      <c r="B33" s="231"/>
      <c r="C33" s="231"/>
      <c r="D33" s="230"/>
      <c r="E33" s="230"/>
      <c r="F33" s="231"/>
      <c r="G33" s="118" t="s">
        <v>362</v>
      </c>
      <c r="H33" s="231"/>
    </row>
    <row r="34" spans="1:8" x14ac:dyDescent="0.2">
      <c r="A34" s="112"/>
      <c r="B34" s="230"/>
      <c r="C34" s="82"/>
      <c r="D34" s="84"/>
      <c r="E34" s="84"/>
      <c r="F34" s="83"/>
      <c r="G34" s="84"/>
      <c r="H34" s="82"/>
    </row>
    <row r="35" spans="1:8" x14ac:dyDescent="0.2">
      <c r="A35" s="202" t="s">
        <v>448</v>
      </c>
    </row>
    <row r="37" spans="1:8" x14ac:dyDescent="0.2">
      <c r="A37" s="178" t="s">
        <v>405</v>
      </c>
      <c r="B37" s="231" t="s">
        <v>45</v>
      </c>
      <c r="C37" s="213">
        <v>13</v>
      </c>
      <c r="D37" s="231"/>
      <c r="E37" s="231"/>
      <c r="F37" s="231"/>
      <c r="G37" s="231"/>
      <c r="H37" s="231"/>
    </row>
    <row r="38" spans="1:8" x14ac:dyDescent="0.2">
      <c r="A38" s="179"/>
      <c r="B38" s="180"/>
      <c r="C38" s="218" t="s">
        <v>45</v>
      </c>
      <c r="D38" s="226"/>
      <c r="E38" s="226"/>
      <c r="F38" s="213">
        <v>13</v>
      </c>
      <c r="G38" s="231"/>
      <c r="H38" s="231"/>
    </row>
    <row r="39" spans="1:8" x14ac:dyDescent="0.2">
      <c r="A39" s="179" t="s">
        <v>403</v>
      </c>
      <c r="B39" s="226" t="s">
        <v>441</v>
      </c>
      <c r="C39" s="181">
        <v>6</v>
      </c>
      <c r="D39" s="231"/>
      <c r="E39" s="183"/>
      <c r="F39" s="231"/>
      <c r="G39" s="231"/>
      <c r="H39" s="231"/>
    </row>
    <row r="40" spans="1:8" ht="13.5" thickBot="1" x14ac:dyDescent="0.25">
      <c r="A40" s="179"/>
      <c r="B40" s="231"/>
      <c r="C40" s="230"/>
      <c r="D40" s="231"/>
      <c r="E40" s="183"/>
      <c r="F40" s="231"/>
      <c r="G40" s="231" t="s">
        <v>45</v>
      </c>
      <c r="H40" s="231"/>
    </row>
    <row r="41" spans="1:8" x14ac:dyDescent="0.2">
      <c r="A41" s="179" t="s">
        <v>406</v>
      </c>
      <c r="B41" s="231" t="s">
        <v>56</v>
      </c>
      <c r="C41" s="184" t="s">
        <v>56</v>
      </c>
      <c r="D41" s="231"/>
      <c r="E41" s="183"/>
      <c r="F41" s="188"/>
      <c r="G41" s="189" t="s">
        <v>363</v>
      </c>
      <c r="H41" s="190"/>
    </row>
    <row r="42" spans="1:8" x14ac:dyDescent="0.2">
      <c r="A42" s="179"/>
      <c r="B42" s="180"/>
      <c r="C42" s="227" t="s">
        <v>56</v>
      </c>
      <c r="D42" s="231"/>
      <c r="E42" s="186"/>
      <c r="F42" s="184">
        <v>12</v>
      </c>
      <c r="G42" s="231"/>
      <c r="H42" s="231"/>
    </row>
    <row r="43" spans="1:8" ht="13.5" thickBot="1" x14ac:dyDescent="0.25">
      <c r="A43" s="179" t="s">
        <v>407</v>
      </c>
      <c r="B43" s="226" t="s">
        <v>54</v>
      </c>
      <c r="C43" s="187">
        <v>10</v>
      </c>
      <c r="D43" s="180"/>
      <c r="E43" s="231"/>
      <c r="F43" s="230"/>
      <c r="G43" s="230" t="s">
        <v>56</v>
      </c>
      <c r="H43" s="228"/>
    </row>
    <row r="44" spans="1:8" x14ac:dyDescent="0.2">
      <c r="A44" s="231"/>
      <c r="B44" s="231"/>
      <c r="C44" s="231"/>
      <c r="D44" s="231"/>
      <c r="E44" s="231"/>
      <c r="F44" s="230"/>
      <c r="G44" s="189" t="s">
        <v>364</v>
      </c>
      <c r="H44" s="230"/>
    </row>
    <row r="45" spans="1:8" x14ac:dyDescent="0.2">
      <c r="A45" s="231"/>
      <c r="B45" s="231"/>
      <c r="C45" s="231" t="s">
        <v>441</v>
      </c>
      <c r="D45" s="231"/>
      <c r="E45" s="231"/>
      <c r="F45" s="184">
        <v>11</v>
      </c>
      <c r="G45" s="230"/>
      <c r="H45" s="230"/>
    </row>
    <row r="46" spans="1:8" ht="13.5" thickBot="1" x14ac:dyDescent="0.25">
      <c r="A46" s="231"/>
      <c r="B46" s="231"/>
      <c r="C46" s="180"/>
      <c r="D46" s="180"/>
      <c r="E46" s="182"/>
      <c r="F46" s="228"/>
      <c r="G46" s="228" t="s">
        <v>54</v>
      </c>
      <c r="H46" s="228"/>
    </row>
    <row r="47" spans="1:8" x14ac:dyDescent="0.2">
      <c r="A47" s="231"/>
      <c r="B47" s="231"/>
      <c r="C47" s="226" t="s">
        <v>54</v>
      </c>
      <c r="D47" s="226"/>
      <c r="E47" s="186"/>
      <c r="F47" s="213">
        <v>13</v>
      </c>
      <c r="G47" s="112" t="s">
        <v>369</v>
      </c>
      <c r="H47" s="230"/>
    </row>
    <row r="48" spans="1:8" x14ac:dyDescent="0.2">
      <c r="A48" s="231"/>
      <c r="B48" s="231"/>
      <c r="C48" s="231"/>
      <c r="D48" s="231"/>
      <c r="E48" s="231"/>
      <c r="F48" s="231"/>
      <c r="G48" s="230"/>
      <c r="H48" s="230"/>
    </row>
    <row r="49" spans="1:8" ht="13.5" thickBot="1" x14ac:dyDescent="0.25">
      <c r="A49" s="231"/>
      <c r="B49" s="231"/>
      <c r="C49" s="231"/>
      <c r="D49" s="230"/>
      <c r="E49" s="230"/>
      <c r="F49" s="231"/>
      <c r="G49" s="228" t="s">
        <v>441</v>
      </c>
      <c r="H49" s="228"/>
    </row>
    <row r="50" spans="1:8" x14ac:dyDescent="0.2">
      <c r="A50" s="231"/>
      <c r="B50" s="231"/>
      <c r="C50" s="231"/>
      <c r="D50" s="230"/>
      <c r="E50" s="230"/>
      <c r="F50" s="231"/>
      <c r="G50" s="118" t="s">
        <v>370</v>
      </c>
      <c r="H50" s="231"/>
    </row>
    <row r="52" spans="1:8" x14ac:dyDescent="0.2">
      <c r="A52" s="94">
        <v>1</v>
      </c>
      <c r="B52" s="203" t="s">
        <v>37</v>
      </c>
    </row>
    <row r="53" spans="1:8" x14ac:dyDescent="0.2">
      <c r="A53" s="94">
        <v>2</v>
      </c>
      <c r="B53" s="232" t="s">
        <v>74</v>
      </c>
    </row>
    <row r="54" spans="1:8" x14ac:dyDescent="0.2">
      <c r="A54" s="94">
        <v>3</v>
      </c>
      <c r="B54" s="233" t="s">
        <v>70</v>
      </c>
    </row>
    <row r="55" spans="1:8" x14ac:dyDescent="0.2">
      <c r="A55" s="94">
        <v>4</v>
      </c>
      <c r="B55" s="96" t="s">
        <v>63</v>
      </c>
    </row>
    <row r="56" spans="1:8" x14ac:dyDescent="0.2">
      <c r="A56" s="94">
        <v>5</v>
      </c>
      <c r="B56" s="96" t="s">
        <v>45</v>
      </c>
    </row>
    <row r="57" spans="1:8" x14ac:dyDescent="0.2">
      <c r="A57" s="94">
        <v>6</v>
      </c>
      <c r="B57" s="96" t="s">
        <v>56</v>
      </c>
    </row>
    <row r="58" spans="1:8" x14ac:dyDescent="0.2">
      <c r="A58" s="94">
        <v>7</v>
      </c>
      <c r="B58" s="96" t="s">
        <v>54</v>
      </c>
    </row>
    <row r="59" spans="1:8" x14ac:dyDescent="0.2">
      <c r="A59" s="94">
        <v>8</v>
      </c>
      <c r="B59" s="96" t="s">
        <v>441</v>
      </c>
    </row>
  </sheetData>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K59"/>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3.28515625" style="259" customWidth="1"/>
    <col min="2" max="2" width="15.28515625" style="259" customWidth="1"/>
    <col min="3" max="3" width="7.28515625" style="259" customWidth="1"/>
    <col min="4" max="4" width="7.42578125" style="259" bestFit="1" customWidth="1"/>
    <col min="5" max="5" width="9.140625" style="259"/>
    <col min="6" max="6" width="6.7109375" style="259" bestFit="1" customWidth="1"/>
    <col min="7" max="7" width="5.140625" style="259" customWidth="1"/>
    <col min="8" max="16384" width="9.140625" style="259"/>
  </cols>
  <sheetData>
    <row r="1" spans="1:11" x14ac:dyDescent="0.2">
      <c r="A1" s="314" t="str">
        <f>UPPER((Kalend!E9)&amp;" - "&amp;(Kalend!C9)&amp;" - "&amp;(Kalend!D9))</f>
        <v>3M - 26. EESTI MV - ÜKSIK</v>
      </c>
      <c r="E1" s="169" t="s">
        <v>434</v>
      </c>
      <c r="I1" s="204" t="str">
        <f>HYPERLINK("#Üldreiting!I1","Reiting")</f>
        <v>Reiting</v>
      </c>
      <c r="J1" s="528"/>
      <c r="K1" s="528"/>
    </row>
    <row r="2" spans="1:11" x14ac:dyDescent="0.2">
      <c r="A2" s="309" t="str">
        <f>"Toimumisaeg: "&amp;(Kalend!A9)&amp;" kell "&amp;(Kalend!B9)</f>
        <v>Toimumisaeg: L, 21.05.2016 kell 10:00</v>
      </c>
    </row>
    <row r="3" spans="1:11" x14ac:dyDescent="0.2">
      <c r="A3" s="309" t="str">
        <f>"Toimumiskoht: "&amp;(Kalend!H9)</f>
        <v>Toimumiskoht: Tallinn, Kadrioru park</v>
      </c>
    </row>
    <row r="4" spans="1:11" x14ac:dyDescent="0.2">
      <c r="A4" s="309" t="str">
        <f>"Korraldaja: "&amp;(Kalend!I9)</f>
        <v>Korraldaja: EPKL</v>
      </c>
    </row>
    <row r="6" spans="1:11" x14ac:dyDescent="0.2">
      <c r="A6" s="855" t="s">
        <v>331</v>
      </c>
      <c r="B6" s="856"/>
      <c r="C6" s="77" t="s">
        <v>332</v>
      </c>
      <c r="D6" s="77" t="s">
        <v>333</v>
      </c>
      <c r="E6" s="77" t="s">
        <v>334</v>
      </c>
      <c r="F6" s="77" t="s">
        <v>335</v>
      </c>
      <c r="G6" s="77" t="s">
        <v>28</v>
      </c>
    </row>
    <row r="7" spans="1:11" x14ac:dyDescent="0.2">
      <c r="A7" s="76">
        <v>1</v>
      </c>
      <c r="B7" s="253" t="s">
        <v>345</v>
      </c>
      <c r="C7" s="78">
        <v>13</v>
      </c>
      <c r="D7" s="78">
        <v>13</v>
      </c>
      <c r="E7" s="79"/>
      <c r="F7" s="79"/>
      <c r="G7" s="236" t="s">
        <v>337</v>
      </c>
    </row>
    <row r="8" spans="1:11" x14ac:dyDescent="0.2">
      <c r="A8" s="76">
        <v>2</v>
      </c>
      <c r="B8" s="253" t="s">
        <v>90</v>
      </c>
      <c r="C8" s="78">
        <v>13</v>
      </c>
      <c r="D8" s="79">
        <v>11</v>
      </c>
      <c r="E8" s="79"/>
      <c r="F8" s="78">
        <v>13</v>
      </c>
      <c r="G8" s="236" t="s">
        <v>336</v>
      </c>
      <c r="K8" s="157"/>
    </row>
    <row r="9" spans="1:11" x14ac:dyDescent="0.2">
      <c r="A9" s="76">
        <v>3</v>
      </c>
      <c r="B9" s="253" t="s">
        <v>320</v>
      </c>
      <c r="C9" s="79">
        <v>1</v>
      </c>
      <c r="D9" s="79"/>
      <c r="E9" s="79">
        <v>7</v>
      </c>
      <c r="F9" s="79"/>
      <c r="G9" s="236" t="s">
        <v>398</v>
      </c>
    </row>
    <row r="10" spans="1:11" x14ac:dyDescent="0.2">
      <c r="A10" s="76">
        <v>4</v>
      </c>
      <c r="B10" s="254" t="s">
        <v>425</v>
      </c>
      <c r="C10" s="79">
        <v>9</v>
      </c>
      <c r="D10" s="79"/>
      <c r="E10" s="78">
        <v>13</v>
      </c>
      <c r="F10" s="79">
        <v>12</v>
      </c>
      <c r="G10" s="236" t="s">
        <v>338</v>
      </c>
    </row>
    <row r="11" spans="1:11" x14ac:dyDescent="0.2">
      <c r="A11" s="80"/>
      <c r="B11" s="81"/>
      <c r="C11" s="82"/>
      <c r="D11" s="82"/>
      <c r="E11" s="82"/>
      <c r="F11" s="83"/>
      <c r="G11" s="84"/>
    </row>
    <row r="12" spans="1:11" x14ac:dyDescent="0.2">
      <c r="A12" s="855" t="s">
        <v>339</v>
      </c>
      <c r="B12" s="856"/>
      <c r="C12" s="77" t="s">
        <v>332</v>
      </c>
      <c r="D12" s="77" t="s">
        <v>333</v>
      </c>
      <c r="E12" s="77" t="s">
        <v>334</v>
      </c>
      <c r="F12" s="77" t="s">
        <v>335</v>
      </c>
      <c r="G12" s="77" t="s">
        <v>28</v>
      </c>
    </row>
    <row r="13" spans="1:11" x14ac:dyDescent="0.2">
      <c r="A13" s="76">
        <v>1</v>
      </c>
      <c r="B13" s="253" t="s">
        <v>49</v>
      </c>
      <c r="C13" s="79">
        <v>10</v>
      </c>
      <c r="D13" s="79"/>
      <c r="E13" s="78">
        <v>13</v>
      </c>
      <c r="F13" s="78">
        <v>13</v>
      </c>
      <c r="G13" s="236" t="s">
        <v>336</v>
      </c>
    </row>
    <row r="14" spans="1:11" x14ac:dyDescent="0.2">
      <c r="A14" s="76">
        <v>2</v>
      </c>
      <c r="B14" s="253" t="s">
        <v>329</v>
      </c>
      <c r="C14" s="79">
        <v>11</v>
      </c>
      <c r="D14" s="79"/>
      <c r="E14" s="79">
        <v>6</v>
      </c>
      <c r="F14" s="79"/>
      <c r="G14" s="236" t="s">
        <v>398</v>
      </c>
    </row>
    <row r="15" spans="1:11" x14ac:dyDescent="0.2">
      <c r="A15" s="76">
        <v>3</v>
      </c>
      <c r="B15" s="253" t="s">
        <v>426</v>
      </c>
      <c r="C15" s="78">
        <v>13</v>
      </c>
      <c r="D15" s="79">
        <v>11</v>
      </c>
      <c r="E15" s="79"/>
      <c r="F15" s="79">
        <v>10</v>
      </c>
      <c r="G15" s="236" t="s">
        <v>338</v>
      </c>
    </row>
    <row r="16" spans="1:11" x14ac:dyDescent="0.2">
      <c r="A16" s="76">
        <v>4</v>
      </c>
      <c r="B16" s="254" t="s">
        <v>427</v>
      </c>
      <c r="C16" s="78">
        <v>13</v>
      </c>
      <c r="D16" s="78">
        <v>13</v>
      </c>
      <c r="E16" s="79"/>
      <c r="F16" s="79"/>
      <c r="G16" s="236" t="s">
        <v>337</v>
      </c>
    </row>
    <row r="18" spans="1:8" x14ac:dyDescent="0.2">
      <c r="A18" s="202" t="s">
        <v>447</v>
      </c>
    </row>
    <row r="20" spans="1:8" x14ac:dyDescent="0.2">
      <c r="A20" s="178" t="s">
        <v>360</v>
      </c>
      <c r="B20" s="231" t="s">
        <v>345</v>
      </c>
      <c r="C20" s="217">
        <v>3</v>
      </c>
      <c r="D20" s="231"/>
      <c r="E20" s="231"/>
      <c r="F20" s="231"/>
      <c r="G20" s="231"/>
      <c r="H20" s="231"/>
    </row>
    <row r="21" spans="1:8" x14ac:dyDescent="0.2">
      <c r="A21" s="179"/>
      <c r="B21" s="180"/>
      <c r="C21" s="218" t="s">
        <v>49</v>
      </c>
      <c r="D21" s="226"/>
      <c r="E21" s="231"/>
      <c r="F21" s="217">
        <v>9</v>
      </c>
      <c r="G21" s="231"/>
      <c r="H21" s="231"/>
    </row>
    <row r="22" spans="1:8" x14ac:dyDescent="0.2">
      <c r="A22" s="179" t="s">
        <v>355</v>
      </c>
      <c r="B22" s="226" t="s">
        <v>49</v>
      </c>
      <c r="C22" s="212">
        <v>13</v>
      </c>
      <c r="D22" s="231"/>
      <c r="E22" s="182"/>
      <c r="F22" s="231"/>
      <c r="G22" s="231"/>
      <c r="H22" s="231"/>
    </row>
    <row r="23" spans="1:8" ht="13.5" thickBot="1" x14ac:dyDescent="0.25">
      <c r="A23" s="179"/>
      <c r="B23" s="231"/>
      <c r="C23" s="231"/>
      <c r="D23" s="230"/>
      <c r="E23" s="183"/>
      <c r="F23" s="231"/>
      <c r="G23" s="231" t="s">
        <v>427</v>
      </c>
      <c r="H23" s="231"/>
    </row>
    <row r="24" spans="1:8" x14ac:dyDescent="0.2">
      <c r="A24" s="179" t="s">
        <v>358</v>
      </c>
      <c r="B24" s="231" t="s">
        <v>90</v>
      </c>
      <c r="C24" s="184">
        <v>4</v>
      </c>
      <c r="D24" s="231"/>
      <c r="E24" s="183"/>
      <c r="F24" s="188"/>
      <c r="G24" s="189" t="s">
        <v>357</v>
      </c>
      <c r="H24" s="190"/>
    </row>
    <row r="25" spans="1:8" x14ac:dyDescent="0.2">
      <c r="A25" s="179"/>
      <c r="B25" s="180"/>
      <c r="C25" s="227" t="s">
        <v>427</v>
      </c>
      <c r="D25" s="231"/>
      <c r="E25" s="186"/>
      <c r="F25" s="214">
        <v>13</v>
      </c>
      <c r="G25" s="231"/>
      <c r="H25" s="231"/>
    </row>
    <row r="26" spans="1:8" ht="13.5" thickBot="1" x14ac:dyDescent="0.25">
      <c r="A26" s="179" t="s">
        <v>356</v>
      </c>
      <c r="B26" s="226" t="s">
        <v>427</v>
      </c>
      <c r="C26" s="216">
        <v>13</v>
      </c>
      <c r="D26" s="180"/>
      <c r="E26" s="231"/>
      <c r="F26" s="230"/>
      <c r="G26" s="230" t="s">
        <v>49</v>
      </c>
      <c r="H26" s="228"/>
    </row>
    <row r="27" spans="1:8" x14ac:dyDescent="0.2">
      <c r="A27" s="118"/>
      <c r="B27" s="231"/>
      <c r="C27" s="231"/>
      <c r="D27" s="231"/>
      <c r="E27" s="231"/>
      <c r="F27" s="230"/>
      <c r="G27" s="189" t="s">
        <v>359</v>
      </c>
      <c r="H27" s="230"/>
    </row>
    <row r="28" spans="1:8" x14ac:dyDescent="0.2">
      <c r="A28" s="118"/>
      <c r="B28" s="231"/>
      <c r="C28" s="231" t="s">
        <v>345</v>
      </c>
      <c r="D28" s="231"/>
      <c r="E28" s="231"/>
      <c r="F28" s="184">
        <v>5</v>
      </c>
      <c r="G28" s="230"/>
      <c r="H28" s="230"/>
    </row>
    <row r="29" spans="1:8" ht="13.5" thickBot="1" x14ac:dyDescent="0.25">
      <c r="A29" s="118"/>
      <c r="B29" s="231"/>
      <c r="C29" s="180"/>
      <c r="D29" s="180"/>
      <c r="E29" s="182"/>
      <c r="F29" s="228"/>
      <c r="G29" s="228" t="s">
        <v>90</v>
      </c>
      <c r="H29" s="228"/>
    </row>
    <row r="30" spans="1:8" x14ac:dyDescent="0.2">
      <c r="A30" s="118"/>
      <c r="B30" s="231"/>
      <c r="C30" s="226" t="s">
        <v>90</v>
      </c>
      <c r="D30" s="226"/>
      <c r="E30" s="186"/>
      <c r="F30" s="213">
        <v>13</v>
      </c>
      <c r="G30" s="112" t="s">
        <v>361</v>
      </c>
      <c r="H30" s="230"/>
    </row>
    <row r="31" spans="1:8" x14ac:dyDescent="0.2">
      <c r="A31" s="118"/>
      <c r="B31" s="231"/>
      <c r="C31" s="231"/>
      <c r="D31" s="231"/>
      <c r="E31" s="231"/>
      <c r="F31" s="231"/>
      <c r="G31" s="230"/>
      <c r="H31" s="230"/>
    </row>
    <row r="32" spans="1:8" ht="13.5" thickBot="1" x14ac:dyDescent="0.25">
      <c r="A32" s="118"/>
      <c r="B32" s="231"/>
      <c r="C32" s="231"/>
      <c r="D32" s="230"/>
      <c r="E32" s="230"/>
      <c r="F32" s="231"/>
      <c r="G32" s="228" t="s">
        <v>345</v>
      </c>
      <c r="H32" s="228"/>
    </row>
    <row r="33" spans="1:8" x14ac:dyDescent="0.2">
      <c r="A33" s="118"/>
      <c r="B33" s="231"/>
      <c r="C33" s="231"/>
      <c r="D33" s="230"/>
      <c r="E33" s="230"/>
      <c r="F33" s="231"/>
      <c r="G33" s="118" t="s">
        <v>362</v>
      </c>
      <c r="H33" s="231"/>
    </row>
    <row r="34" spans="1:8" x14ac:dyDescent="0.2">
      <c r="A34" s="112"/>
      <c r="B34" s="230"/>
      <c r="C34" s="82"/>
      <c r="D34" s="84"/>
      <c r="E34" s="84"/>
      <c r="F34" s="83"/>
      <c r="G34" s="84"/>
      <c r="H34" s="82"/>
    </row>
    <row r="35" spans="1:8" x14ac:dyDescent="0.2">
      <c r="A35" s="202" t="s">
        <v>448</v>
      </c>
    </row>
    <row r="37" spans="1:8" x14ac:dyDescent="0.2">
      <c r="A37" s="178" t="s">
        <v>405</v>
      </c>
      <c r="B37" s="231" t="s">
        <v>425</v>
      </c>
      <c r="C37" s="213">
        <v>13</v>
      </c>
      <c r="D37" s="231"/>
      <c r="E37" s="231"/>
      <c r="F37" s="231"/>
      <c r="G37" s="231"/>
      <c r="H37" s="231"/>
    </row>
    <row r="38" spans="1:8" x14ac:dyDescent="0.2">
      <c r="A38" s="179"/>
      <c r="B38" s="180"/>
      <c r="C38" s="218" t="s">
        <v>425</v>
      </c>
      <c r="D38" s="226"/>
      <c r="E38" s="226"/>
      <c r="F38" s="217">
        <v>10</v>
      </c>
      <c r="G38" s="231"/>
      <c r="H38" s="231"/>
    </row>
    <row r="39" spans="1:8" x14ac:dyDescent="0.2">
      <c r="A39" s="179" t="s">
        <v>403</v>
      </c>
      <c r="B39" s="226" t="s">
        <v>329</v>
      </c>
      <c r="C39" s="181">
        <v>5</v>
      </c>
      <c r="D39" s="231"/>
      <c r="E39" s="183"/>
      <c r="F39" s="231"/>
      <c r="G39" s="231"/>
      <c r="H39" s="231"/>
    </row>
    <row r="40" spans="1:8" ht="13.5" thickBot="1" x14ac:dyDescent="0.25">
      <c r="A40" s="179"/>
      <c r="B40" s="231"/>
      <c r="C40" s="230"/>
      <c r="D40" s="231"/>
      <c r="E40" s="183"/>
      <c r="F40" s="231"/>
      <c r="G40" s="231" t="s">
        <v>426</v>
      </c>
      <c r="H40" s="231"/>
    </row>
    <row r="41" spans="1:8" x14ac:dyDescent="0.2">
      <c r="A41" s="179" t="s">
        <v>407</v>
      </c>
      <c r="B41" s="231" t="s">
        <v>320</v>
      </c>
      <c r="C41" s="184">
        <v>6</v>
      </c>
      <c r="D41" s="231"/>
      <c r="E41" s="183"/>
      <c r="F41" s="188"/>
      <c r="G41" s="189" t="s">
        <v>363</v>
      </c>
      <c r="H41" s="190"/>
    </row>
    <row r="42" spans="1:8" x14ac:dyDescent="0.2">
      <c r="A42" s="179"/>
      <c r="B42" s="180"/>
      <c r="C42" s="227" t="s">
        <v>426</v>
      </c>
      <c r="D42" s="231"/>
      <c r="E42" s="186"/>
      <c r="F42" s="214">
        <v>13</v>
      </c>
      <c r="G42" s="231"/>
      <c r="H42" s="231"/>
    </row>
    <row r="43" spans="1:8" ht="13.5" thickBot="1" x14ac:dyDescent="0.25">
      <c r="A43" s="179" t="s">
        <v>406</v>
      </c>
      <c r="B43" s="226" t="s">
        <v>426</v>
      </c>
      <c r="C43" s="216">
        <v>13</v>
      </c>
      <c r="D43" s="180"/>
      <c r="E43" s="231"/>
      <c r="F43" s="230"/>
      <c r="G43" s="230" t="s">
        <v>425</v>
      </c>
      <c r="H43" s="228"/>
    </row>
    <row r="44" spans="1:8" x14ac:dyDescent="0.2">
      <c r="A44" s="231"/>
      <c r="B44" s="231"/>
      <c r="C44" s="231"/>
      <c r="D44" s="231"/>
      <c r="E44" s="231"/>
      <c r="F44" s="230"/>
      <c r="G44" s="189" t="s">
        <v>364</v>
      </c>
      <c r="H44" s="230"/>
    </row>
    <row r="45" spans="1:8" x14ac:dyDescent="0.2">
      <c r="A45" s="231"/>
      <c r="B45" s="231"/>
      <c r="C45" s="231" t="s">
        <v>329</v>
      </c>
      <c r="D45" s="231"/>
      <c r="E45" s="231"/>
      <c r="F45" s="184">
        <v>12</v>
      </c>
      <c r="G45" s="230"/>
      <c r="H45" s="230"/>
    </row>
    <row r="46" spans="1:8" ht="13.5" thickBot="1" x14ac:dyDescent="0.25">
      <c r="A46" s="231"/>
      <c r="B46" s="231"/>
      <c r="C46" s="180"/>
      <c r="D46" s="180"/>
      <c r="E46" s="182"/>
      <c r="F46" s="228"/>
      <c r="G46" s="228" t="s">
        <v>320</v>
      </c>
      <c r="H46" s="228"/>
    </row>
    <row r="47" spans="1:8" x14ac:dyDescent="0.2">
      <c r="A47" s="231"/>
      <c r="B47" s="231"/>
      <c r="C47" s="226" t="s">
        <v>320</v>
      </c>
      <c r="D47" s="226"/>
      <c r="E47" s="186"/>
      <c r="F47" s="213">
        <v>13</v>
      </c>
      <c r="G47" s="112" t="s">
        <v>369</v>
      </c>
      <c r="H47" s="230"/>
    </row>
    <row r="48" spans="1:8" x14ac:dyDescent="0.2">
      <c r="A48" s="231"/>
      <c r="B48" s="231"/>
      <c r="C48" s="231"/>
      <c r="D48" s="231"/>
      <c r="E48" s="231"/>
      <c r="F48" s="231"/>
      <c r="G48" s="230"/>
      <c r="H48" s="230"/>
    </row>
    <row r="49" spans="1:8" ht="13.5" thickBot="1" x14ac:dyDescent="0.25">
      <c r="A49" s="231"/>
      <c r="B49" s="231"/>
      <c r="C49" s="231"/>
      <c r="D49" s="230"/>
      <c r="E49" s="230"/>
      <c r="F49" s="231"/>
      <c r="G49" s="228" t="s">
        <v>329</v>
      </c>
      <c r="H49" s="228"/>
    </row>
    <row r="50" spans="1:8" x14ac:dyDescent="0.2">
      <c r="A50" s="231"/>
      <c r="B50" s="231"/>
      <c r="C50" s="231"/>
      <c r="D50" s="230"/>
      <c r="E50" s="230"/>
      <c r="F50" s="231"/>
      <c r="G50" s="118" t="s">
        <v>370</v>
      </c>
      <c r="H50" s="231"/>
    </row>
    <row r="52" spans="1:8" x14ac:dyDescent="0.2">
      <c r="A52" s="94">
        <v>1</v>
      </c>
      <c r="B52" s="203" t="s">
        <v>427</v>
      </c>
    </row>
    <row r="53" spans="1:8" x14ac:dyDescent="0.2">
      <c r="A53" s="94">
        <v>2</v>
      </c>
      <c r="B53" s="232" t="s">
        <v>49</v>
      </c>
    </row>
    <row r="54" spans="1:8" x14ac:dyDescent="0.2">
      <c r="A54" s="94">
        <v>3</v>
      </c>
      <c r="B54" s="233" t="s">
        <v>90</v>
      </c>
    </row>
    <row r="55" spans="1:8" x14ac:dyDescent="0.2">
      <c r="A55" s="94">
        <v>4</v>
      </c>
      <c r="B55" s="96" t="s">
        <v>345</v>
      </c>
    </row>
    <row r="56" spans="1:8" x14ac:dyDescent="0.2">
      <c r="A56" s="94">
        <v>5</v>
      </c>
      <c r="B56" s="96" t="s">
        <v>426</v>
      </c>
    </row>
    <row r="57" spans="1:8" x14ac:dyDescent="0.2">
      <c r="A57" s="94">
        <v>6</v>
      </c>
      <c r="B57" s="96" t="s">
        <v>425</v>
      </c>
    </row>
    <row r="58" spans="1:8" x14ac:dyDescent="0.2">
      <c r="A58" s="94">
        <v>7</v>
      </c>
      <c r="B58" s="96" t="s">
        <v>320</v>
      </c>
    </row>
    <row r="59" spans="1:8" x14ac:dyDescent="0.2">
      <c r="A59" s="94">
        <v>8</v>
      </c>
      <c r="B59" s="96" t="s">
        <v>329</v>
      </c>
    </row>
  </sheetData>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259" customWidth="1"/>
    <col min="2" max="2" width="50.140625" style="259" bestFit="1" customWidth="1"/>
    <col min="3" max="3" width="7.28515625" style="259" bestFit="1" customWidth="1"/>
    <col min="4" max="4" width="7.42578125" style="259" bestFit="1" customWidth="1"/>
    <col min="5" max="5" width="9.140625" style="259"/>
    <col min="6" max="6" width="6.7109375" style="259" bestFit="1" customWidth="1"/>
    <col min="7" max="7" width="5.140625" style="259" bestFit="1" customWidth="1"/>
    <col min="8" max="8" width="3.28515625" style="259" customWidth="1"/>
    <col min="9" max="9" width="3.140625" style="259" customWidth="1"/>
    <col min="10" max="16384" width="9.140625" style="259"/>
  </cols>
  <sheetData>
    <row r="1" spans="1:11" x14ac:dyDescent="0.2">
      <c r="A1" s="314" t="str">
        <f>UPPER((Kalend!E10)&amp;" - "&amp;(Kalend!C10)&amp;" - "&amp;(Kalend!D10))</f>
        <v>4 - EESTI REITINGUVÕISTLUS - TRIO</v>
      </c>
      <c r="D1" s="204" t="str">
        <f>HYPERLINK("#Üldreiting!I1","Reiting")</f>
        <v>Reiting</v>
      </c>
      <c r="E1" s="528"/>
      <c r="F1" s="528"/>
    </row>
    <row r="2" spans="1:11" x14ac:dyDescent="0.2">
      <c r="A2" s="309" t="str">
        <f>"Toimumisaeg: "&amp;(Kalend!A10)&amp;" kell "&amp;(Kalend!B10)</f>
        <v>Toimumisaeg: P, 22.05.2016 kell 10:00</v>
      </c>
    </row>
    <row r="3" spans="1:11" x14ac:dyDescent="0.2">
      <c r="A3" s="309" t="str">
        <f>"Toimumiskoht: "&amp;(Kalend!H10)</f>
        <v>Toimumiskoht: Saku, Teaduse 2</v>
      </c>
    </row>
    <row r="4" spans="1:11" x14ac:dyDescent="0.2">
      <c r="A4" s="309" t="str">
        <f>"Korraldaja: "&amp;(Kalend!I10)</f>
        <v>Korraldaja: EPKL</v>
      </c>
    </row>
    <row r="6" spans="1:11" x14ac:dyDescent="0.2">
      <c r="A6" s="855" t="s">
        <v>331</v>
      </c>
      <c r="B6" s="856"/>
      <c r="C6" s="77" t="s">
        <v>332</v>
      </c>
      <c r="D6" s="77" t="s">
        <v>333</v>
      </c>
      <c r="E6" s="77" t="s">
        <v>334</v>
      </c>
      <c r="F6" s="77" t="s">
        <v>335</v>
      </c>
      <c r="G6" s="77" t="s">
        <v>28</v>
      </c>
    </row>
    <row r="7" spans="1:11" x14ac:dyDescent="0.2">
      <c r="A7" s="76">
        <v>1</v>
      </c>
      <c r="B7" s="253" t="s">
        <v>459</v>
      </c>
      <c r="C7" s="78">
        <v>13</v>
      </c>
      <c r="D7" s="79">
        <v>8</v>
      </c>
      <c r="E7" s="79"/>
      <c r="F7" s="79">
        <v>9</v>
      </c>
      <c r="G7" s="236" t="s">
        <v>338</v>
      </c>
    </row>
    <row r="8" spans="1:11" x14ac:dyDescent="0.2">
      <c r="A8" s="76">
        <v>2</v>
      </c>
      <c r="B8" s="253" t="s">
        <v>460</v>
      </c>
      <c r="C8" s="78">
        <v>13</v>
      </c>
      <c r="D8" s="78">
        <v>13</v>
      </c>
      <c r="E8" s="79"/>
      <c r="F8" s="79"/>
      <c r="G8" s="236" t="s">
        <v>337</v>
      </c>
      <c r="K8" s="157"/>
    </row>
    <row r="9" spans="1:11" x14ac:dyDescent="0.2">
      <c r="A9" s="76">
        <v>3</v>
      </c>
      <c r="B9" s="253" t="s">
        <v>461</v>
      </c>
      <c r="C9" s="79">
        <v>4</v>
      </c>
      <c r="D9" s="79"/>
      <c r="E9" s="78">
        <v>13</v>
      </c>
      <c r="F9" s="78">
        <v>13</v>
      </c>
      <c r="G9" s="236" t="s">
        <v>336</v>
      </c>
    </row>
    <row r="10" spans="1:11" x14ac:dyDescent="0.2">
      <c r="A10" s="76">
        <v>4</v>
      </c>
      <c r="B10" s="254" t="s">
        <v>462</v>
      </c>
      <c r="C10" s="79">
        <v>7</v>
      </c>
      <c r="D10" s="79"/>
      <c r="E10" s="79">
        <v>5</v>
      </c>
      <c r="F10" s="79"/>
      <c r="G10" s="236" t="s">
        <v>398</v>
      </c>
    </row>
    <row r="11" spans="1:11" x14ac:dyDescent="0.2">
      <c r="A11" s="80"/>
      <c r="B11" s="81"/>
      <c r="C11" s="82"/>
      <c r="D11" s="82"/>
      <c r="E11" s="82"/>
      <c r="F11" s="83"/>
      <c r="G11" s="84"/>
    </row>
    <row r="12" spans="1:11" x14ac:dyDescent="0.2">
      <c r="A12" s="855" t="s">
        <v>339</v>
      </c>
      <c r="B12" s="856"/>
      <c r="C12" s="77" t="s">
        <v>332</v>
      </c>
      <c r="D12" s="77" t="s">
        <v>333</v>
      </c>
      <c r="E12" s="77" t="s">
        <v>334</v>
      </c>
      <c r="F12" s="77" t="s">
        <v>335</v>
      </c>
      <c r="G12" s="77" t="s">
        <v>28</v>
      </c>
    </row>
    <row r="13" spans="1:11" x14ac:dyDescent="0.2">
      <c r="A13" s="76">
        <v>1</v>
      </c>
      <c r="B13" s="253" t="s">
        <v>342</v>
      </c>
      <c r="C13" s="78">
        <v>13</v>
      </c>
      <c r="D13" s="79">
        <v>4</v>
      </c>
      <c r="E13" s="79"/>
      <c r="F13" s="79">
        <v>13</v>
      </c>
      <c r="G13" s="236" t="s">
        <v>336</v>
      </c>
    </row>
    <row r="14" spans="1:11" x14ac:dyDescent="0.2">
      <c r="A14" s="76">
        <v>2</v>
      </c>
      <c r="B14" s="253" t="s">
        <v>463</v>
      </c>
      <c r="C14" s="79">
        <v>0</v>
      </c>
      <c r="D14" s="79"/>
      <c r="E14" s="78">
        <v>13</v>
      </c>
      <c r="F14" s="78">
        <v>0</v>
      </c>
      <c r="G14" s="236" t="s">
        <v>338</v>
      </c>
    </row>
    <row r="15" spans="1:11" x14ac:dyDescent="0.2">
      <c r="A15" s="76">
        <v>3</v>
      </c>
      <c r="B15" s="253" t="s">
        <v>464</v>
      </c>
      <c r="C15" s="78">
        <v>13</v>
      </c>
      <c r="D15" s="78">
        <v>13</v>
      </c>
      <c r="E15" s="79"/>
      <c r="F15" s="79"/>
      <c r="G15" s="236" t="s">
        <v>337</v>
      </c>
    </row>
    <row r="16" spans="1:11" x14ac:dyDescent="0.2">
      <c r="A16" s="76">
        <v>4</v>
      </c>
      <c r="B16" s="254"/>
      <c r="C16" s="79">
        <v>0</v>
      </c>
      <c r="D16" s="79"/>
      <c r="E16" s="79">
        <v>0</v>
      </c>
      <c r="F16" s="79"/>
      <c r="G16" s="236"/>
    </row>
    <row r="17" spans="1:9" x14ac:dyDescent="0.2">
      <c r="A17" s="80"/>
      <c r="B17" s="81"/>
      <c r="C17" s="82"/>
      <c r="D17" s="82"/>
      <c r="E17" s="82"/>
      <c r="F17" s="83"/>
      <c r="G17" s="84"/>
    </row>
    <row r="18" spans="1:9" x14ac:dyDescent="0.2">
      <c r="A18" s="855" t="s">
        <v>341</v>
      </c>
      <c r="B18" s="856"/>
      <c r="C18" s="77" t="s">
        <v>332</v>
      </c>
      <c r="D18" s="77" t="s">
        <v>333</v>
      </c>
      <c r="E18" s="77" t="s">
        <v>334</v>
      </c>
      <c r="F18" s="77" t="s">
        <v>335</v>
      </c>
      <c r="G18" s="77" t="s">
        <v>28</v>
      </c>
    </row>
    <row r="19" spans="1:9" x14ac:dyDescent="0.2">
      <c r="A19" s="76">
        <v>1</v>
      </c>
      <c r="B19" s="255" t="s">
        <v>349</v>
      </c>
      <c r="C19" s="78">
        <v>13</v>
      </c>
      <c r="D19" s="78">
        <v>13</v>
      </c>
      <c r="E19" s="79"/>
      <c r="F19" s="79"/>
      <c r="G19" s="236" t="s">
        <v>337</v>
      </c>
    </row>
    <row r="20" spans="1:9" x14ac:dyDescent="0.2">
      <c r="A20" s="76">
        <v>2</v>
      </c>
      <c r="B20" s="253" t="s">
        <v>348</v>
      </c>
      <c r="C20" s="79">
        <v>8</v>
      </c>
      <c r="D20" s="79"/>
      <c r="E20" s="78">
        <v>13</v>
      </c>
      <c r="F20" s="79">
        <v>2</v>
      </c>
      <c r="G20" s="236" t="s">
        <v>338</v>
      </c>
    </row>
    <row r="21" spans="1:9" x14ac:dyDescent="0.2">
      <c r="A21" s="76">
        <v>3</v>
      </c>
      <c r="B21" s="253" t="s">
        <v>465</v>
      </c>
      <c r="C21" s="78">
        <v>13</v>
      </c>
      <c r="D21" s="79">
        <v>5</v>
      </c>
      <c r="E21" s="79"/>
      <c r="F21" s="78">
        <v>13</v>
      </c>
      <c r="G21" s="236" t="s">
        <v>336</v>
      </c>
    </row>
    <row r="22" spans="1:9" x14ac:dyDescent="0.2">
      <c r="A22" s="76">
        <v>4</v>
      </c>
      <c r="B22" s="254"/>
      <c r="C22" s="79">
        <v>0</v>
      </c>
      <c r="D22" s="79"/>
      <c r="E22" s="79">
        <v>0</v>
      </c>
      <c r="F22" s="79"/>
      <c r="G22" s="236"/>
    </row>
    <row r="23" spans="1:9" s="252" customFormat="1" x14ac:dyDescent="0.2"/>
    <row r="24" spans="1:9" s="175" customFormat="1" x14ac:dyDescent="0.2">
      <c r="A24" s="85" t="s">
        <v>351</v>
      </c>
    </row>
    <row r="25" spans="1:9" s="175" customFormat="1" x14ac:dyDescent="0.2">
      <c r="A25" s="85"/>
    </row>
    <row r="26" spans="1:9" s="175" customFormat="1" x14ac:dyDescent="0.2">
      <c r="A26" s="113" t="s">
        <v>353</v>
      </c>
      <c r="B26" s="209" t="s">
        <v>349</v>
      </c>
      <c r="C26" s="111">
        <v>13</v>
      </c>
      <c r="D26" s="209"/>
      <c r="E26" s="209"/>
      <c r="F26" s="209"/>
      <c r="G26" s="209"/>
      <c r="H26" s="209"/>
      <c r="I26" s="209"/>
    </row>
    <row r="27" spans="1:9" s="175" customFormat="1" x14ac:dyDescent="0.2">
      <c r="A27" s="114"/>
      <c r="B27" s="98"/>
      <c r="C27" s="99" t="s">
        <v>349</v>
      </c>
      <c r="D27" s="245"/>
      <c r="E27" s="209"/>
      <c r="F27" s="111">
        <v>13</v>
      </c>
      <c r="G27" s="209"/>
      <c r="H27" s="209"/>
      <c r="I27" s="209"/>
    </row>
    <row r="28" spans="1:9" s="175" customFormat="1" x14ac:dyDescent="0.2">
      <c r="A28" s="113"/>
      <c r="B28" s="249" t="s">
        <v>352</v>
      </c>
      <c r="C28" s="100">
        <v>0</v>
      </c>
      <c r="D28" s="209"/>
      <c r="E28" s="101"/>
      <c r="F28" s="209"/>
      <c r="G28" s="209"/>
      <c r="H28" s="209"/>
      <c r="I28" s="209"/>
    </row>
    <row r="29" spans="1:9" s="175" customFormat="1" x14ac:dyDescent="0.2">
      <c r="A29" s="114"/>
      <c r="B29" s="209"/>
      <c r="C29" s="209"/>
      <c r="D29" s="102"/>
      <c r="E29" s="103"/>
      <c r="F29" s="209" t="s">
        <v>349</v>
      </c>
      <c r="G29" s="209"/>
      <c r="H29" s="209"/>
      <c r="I29" s="111">
        <v>13</v>
      </c>
    </row>
    <row r="30" spans="1:9" s="175" customFormat="1" x14ac:dyDescent="0.2">
      <c r="A30" s="113" t="s">
        <v>356</v>
      </c>
      <c r="B30" s="245" t="s">
        <v>342</v>
      </c>
      <c r="C30" s="110">
        <v>13</v>
      </c>
      <c r="D30" s="209"/>
      <c r="E30" s="103"/>
      <c r="F30" s="98"/>
      <c r="G30" s="98"/>
      <c r="H30" s="101"/>
      <c r="I30" s="209"/>
    </row>
    <row r="31" spans="1:9" s="175" customFormat="1" x14ac:dyDescent="0.2">
      <c r="A31" s="114"/>
      <c r="B31" s="98"/>
      <c r="C31" s="105" t="s">
        <v>342</v>
      </c>
      <c r="D31" s="209"/>
      <c r="E31" s="249"/>
      <c r="F31" s="104">
        <v>11</v>
      </c>
      <c r="G31" s="102"/>
      <c r="H31" s="103"/>
      <c r="I31" s="209"/>
    </row>
    <row r="32" spans="1:9" s="175" customFormat="1" x14ac:dyDescent="0.2">
      <c r="A32" s="113" t="s">
        <v>358</v>
      </c>
      <c r="B32" s="249" t="s">
        <v>461</v>
      </c>
      <c r="C32" s="106">
        <v>3</v>
      </c>
      <c r="D32" s="98"/>
      <c r="E32" s="209"/>
      <c r="F32" s="102"/>
      <c r="G32" s="102"/>
      <c r="H32" s="103"/>
      <c r="I32" s="209"/>
    </row>
    <row r="33" spans="1:11" s="175" customFormat="1" ht="13.5" thickBot="1" x14ac:dyDescent="0.25">
      <c r="A33" s="114"/>
      <c r="B33" s="209"/>
      <c r="C33" s="209"/>
      <c r="D33" s="209"/>
      <c r="E33" s="209"/>
      <c r="F33" s="102"/>
      <c r="G33" s="102"/>
      <c r="H33" s="103"/>
      <c r="I33" s="209"/>
      <c r="J33" s="175" t="s">
        <v>349</v>
      </c>
    </row>
    <row r="34" spans="1:11" s="175" customFormat="1" x14ac:dyDescent="0.2">
      <c r="A34" s="113" t="s">
        <v>356</v>
      </c>
      <c r="B34" s="209" t="s">
        <v>464</v>
      </c>
      <c r="C34" s="97">
        <v>7</v>
      </c>
      <c r="D34" s="209"/>
      <c r="E34" s="209"/>
      <c r="F34" s="102"/>
      <c r="G34" s="102"/>
      <c r="H34" s="103"/>
      <c r="I34" s="107"/>
      <c r="J34" s="88" t="s">
        <v>357</v>
      </c>
      <c r="K34" s="89"/>
    </row>
    <row r="35" spans="1:11" s="175" customFormat="1" x14ac:dyDescent="0.2">
      <c r="A35" s="114"/>
      <c r="B35" s="98"/>
      <c r="C35" s="99" t="s">
        <v>465</v>
      </c>
      <c r="D35" s="245"/>
      <c r="E35" s="209"/>
      <c r="F35" s="110">
        <v>13</v>
      </c>
      <c r="G35" s="102"/>
      <c r="H35" s="103"/>
      <c r="I35" s="209"/>
    </row>
    <row r="36" spans="1:11" s="175" customFormat="1" ht="13.5" thickBot="1" x14ac:dyDescent="0.25">
      <c r="A36" s="113" t="s">
        <v>354</v>
      </c>
      <c r="B36" s="245" t="s">
        <v>465</v>
      </c>
      <c r="C36" s="109">
        <v>13</v>
      </c>
      <c r="D36" s="209"/>
      <c r="E36" s="101"/>
      <c r="F36" s="102"/>
      <c r="G36" s="102"/>
      <c r="H36" s="103"/>
      <c r="I36" s="209"/>
      <c r="J36" s="210" t="s">
        <v>465</v>
      </c>
      <c r="K36" s="210"/>
    </row>
    <row r="37" spans="1:11" s="175" customFormat="1" x14ac:dyDescent="0.2">
      <c r="A37" s="114"/>
      <c r="B37" s="209"/>
      <c r="C37" s="209"/>
      <c r="D37" s="102"/>
      <c r="E37" s="103"/>
      <c r="F37" s="245" t="s">
        <v>465</v>
      </c>
      <c r="G37" s="245"/>
      <c r="H37" s="249"/>
      <c r="I37" s="97">
        <v>11</v>
      </c>
      <c r="J37" s="88" t="s">
        <v>359</v>
      </c>
    </row>
    <row r="38" spans="1:11" s="175" customFormat="1" x14ac:dyDescent="0.2">
      <c r="A38" s="113"/>
      <c r="B38" s="209" t="s">
        <v>352</v>
      </c>
      <c r="C38" s="104">
        <v>0</v>
      </c>
      <c r="D38" s="209"/>
      <c r="E38" s="103"/>
      <c r="F38" s="209"/>
      <c r="G38" s="209"/>
      <c r="H38" s="209"/>
      <c r="I38" s="209"/>
    </row>
    <row r="39" spans="1:11" s="175" customFormat="1" x14ac:dyDescent="0.2">
      <c r="A39" s="114"/>
      <c r="B39" s="98"/>
      <c r="C39" s="105" t="s">
        <v>460</v>
      </c>
      <c r="D39" s="209"/>
      <c r="E39" s="249"/>
      <c r="F39" s="97">
        <v>10</v>
      </c>
      <c r="G39" s="209"/>
      <c r="H39" s="209"/>
      <c r="I39" s="209"/>
    </row>
    <row r="40" spans="1:11" s="175" customFormat="1" x14ac:dyDescent="0.2">
      <c r="A40" s="113" t="s">
        <v>360</v>
      </c>
      <c r="B40" s="245" t="s">
        <v>460</v>
      </c>
      <c r="C40" s="211">
        <v>13</v>
      </c>
      <c r="D40" s="98"/>
      <c r="E40" s="209"/>
      <c r="F40" s="209"/>
      <c r="G40" s="209"/>
      <c r="H40" s="209"/>
      <c r="I40" s="209"/>
    </row>
    <row r="41" spans="1:11" s="175" customFormat="1" x14ac:dyDescent="0.2">
      <c r="B41" s="209"/>
      <c r="C41" s="209"/>
      <c r="D41" s="209"/>
      <c r="E41" s="209"/>
      <c r="F41" s="209" t="s">
        <v>342</v>
      </c>
      <c r="G41" s="209"/>
      <c r="H41" s="209"/>
      <c r="I41" s="104">
        <v>11</v>
      </c>
      <c r="J41" s="87"/>
      <c r="K41" s="87"/>
    </row>
    <row r="42" spans="1:11" s="175" customFormat="1" ht="13.5" thickBot="1" x14ac:dyDescent="0.25">
      <c r="B42" s="209"/>
      <c r="C42" s="209"/>
      <c r="D42" s="209"/>
      <c r="E42" s="209"/>
      <c r="F42" s="98"/>
      <c r="G42" s="98"/>
      <c r="H42" s="101"/>
      <c r="I42" s="108"/>
      <c r="J42" s="210" t="s">
        <v>460</v>
      </c>
      <c r="K42" s="210"/>
    </row>
    <row r="43" spans="1:11" s="175" customFormat="1" x14ac:dyDescent="0.2">
      <c r="B43" s="209"/>
      <c r="C43" s="209"/>
      <c r="D43" s="209"/>
      <c r="E43" s="209"/>
      <c r="F43" s="245" t="s">
        <v>460</v>
      </c>
      <c r="G43" s="245"/>
      <c r="H43" s="249"/>
      <c r="I43" s="111">
        <v>13</v>
      </c>
      <c r="J43" s="90" t="s">
        <v>361</v>
      </c>
      <c r="K43" s="87"/>
    </row>
    <row r="44" spans="1:11" s="175" customFormat="1" x14ac:dyDescent="0.2">
      <c r="B44" s="209"/>
      <c r="C44" s="209"/>
      <c r="D44" s="209"/>
      <c r="E44" s="209"/>
      <c r="F44" s="209"/>
      <c r="G44" s="209"/>
      <c r="H44" s="209"/>
      <c r="I44" s="209"/>
      <c r="J44" s="87"/>
      <c r="K44" s="87"/>
    </row>
    <row r="45" spans="1:11" s="175" customFormat="1" ht="13.5" thickBot="1" x14ac:dyDescent="0.25">
      <c r="B45" s="209"/>
      <c r="C45" s="209"/>
      <c r="D45" s="209"/>
      <c r="E45" s="209"/>
      <c r="F45" s="209"/>
      <c r="G45" s="102"/>
      <c r="H45" s="102"/>
      <c r="I45" s="209"/>
      <c r="J45" s="210" t="s">
        <v>342</v>
      </c>
      <c r="K45" s="210"/>
    </row>
    <row r="46" spans="1:11" s="175" customFormat="1" x14ac:dyDescent="0.2">
      <c r="B46" s="209"/>
      <c r="C46" s="209" t="s">
        <v>352</v>
      </c>
      <c r="D46" s="209"/>
      <c r="E46" s="209"/>
      <c r="F46" s="97">
        <v>0</v>
      </c>
      <c r="G46" s="209"/>
      <c r="H46" s="209"/>
      <c r="I46" s="209"/>
      <c r="J46" s="86" t="s">
        <v>362</v>
      </c>
    </row>
    <row r="47" spans="1:11" s="175" customFormat="1" x14ac:dyDescent="0.2">
      <c r="B47" s="209"/>
      <c r="C47" s="98"/>
      <c r="D47" s="98"/>
      <c r="E47" s="101"/>
      <c r="F47" s="99" t="s">
        <v>461</v>
      </c>
      <c r="G47" s="245"/>
      <c r="H47" s="245"/>
      <c r="I47" s="97">
        <v>0</v>
      </c>
    </row>
    <row r="48" spans="1:11" s="175" customFormat="1" x14ac:dyDescent="0.2">
      <c r="B48" s="209"/>
      <c r="C48" s="245" t="s">
        <v>461</v>
      </c>
      <c r="D48" s="245"/>
      <c r="E48" s="249"/>
      <c r="F48" s="109">
        <v>13</v>
      </c>
      <c r="G48" s="209"/>
      <c r="H48" s="103"/>
      <c r="I48" s="209"/>
    </row>
    <row r="49" spans="1:11" s="175" customFormat="1" ht="13.5" thickBot="1" x14ac:dyDescent="0.25">
      <c r="B49" s="209"/>
      <c r="C49" s="209"/>
      <c r="D49" s="209"/>
      <c r="E49" s="209"/>
      <c r="F49" s="102"/>
      <c r="G49" s="209"/>
      <c r="H49" s="103"/>
      <c r="I49" s="209"/>
      <c r="J49" s="175" t="s">
        <v>464</v>
      </c>
    </row>
    <row r="50" spans="1:11" s="175" customFormat="1" x14ac:dyDescent="0.2">
      <c r="B50" s="209"/>
      <c r="C50" s="209" t="s">
        <v>464</v>
      </c>
      <c r="D50" s="209"/>
      <c r="E50" s="209"/>
      <c r="F50" s="110">
        <v>13</v>
      </c>
      <c r="G50" s="209"/>
      <c r="H50" s="103"/>
      <c r="I50" s="107"/>
      <c r="J50" s="88" t="s">
        <v>363</v>
      </c>
      <c r="K50" s="89"/>
    </row>
    <row r="51" spans="1:11" s="175" customFormat="1" x14ac:dyDescent="0.2">
      <c r="B51" s="209"/>
      <c r="C51" s="98"/>
      <c r="D51" s="98"/>
      <c r="E51" s="101"/>
      <c r="F51" s="105" t="s">
        <v>464</v>
      </c>
      <c r="G51" s="209"/>
      <c r="H51" s="249"/>
      <c r="I51" s="110">
        <v>13</v>
      </c>
    </row>
    <row r="52" spans="1:11" s="175" customFormat="1" ht="13.5" thickBot="1" x14ac:dyDescent="0.25">
      <c r="B52" s="209"/>
      <c r="C52" s="245" t="s">
        <v>352</v>
      </c>
      <c r="D52" s="245"/>
      <c r="E52" s="249"/>
      <c r="F52" s="106">
        <v>0</v>
      </c>
      <c r="G52" s="98"/>
      <c r="H52" s="209"/>
      <c r="I52" s="102"/>
      <c r="J52" s="87" t="s">
        <v>461</v>
      </c>
      <c r="K52" s="210"/>
    </row>
    <row r="53" spans="1:11" s="175" customFormat="1" x14ac:dyDescent="0.2">
      <c r="B53" s="209"/>
      <c r="C53" s="209"/>
      <c r="D53" s="209"/>
      <c r="E53" s="209"/>
      <c r="F53" s="209"/>
      <c r="G53" s="209"/>
      <c r="H53" s="209"/>
      <c r="I53" s="102"/>
      <c r="J53" s="88" t="s">
        <v>364</v>
      </c>
      <c r="K53" s="87"/>
    </row>
    <row r="54" spans="1:11" s="175" customFormat="1" x14ac:dyDescent="0.2">
      <c r="B54" s="209"/>
      <c r="C54" s="209"/>
      <c r="D54" s="209"/>
      <c r="E54" s="209"/>
      <c r="F54" s="209"/>
      <c r="G54" s="209"/>
      <c r="H54" s="209"/>
      <c r="I54" s="102"/>
      <c r="J54" s="90"/>
      <c r="K54" s="87"/>
    </row>
    <row r="55" spans="1:11" s="175" customFormat="1" x14ac:dyDescent="0.2">
      <c r="A55" s="85" t="s">
        <v>882</v>
      </c>
      <c r="B55" s="209"/>
      <c r="C55" s="209"/>
      <c r="D55" s="209"/>
      <c r="E55" s="209"/>
      <c r="F55" s="209"/>
      <c r="G55" s="209"/>
      <c r="H55" s="209"/>
      <c r="I55" s="102"/>
      <c r="J55" s="90"/>
      <c r="K55" s="87"/>
    </row>
    <row r="56" spans="1:11" s="175" customFormat="1" x14ac:dyDescent="0.2">
      <c r="B56" s="113" t="s">
        <v>402</v>
      </c>
      <c r="C56" s="175" t="s">
        <v>348</v>
      </c>
      <c r="F56" s="260">
        <v>6</v>
      </c>
    </row>
    <row r="57" spans="1:11" s="175" customFormat="1" x14ac:dyDescent="0.2">
      <c r="C57" s="261"/>
      <c r="D57" s="261"/>
      <c r="E57" s="262"/>
      <c r="F57" s="263" t="s">
        <v>462</v>
      </c>
      <c r="G57" s="264"/>
      <c r="H57" s="264"/>
      <c r="I57" s="276">
        <v>13</v>
      </c>
    </row>
    <row r="58" spans="1:11" s="175" customFormat="1" x14ac:dyDescent="0.2">
      <c r="B58" s="113" t="s">
        <v>407</v>
      </c>
      <c r="C58" s="264" t="s">
        <v>462</v>
      </c>
      <c r="D58" s="264"/>
      <c r="E58" s="265"/>
      <c r="F58" s="277">
        <v>13</v>
      </c>
      <c r="H58" s="267"/>
    </row>
    <row r="59" spans="1:11" s="175" customFormat="1" ht="13.5" thickBot="1" x14ac:dyDescent="0.25">
      <c r="F59" s="87"/>
      <c r="H59" s="267"/>
      <c r="J59" s="175" t="s">
        <v>462</v>
      </c>
    </row>
    <row r="60" spans="1:11" s="175" customFormat="1" x14ac:dyDescent="0.2">
      <c r="B60" s="113" t="s">
        <v>405</v>
      </c>
      <c r="C60" s="175" t="s">
        <v>459</v>
      </c>
      <c r="F60" s="278">
        <v>13</v>
      </c>
      <c r="H60" s="267"/>
      <c r="I60" s="269"/>
      <c r="J60" s="88" t="s">
        <v>369</v>
      </c>
      <c r="K60" s="89"/>
    </row>
    <row r="61" spans="1:11" s="175" customFormat="1" x14ac:dyDescent="0.2">
      <c r="C61" s="261"/>
      <c r="D61" s="261"/>
      <c r="E61" s="262"/>
      <c r="F61" s="270" t="s">
        <v>459</v>
      </c>
      <c r="H61" s="265"/>
      <c r="I61" s="268">
        <v>5</v>
      </c>
    </row>
    <row r="62" spans="1:11" s="175" customFormat="1" ht="13.5" thickBot="1" x14ac:dyDescent="0.25">
      <c r="B62" s="113" t="s">
        <v>406</v>
      </c>
      <c r="C62" s="264" t="s">
        <v>463</v>
      </c>
      <c r="D62" s="264"/>
      <c r="E62" s="265"/>
      <c r="F62" s="271">
        <v>4</v>
      </c>
      <c r="G62" s="261"/>
      <c r="I62" s="87"/>
      <c r="J62" s="87" t="s">
        <v>459</v>
      </c>
      <c r="K62" s="210"/>
    </row>
    <row r="63" spans="1:11" s="175" customFormat="1" x14ac:dyDescent="0.2">
      <c r="I63" s="87"/>
      <c r="J63" s="88" t="s">
        <v>370</v>
      </c>
      <c r="K63" s="87"/>
    </row>
    <row r="64" spans="1:11" s="175" customFormat="1" x14ac:dyDescent="0.2">
      <c r="I64" s="87"/>
      <c r="J64" s="90"/>
      <c r="K64" s="87"/>
    </row>
    <row r="65" spans="1:11" s="175" customFormat="1" x14ac:dyDescent="0.2">
      <c r="F65" s="175" t="s">
        <v>348</v>
      </c>
      <c r="I65" s="278">
        <v>13</v>
      </c>
      <c r="J65" s="87"/>
      <c r="K65" s="87"/>
    </row>
    <row r="66" spans="1:11" s="175" customFormat="1" ht="13.5" thickBot="1" x14ac:dyDescent="0.25">
      <c r="F66" s="261"/>
      <c r="G66" s="261"/>
      <c r="H66" s="262"/>
      <c r="I66" s="210"/>
      <c r="J66" s="210" t="s">
        <v>348</v>
      </c>
      <c r="K66" s="210"/>
    </row>
    <row r="67" spans="1:11" s="175" customFormat="1" x14ac:dyDescent="0.2">
      <c r="F67" s="264" t="s">
        <v>463</v>
      </c>
      <c r="G67" s="264"/>
      <c r="H67" s="265"/>
      <c r="I67" s="260">
        <v>6</v>
      </c>
      <c r="J67" s="90" t="s">
        <v>374</v>
      </c>
      <c r="K67" s="87"/>
    </row>
    <row r="68" spans="1:11" s="175" customFormat="1" x14ac:dyDescent="0.2">
      <c r="J68" s="87"/>
      <c r="K68" s="87"/>
    </row>
    <row r="69" spans="1:11" s="175" customFormat="1" ht="13.5" thickBot="1" x14ac:dyDescent="0.25">
      <c r="G69" s="87"/>
      <c r="H69" s="87"/>
      <c r="J69" s="210" t="s">
        <v>463</v>
      </c>
      <c r="K69" s="210"/>
    </row>
    <row r="70" spans="1:11" s="175" customFormat="1" x14ac:dyDescent="0.2">
      <c r="G70" s="87"/>
      <c r="H70" s="87"/>
      <c r="J70" s="90" t="s">
        <v>390</v>
      </c>
    </row>
    <row r="71" spans="1:11" s="231" customFormat="1" x14ac:dyDescent="0.2"/>
    <row r="72" spans="1:11" s="252" customFormat="1" x14ac:dyDescent="0.2">
      <c r="A72" s="94">
        <v>1</v>
      </c>
      <c r="B72" s="95" t="s">
        <v>349</v>
      </c>
    </row>
    <row r="73" spans="1:11" s="252" customFormat="1" x14ac:dyDescent="0.2">
      <c r="A73" s="94">
        <v>2</v>
      </c>
      <c r="B73" s="232" t="s">
        <v>465</v>
      </c>
    </row>
    <row r="74" spans="1:11" s="252" customFormat="1" x14ac:dyDescent="0.2">
      <c r="A74" s="94">
        <v>3</v>
      </c>
      <c r="B74" s="233" t="s">
        <v>460</v>
      </c>
    </row>
    <row r="75" spans="1:11" s="252" customFormat="1" x14ac:dyDescent="0.2">
      <c r="A75" s="94">
        <v>4</v>
      </c>
      <c r="B75" s="96" t="s">
        <v>342</v>
      </c>
    </row>
    <row r="76" spans="1:11" s="252" customFormat="1" x14ac:dyDescent="0.2">
      <c r="A76" s="94">
        <v>5</v>
      </c>
      <c r="B76" s="96" t="s">
        <v>464</v>
      </c>
    </row>
    <row r="77" spans="1:11" s="252" customFormat="1" x14ac:dyDescent="0.2">
      <c r="A77" s="94">
        <v>6</v>
      </c>
      <c r="B77" s="96" t="s">
        <v>461</v>
      </c>
    </row>
    <row r="78" spans="1:11" s="252" customFormat="1" x14ac:dyDescent="0.2">
      <c r="A78" s="94">
        <v>7</v>
      </c>
      <c r="B78" s="253" t="s">
        <v>462</v>
      </c>
    </row>
    <row r="79" spans="1:11" s="252" customFormat="1" x14ac:dyDescent="0.2">
      <c r="A79" s="94">
        <v>8</v>
      </c>
      <c r="B79" s="272" t="s">
        <v>459</v>
      </c>
    </row>
    <row r="80" spans="1:11" s="252" customFormat="1" x14ac:dyDescent="0.2">
      <c r="A80" s="94">
        <v>9</v>
      </c>
      <c r="B80" s="138" t="s">
        <v>348</v>
      </c>
    </row>
    <row r="81" spans="1:2" x14ac:dyDescent="0.2">
      <c r="A81" s="94">
        <v>10</v>
      </c>
      <c r="B81" s="272" t="s">
        <v>463</v>
      </c>
    </row>
  </sheetData>
  <pageMargins left="0.39370078740157483" right="0.39370078740157483" top="0.78740157480314965" bottom="0.31496062992125984" header="0.59055118110236227" footer="0"/>
  <pageSetup paperSize="9" fitToHeight="0" orientation="landscape" r:id="rId1"/>
  <headerFooter>
    <oddHeader>&amp;RPage &amp;P of &amp;N</oddHeader>
  </headerFooter>
  <rowBreaks count="2" manualBreakCount="2">
    <brk id="22" max="16383" man="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4"/>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3.28515625" style="259" customWidth="1"/>
    <col min="2" max="2" width="30" style="259" customWidth="1"/>
    <col min="3" max="3" width="7.28515625" style="259" bestFit="1" customWidth="1"/>
    <col min="4" max="4" width="7.42578125" style="259" customWidth="1"/>
    <col min="5" max="5" width="9.140625" style="259"/>
    <col min="6" max="6" width="6.7109375" style="259" bestFit="1" customWidth="1"/>
    <col min="7" max="7" width="5.140625" style="259" bestFit="1" customWidth="1"/>
    <col min="8" max="8" width="2.7109375" style="259" customWidth="1"/>
    <col min="9" max="9" width="3" style="259" customWidth="1"/>
    <col min="10" max="10" width="30.28515625" style="259" customWidth="1"/>
    <col min="11" max="11" width="7.28515625" style="259" bestFit="1" customWidth="1"/>
    <col min="12" max="12" width="7.42578125" style="259" customWidth="1"/>
    <col min="13" max="13" width="9.140625" style="259"/>
    <col min="14" max="14" width="6.7109375" style="259" bestFit="1" customWidth="1"/>
    <col min="15" max="15" width="5.140625" style="259" bestFit="1" customWidth="1"/>
    <col min="16" max="18" width="0.85546875" style="259" customWidth="1"/>
    <col min="19" max="16384" width="9.140625" style="259"/>
  </cols>
  <sheetData>
    <row r="1" spans="1:15" x14ac:dyDescent="0.2">
      <c r="A1" s="314" t="str">
        <f>UPPER((Kalend!E14)&amp;" - "&amp;(Kalend!C14)&amp;" - "&amp;(Kalend!D14))</f>
        <v>5 - EESTI REITINGUVÕISTLUS - DUO</v>
      </c>
      <c r="G1" s="204" t="str">
        <f>HYPERLINK("#Üldreiting!I1","Reiting")</f>
        <v>Reiting</v>
      </c>
      <c r="H1" s="528"/>
      <c r="I1" s="528"/>
    </row>
    <row r="2" spans="1:15" x14ac:dyDescent="0.2">
      <c r="A2" s="309" t="str">
        <f>"Toimumisaeg: "&amp;(Kalend!A14)&amp;" kell "&amp;(Kalend!B14)</f>
        <v>Toimumisaeg: L, 04.06.2016 kell 11:00</v>
      </c>
    </row>
    <row r="3" spans="1:15" x14ac:dyDescent="0.2">
      <c r="A3" s="309" t="str">
        <f>"Toimumiskoht: "&amp;(Kalend!H14)</f>
        <v>Toimumiskoht: Viljandi, Järve 9</v>
      </c>
    </row>
    <row r="4" spans="1:15" x14ac:dyDescent="0.2">
      <c r="A4" s="309" t="str">
        <f>"Korraldaja: "&amp;(Kalend!I14)</f>
        <v>Korraldaja: PK Reede</v>
      </c>
    </row>
    <row r="6" spans="1:15" s="176" customFormat="1" x14ac:dyDescent="0.2">
      <c r="A6" s="855" t="s">
        <v>331</v>
      </c>
      <c r="B6" s="856"/>
      <c r="C6" s="77" t="s">
        <v>332</v>
      </c>
      <c r="D6" s="77" t="s">
        <v>333</v>
      </c>
      <c r="E6" s="77" t="s">
        <v>334</v>
      </c>
      <c r="F6" s="77" t="s">
        <v>335</v>
      </c>
      <c r="G6" s="77" t="s">
        <v>28</v>
      </c>
      <c r="I6" s="855" t="s">
        <v>443</v>
      </c>
      <c r="J6" s="856"/>
      <c r="K6" s="77" t="s">
        <v>332</v>
      </c>
      <c r="L6" s="77" t="s">
        <v>333</v>
      </c>
      <c r="M6" s="77" t="s">
        <v>334</v>
      </c>
      <c r="N6" s="77" t="s">
        <v>335</v>
      </c>
      <c r="O6" s="77" t="s">
        <v>28</v>
      </c>
    </row>
    <row r="7" spans="1:15" s="176" customFormat="1" x14ac:dyDescent="0.2">
      <c r="A7" s="76">
        <v>1</v>
      </c>
      <c r="B7" s="253" t="s">
        <v>379</v>
      </c>
      <c r="C7" s="79">
        <v>13</v>
      </c>
      <c r="D7" s="79">
        <v>5</v>
      </c>
      <c r="E7" s="79"/>
      <c r="F7" s="79">
        <v>13</v>
      </c>
      <c r="G7" s="236" t="s">
        <v>336</v>
      </c>
      <c r="I7" s="76">
        <v>1</v>
      </c>
      <c r="J7" s="253" t="s">
        <v>491</v>
      </c>
      <c r="K7" s="79">
        <v>13</v>
      </c>
      <c r="L7" s="79">
        <v>13</v>
      </c>
      <c r="M7" s="79"/>
      <c r="N7" s="79"/>
      <c r="O7" s="236" t="s">
        <v>337</v>
      </c>
    </row>
    <row r="8" spans="1:15" s="176" customFormat="1" x14ac:dyDescent="0.2">
      <c r="A8" s="76">
        <v>2</v>
      </c>
      <c r="B8" s="253" t="s">
        <v>480</v>
      </c>
      <c r="C8" s="79">
        <v>13</v>
      </c>
      <c r="D8" s="79">
        <v>13</v>
      </c>
      <c r="E8" s="79"/>
      <c r="F8" s="79"/>
      <c r="G8" s="236" t="s">
        <v>337</v>
      </c>
      <c r="I8" s="76">
        <v>2</v>
      </c>
      <c r="J8" s="254" t="s">
        <v>492</v>
      </c>
      <c r="K8" s="79">
        <v>13</v>
      </c>
      <c r="L8" s="79">
        <v>5</v>
      </c>
      <c r="M8" s="79"/>
      <c r="N8" s="79">
        <v>8</v>
      </c>
      <c r="O8" s="236" t="s">
        <v>338</v>
      </c>
    </row>
    <row r="9" spans="1:15" s="176" customFormat="1" x14ac:dyDescent="0.2">
      <c r="A9" s="76">
        <v>3</v>
      </c>
      <c r="B9" s="253" t="s">
        <v>512</v>
      </c>
      <c r="C9" s="79">
        <v>7</v>
      </c>
      <c r="D9" s="79"/>
      <c r="E9" s="79">
        <v>5</v>
      </c>
      <c r="F9" s="79"/>
      <c r="G9" s="236" t="s">
        <v>398</v>
      </c>
      <c r="I9" s="76">
        <v>3</v>
      </c>
      <c r="J9" s="253" t="s">
        <v>493</v>
      </c>
      <c r="K9" s="79">
        <v>12</v>
      </c>
      <c r="L9" s="79"/>
      <c r="M9" s="79">
        <v>6</v>
      </c>
      <c r="N9" s="79"/>
      <c r="O9" s="236" t="s">
        <v>398</v>
      </c>
    </row>
    <row r="10" spans="1:15" s="176" customFormat="1" x14ac:dyDescent="0.2">
      <c r="A10" s="76">
        <v>4</v>
      </c>
      <c r="B10" s="254" t="s">
        <v>481</v>
      </c>
      <c r="C10" s="79">
        <v>6</v>
      </c>
      <c r="D10" s="79"/>
      <c r="E10" s="79">
        <v>13</v>
      </c>
      <c r="F10" s="79">
        <v>10</v>
      </c>
      <c r="G10" s="236" t="s">
        <v>338</v>
      </c>
      <c r="I10" s="76">
        <v>4</v>
      </c>
      <c r="J10" s="254" t="s">
        <v>494</v>
      </c>
      <c r="K10" s="79">
        <v>7</v>
      </c>
      <c r="L10" s="79"/>
      <c r="M10" s="79">
        <v>13</v>
      </c>
      <c r="N10" s="79">
        <v>13</v>
      </c>
      <c r="O10" s="236" t="s">
        <v>336</v>
      </c>
    </row>
    <row r="11" spans="1:15" s="176" customFormat="1" x14ac:dyDescent="0.2">
      <c r="A11" s="80"/>
      <c r="B11" s="81"/>
      <c r="C11" s="82"/>
      <c r="D11" s="82"/>
      <c r="E11" s="82"/>
      <c r="F11" s="83"/>
      <c r="G11" s="84"/>
      <c r="I11" s="80"/>
      <c r="J11" s="81"/>
      <c r="K11" s="82"/>
      <c r="L11" s="82"/>
      <c r="M11" s="82"/>
      <c r="N11" s="83"/>
      <c r="O11" s="84"/>
    </row>
    <row r="12" spans="1:15" s="176" customFormat="1" x14ac:dyDescent="0.2">
      <c r="A12" s="855" t="s">
        <v>339</v>
      </c>
      <c r="B12" s="856"/>
      <c r="C12" s="77" t="s">
        <v>332</v>
      </c>
      <c r="D12" s="77" t="s">
        <v>333</v>
      </c>
      <c r="E12" s="77" t="s">
        <v>334</v>
      </c>
      <c r="F12" s="77" t="s">
        <v>335</v>
      </c>
      <c r="G12" s="77" t="s">
        <v>28</v>
      </c>
      <c r="I12" s="855" t="s">
        <v>444</v>
      </c>
      <c r="J12" s="856"/>
      <c r="K12" s="77" t="s">
        <v>332</v>
      </c>
      <c r="L12" s="77" t="s">
        <v>333</v>
      </c>
      <c r="M12" s="77" t="s">
        <v>334</v>
      </c>
      <c r="N12" s="77" t="s">
        <v>335</v>
      </c>
      <c r="O12" s="77" t="s">
        <v>28</v>
      </c>
    </row>
    <row r="13" spans="1:15" s="176" customFormat="1" x14ac:dyDescent="0.2">
      <c r="A13" s="76">
        <v>1</v>
      </c>
      <c r="B13" s="253" t="s">
        <v>381</v>
      </c>
      <c r="C13" s="79">
        <v>13</v>
      </c>
      <c r="D13" s="79">
        <v>6</v>
      </c>
      <c r="E13" s="79"/>
      <c r="F13" s="79">
        <v>8</v>
      </c>
      <c r="G13" s="236" t="s">
        <v>338</v>
      </c>
      <c r="I13" s="76">
        <v>1</v>
      </c>
      <c r="J13" s="255" t="s">
        <v>384</v>
      </c>
      <c r="K13" s="79">
        <v>13</v>
      </c>
      <c r="L13" s="79">
        <v>13</v>
      </c>
      <c r="M13" s="79"/>
      <c r="N13" s="79"/>
      <c r="O13" s="236" t="s">
        <v>337</v>
      </c>
    </row>
    <row r="14" spans="1:15" s="176" customFormat="1" x14ac:dyDescent="0.2">
      <c r="A14" s="76">
        <v>2</v>
      </c>
      <c r="B14" s="253" t="s">
        <v>482</v>
      </c>
      <c r="C14" s="79">
        <v>12</v>
      </c>
      <c r="D14" s="79"/>
      <c r="E14" s="79">
        <v>13</v>
      </c>
      <c r="F14" s="79">
        <v>13</v>
      </c>
      <c r="G14" s="236" t="s">
        <v>336</v>
      </c>
      <c r="I14" s="76">
        <v>2</v>
      </c>
      <c r="J14" s="255" t="s">
        <v>495</v>
      </c>
      <c r="K14" s="79">
        <v>13</v>
      </c>
      <c r="L14" s="79">
        <v>8</v>
      </c>
      <c r="M14" s="79"/>
      <c r="N14" s="79">
        <v>13</v>
      </c>
      <c r="O14" s="236" t="s">
        <v>336</v>
      </c>
    </row>
    <row r="15" spans="1:15" s="176" customFormat="1" x14ac:dyDescent="0.2">
      <c r="A15" s="76">
        <v>3</v>
      </c>
      <c r="B15" s="253" t="s">
        <v>483</v>
      </c>
      <c r="C15" s="79">
        <v>13</v>
      </c>
      <c r="D15" s="79">
        <v>13</v>
      </c>
      <c r="E15" s="79"/>
      <c r="F15" s="79"/>
      <c r="G15" s="236" t="s">
        <v>337</v>
      </c>
      <c r="I15" s="76">
        <v>3</v>
      </c>
      <c r="J15" s="225" t="s">
        <v>496</v>
      </c>
      <c r="K15" s="79">
        <v>0</v>
      </c>
      <c r="L15" s="79"/>
      <c r="M15" s="79">
        <v>13</v>
      </c>
      <c r="N15" s="79">
        <v>5</v>
      </c>
      <c r="O15" s="236" t="s">
        <v>338</v>
      </c>
    </row>
    <row r="16" spans="1:15" s="176" customFormat="1" x14ac:dyDescent="0.2">
      <c r="A16" s="76">
        <v>4</v>
      </c>
      <c r="B16" s="254"/>
      <c r="C16" s="79">
        <v>0</v>
      </c>
      <c r="D16" s="79"/>
      <c r="E16" s="79">
        <v>0</v>
      </c>
      <c r="F16" s="79"/>
      <c r="G16" s="236"/>
      <c r="I16" s="76">
        <v>4</v>
      </c>
      <c r="J16" s="254"/>
      <c r="K16" s="79">
        <v>0</v>
      </c>
      <c r="L16" s="79"/>
      <c r="M16" s="79">
        <v>0</v>
      </c>
      <c r="N16" s="79"/>
      <c r="O16" s="236"/>
    </row>
    <row r="17" spans="1:15" s="176" customFormat="1" x14ac:dyDescent="0.2">
      <c r="A17" s="80"/>
      <c r="B17" s="81"/>
      <c r="C17" s="82"/>
      <c r="D17" s="82"/>
      <c r="E17" s="82"/>
      <c r="F17" s="83"/>
      <c r="G17" s="84"/>
    </row>
    <row r="18" spans="1:15" s="176" customFormat="1" x14ac:dyDescent="0.2">
      <c r="A18" s="855" t="s">
        <v>341</v>
      </c>
      <c r="B18" s="856"/>
      <c r="C18" s="77" t="s">
        <v>332</v>
      </c>
      <c r="D18" s="77" t="s">
        <v>333</v>
      </c>
      <c r="E18" s="77" t="s">
        <v>334</v>
      </c>
      <c r="F18" s="77" t="s">
        <v>335</v>
      </c>
      <c r="G18" s="77" t="s">
        <v>28</v>
      </c>
      <c r="I18" s="855" t="s">
        <v>445</v>
      </c>
      <c r="J18" s="856"/>
      <c r="K18" s="77" t="s">
        <v>332</v>
      </c>
      <c r="L18" s="77" t="s">
        <v>333</v>
      </c>
      <c r="M18" s="77" t="s">
        <v>334</v>
      </c>
      <c r="N18" s="77" t="s">
        <v>335</v>
      </c>
      <c r="O18" s="77" t="s">
        <v>28</v>
      </c>
    </row>
    <row r="19" spans="1:15" s="176" customFormat="1" x14ac:dyDescent="0.2">
      <c r="A19" s="76">
        <v>1</v>
      </c>
      <c r="B19" s="253" t="s">
        <v>484</v>
      </c>
      <c r="C19" s="79">
        <v>13</v>
      </c>
      <c r="D19" s="79">
        <v>13</v>
      </c>
      <c r="E19" s="79"/>
      <c r="F19" s="79"/>
      <c r="G19" s="236" t="s">
        <v>337</v>
      </c>
      <c r="I19" s="76">
        <v>1</v>
      </c>
      <c r="J19" s="225" t="s">
        <v>497</v>
      </c>
      <c r="K19" s="79">
        <v>13</v>
      </c>
      <c r="L19" s="79">
        <v>6</v>
      </c>
      <c r="M19" s="79"/>
      <c r="N19" s="79">
        <v>13</v>
      </c>
      <c r="O19" s="236" t="s">
        <v>336</v>
      </c>
    </row>
    <row r="20" spans="1:15" s="176" customFormat="1" x14ac:dyDescent="0.2">
      <c r="A20" s="76">
        <v>2</v>
      </c>
      <c r="B20" s="253" t="s">
        <v>485</v>
      </c>
      <c r="C20" s="79">
        <v>13</v>
      </c>
      <c r="D20" s="79">
        <v>10</v>
      </c>
      <c r="E20" s="79"/>
      <c r="F20" s="79">
        <v>13</v>
      </c>
      <c r="G20" s="236" t="s">
        <v>336</v>
      </c>
      <c r="I20" s="76">
        <v>2</v>
      </c>
      <c r="J20" s="255" t="s">
        <v>498</v>
      </c>
      <c r="K20" s="79">
        <v>13</v>
      </c>
      <c r="L20" s="79">
        <v>13</v>
      </c>
      <c r="M20" s="79"/>
      <c r="N20" s="79"/>
      <c r="O20" s="236" t="s">
        <v>337</v>
      </c>
    </row>
    <row r="21" spans="1:15" s="176" customFormat="1" x14ac:dyDescent="0.2">
      <c r="A21" s="76">
        <v>3</v>
      </c>
      <c r="B21" s="253" t="s">
        <v>486</v>
      </c>
      <c r="C21" s="79">
        <v>7</v>
      </c>
      <c r="D21" s="79"/>
      <c r="E21" s="79">
        <v>13</v>
      </c>
      <c r="F21" s="79">
        <v>11</v>
      </c>
      <c r="G21" s="236" t="s">
        <v>338</v>
      </c>
      <c r="I21" s="76">
        <v>3</v>
      </c>
      <c r="J21" s="255" t="s">
        <v>499</v>
      </c>
      <c r="K21" s="79">
        <v>3</v>
      </c>
      <c r="L21" s="79"/>
      <c r="M21" s="79">
        <v>13</v>
      </c>
      <c r="N21" s="79">
        <v>2</v>
      </c>
      <c r="O21" s="236" t="s">
        <v>338</v>
      </c>
    </row>
    <row r="22" spans="1:15" s="176" customFormat="1" x14ac:dyDescent="0.2">
      <c r="A22" s="76">
        <v>4</v>
      </c>
      <c r="B22" s="253"/>
      <c r="C22" s="79">
        <v>0</v>
      </c>
      <c r="D22" s="79"/>
      <c r="E22" s="79">
        <v>0</v>
      </c>
      <c r="F22" s="79"/>
      <c r="G22" s="236"/>
      <c r="I22" s="76">
        <v>4</v>
      </c>
      <c r="J22" s="254"/>
      <c r="K22" s="79">
        <v>0</v>
      </c>
      <c r="L22" s="79"/>
      <c r="M22" s="79">
        <v>0</v>
      </c>
      <c r="N22" s="79"/>
      <c r="O22" s="236"/>
    </row>
    <row r="23" spans="1:15" s="176" customFormat="1" x14ac:dyDescent="0.2">
      <c r="I23" s="80"/>
      <c r="J23" s="81"/>
      <c r="K23" s="82"/>
      <c r="L23" s="82"/>
      <c r="M23" s="82"/>
      <c r="N23" s="83"/>
      <c r="O23" s="84"/>
    </row>
    <row r="24" spans="1:15" s="176" customFormat="1" x14ac:dyDescent="0.2">
      <c r="A24" s="855" t="s">
        <v>375</v>
      </c>
      <c r="B24" s="856"/>
      <c r="C24" s="77" t="s">
        <v>332</v>
      </c>
      <c r="D24" s="77" t="s">
        <v>333</v>
      </c>
      <c r="E24" s="77" t="s">
        <v>334</v>
      </c>
      <c r="F24" s="77" t="s">
        <v>335</v>
      </c>
      <c r="G24" s="77" t="s">
        <v>28</v>
      </c>
      <c r="I24" s="855" t="s">
        <v>446</v>
      </c>
      <c r="J24" s="856"/>
      <c r="K24" s="77" t="s">
        <v>332</v>
      </c>
      <c r="L24" s="77" t="s">
        <v>333</v>
      </c>
      <c r="M24" s="77" t="s">
        <v>334</v>
      </c>
      <c r="N24" s="77" t="s">
        <v>335</v>
      </c>
      <c r="O24" s="77" t="s">
        <v>28</v>
      </c>
    </row>
    <row r="25" spans="1:15" s="176" customFormat="1" x14ac:dyDescent="0.2">
      <c r="A25" s="76">
        <v>1</v>
      </c>
      <c r="B25" s="253" t="s">
        <v>487</v>
      </c>
      <c r="C25" s="79">
        <v>3</v>
      </c>
      <c r="D25" s="79"/>
      <c r="E25" s="79">
        <v>13</v>
      </c>
      <c r="F25" s="79">
        <v>4</v>
      </c>
      <c r="G25" s="236" t="s">
        <v>338</v>
      </c>
      <c r="I25" s="76">
        <v>1</v>
      </c>
      <c r="J25" s="253" t="s">
        <v>500</v>
      </c>
      <c r="K25" s="79">
        <v>9</v>
      </c>
      <c r="L25" s="79"/>
      <c r="M25" s="79">
        <v>13</v>
      </c>
      <c r="N25" s="79">
        <v>3</v>
      </c>
      <c r="O25" s="236" t="s">
        <v>338</v>
      </c>
    </row>
    <row r="26" spans="1:15" s="176" customFormat="1" x14ac:dyDescent="0.2">
      <c r="A26" s="76">
        <v>2</v>
      </c>
      <c r="B26" s="253" t="s">
        <v>488</v>
      </c>
      <c r="C26" s="79">
        <v>13</v>
      </c>
      <c r="D26" s="79">
        <v>13</v>
      </c>
      <c r="E26" s="79"/>
      <c r="F26" s="79"/>
      <c r="G26" s="236" t="s">
        <v>337</v>
      </c>
      <c r="I26" s="76">
        <v>2</v>
      </c>
      <c r="J26" s="254" t="s">
        <v>501</v>
      </c>
      <c r="K26" s="79">
        <v>13</v>
      </c>
      <c r="L26" s="79">
        <v>9</v>
      </c>
      <c r="M26" s="79"/>
      <c r="N26" s="79">
        <v>13</v>
      </c>
      <c r="O26" s="236" t="s">
        <v>336</v>
      </c>
    </row>
    <row r="27" spans="1:15" s="176" customFormat="1" x14ac:dyDescent="0.2">
      <c r="A27" s="76">
        <v>3</v>
      </c>
      <c r="B27" s="253" t="s">
        <v>489</v>
      </c>
      <c r="C27" s="79">
        <v>7</v>
      </c>
      <c r="D27" s="79"/>
      <c r="E27" s="79">
        <v>6</v>
      </c>
      <c r="F27" s="79"/>
      <c r="G27" s="236" t="s">
        <v>398</v>
      </c>
      <c r="I27" s="76">
        <v>3</v>
      </c>
      <c r="J27" s="253" t="s">
        <v>502</v>
      </c>
      <c r="K27" s="79">
        <v>8</v>
      </c>
      <c r="L27" s="79"/>
      <c r="M27" s="79">
        <v>1</v>
      </c>
      <c r="N27" s="79"/>
      <c r="O27" s="236" t="s">
        <v>398</v>
      </c>
    </row>
    <row r="28" spans="1:15" s="176" customFormat="1" x14ac:dyDescent="0.2">
      <c r="A28" s="76">
        <v>4</v>
      </c>
      <c r="B28" s="254" t="s">
        <v>490</v>
      </c>
      <c r="C28" s="79">
        <v>13</v>
      </c>
      <c r="D28" s="79">
        <v>11</v>
      </c>
      <c r="E28" s="79"/>
      <c r="F28" s="79">
        <v>13</v>
      </c>
      <c r="G28" s="236" t="s">
        <v>336</v>
      </c>
      <c r="I28" s="76">
        <v>4</v>
      </c>
      <c r="J28" s="254" t="s">
        <v>503</v>
      </c>
      <c r="K28" s="79">
        <v>13</v>
      </c>
      <c r="L28" s="79">
        <v>13</v>
      </c>
      <c r="M28" s="79"/>
      <c r="N28" s="79"/>
      <c r="O28" s="236" t="s">
        <v>337</v>
      </c>
    </row>
    <row r="30" spans="1:15" s="231" customFormat="1" x14ac:dyDescent="0.2">
      <c r="A30" s="177" t="s">
        <v>447</v>
      </c>
      <c r="B30" s="230"/>
      <c r="C30" s="82"/>
      <c r="D30" s="82"/>
      <c r="E30" s="82"/>
      <c r="F30" s="83"/>
      <c r="G30" s="84"/>
    </row>
    <row r="31" spans="1:15" s="231" customFormat="1" x14ac:dyDescent="0.2"/>
    <row r="32" spans="1:15" s="231" customFormat="1" x14ac:dyDescent="0.2">
      <c r="A32" s="178" t="s">
        <v>466</v>
      </c>
      <c r="B32" s="231" t="s">
        <v>384</v>
      </c>
      <c r="C32" s="217">
        <v>13</v>
      </c>
    </row>
    <row r="33" spans="1:13" s="231" customFormat="1" x14ac:dyDescent="0.2">
      <c r="A33" s="179"/>
      <c r="B33" s="180"/>
      <c r="C33" s="218" t="s">
        <v>384</v>
      </c>
      <c r="D33" s="226"/>
      <c r="F33" s="217">
        <v>13</v>
      </c>
    </row>
    <row r="34" spans="1:13" s="231" customFormat="1" x14ac:dyDescent="0.2">
      <c r="A34" s="179" t="s">
        <v>401</v>
      </c>
      <c r="B34" s="226" t="s">
        <v>490</v>
      </c>
      <c r="C34" s="181">
        <v>0</v>
      </c>
      <c r="E34" s="182"/>
    </row>
    <row r="35" spans="1:13" s="231" customFormat="1" x14ac:dyDescent="0.2">
      <c r="A35" s="179"/>
      <c r="D35" s="230"/>
      <c r="E35" s="183"/>
      <c r="F35" s="227" t="s">
        <v>384</v>
      </c>
      <c r="I35" s="217">
        <v>4</v>
      </c>
    </row>
    <row r="36" spans="1:13" s="231" customFormat="1" x14ac:dyDescent="0.2">
      <c r="A36" s="179" t="s">
        <v>356</v>
      </c>
      <c r="B36" s="231" t="s">
        <v>483</v>
      </c>
      <c r="C36" s="184">
        <v>1</v>
      </c>
      <c r="E36" s="183"/>
      <c r="F36" s="185"/>
      <c r="G36" s="180"/>
      <c r="H36" s="182"/>
    </row>
    <row r="37" spans="1:13" s="231" customFormat="1" x14ac:dyDescent="0.2">
      <c r="A37" s="179"/>
      <c r="B37" s="180"/>
      <c r="C37" s="227" t="s">
        <v>501</v>
      </c>
      <c r="E37" s="186"/>
      <c r="F37" s="184">
        <v>4</v>
      </c>
      <c r="G37" s="230"/>
      <c r="H37" s="183"/>
    </row>
    <row r="38" spans="1:13" s="231" customFormat="1" x14ac:dyDescent="0.2">
      <c r="A38" s="179" t="s">
        <v>470</v>
      </c>
      <c r="B38" s="226" t="s">
        <v>501</v>
      </c>
      <c r="C38" s="187">
        <v>13</v>
      </c>
      <c r="D38" s="180"/>
      <c r="F38" s="230"/>
      <c r="G38" s="230"/>
      <c r="H38" s="183"/>
    </row>
    <row r="39" spans="1:13" s="231" customFormat="1" x14ac:dyDescent="0.2">
      <c r="A39" s="118"/>
      <c r="F39" s="230"/>
      <c r="G39" s="230"/>
      <c r="H39" s="183"/>
      <c r="I39" s="227" t="s">
        <v>480</v>
      </c>
      <c r="K39" s="217">
        <v>13</v>
      </c>
    </row>
    <row r="40" spans="1:13" s="231" customFormat="1" x14ac:dyDescent="0.2">
      <c r="A40" s="178" t="s">
        <v>360</v>
      </c>
      <c r="B40" s="231" t="s">
        <v>480</v>
      </c>
      <c r="C40" s="217">
        <v>13</v>
      </c>
      <c r="F40" s="230"/>
      <c r="G40" s="230"/>
      <c r="H40" s="183"/>
      <c r="I40" s="180"/>
      <c r="J40" s="182"/>
    </row>
    <row r="41" spans="1:13" s="231" customFormat="1" x14ac:dyDescent="0.2">
      <c r="A41" s="179"/>
      <c r="B41" s="180"/>
      <c r="C41" s="218" t="s">
        <v>480</v>
      </c>
      <c r="D41" s="226"/>
      <c r="F41" s="184">
        <v>13</v>
      </c>
      <c r="G41" s="230"/>
      <c r="H41" s="183"/>
      <c r="I41" s="230"/>
      <c r="J41" s="183"/>
    </row>
    <row r="42" spans="1:13" s="231" customFormat="1" x14ac:dyDescent="0.2">
      <c r="A42" s="179" t="s">
        <v>468</v>
      </c>
      <c r="B42" s="226" t="s">
        <v>494</v>
      </c>
      <c r="C42" s="181">
        <v>1</v>
      </c>
      <c r="E42" s="182"/>
      <c r="F42" s="230"/>
      <c r="G42" s="230"/>
      <c r="H42" s="183"/>
      <c r="I42" s="230"/>
      <c r="J42" s="183"/>
    </row>
    <row r="43" spans="1:13" s="231" customFormat="1" x14ac:dyDescent="0.2">
      <c r="A43" s="179"/>
      <c r="D43" s="230"/>
      <c r="E43" s="183"/>
      <c r="F43" s="226" t="s">
        <v>480</v>
      </c>
      <c r="G43" s="226"/>
      <c r="H43" s="186"/>
      <c r="I43" s="184">
        <v>13</v>
      </c>
      <c r="J43" s="183"/>
    </row>
    <row r="44" spans="1:13" s="231" customFormat="1" x14ac:dyDescent="0.2">
      <c r="A44" s="179" t="s">
        <v>353</v>
      </c>
      <c r="B44" s="231" t="s">
        <v>484</v>
      </c>
      <c r="C44" s="184">
        <v>11</v>
      </c>
      <c r="E44" s="183"/>
      <c r="F44" s="227"/>
      <c r="G44" s="230"/>
      <c r="H44" s="230"/>
      <c r="I44" s="230"/>
      <c r="J44" s="183"/>
    </row>
    <row r="45" spans="1:13" s="231" customFormat="1" x14ac:dyDescent="0.2">
      <c r="A45" s="179"/>
      <c r="B45" s="180"/>
      <c r="C45" s="227" t="s">
        <v>497</v>
      </c>
      <c r="E45" s="186"/>
      <c r="F45" s="184">
        <v>9</v>
      </c>
      <c r="I45" s="230"/>
      <c r="J45" s="183"/>
    </row>
    <row r="46" spans="1:13" s="231" customFormat="1" x14ac:dyDescent="0.2">
      <c r="A46" s="179" t="s">
        <v>469</v>
      </c>
      <c r="B46" s="226" t="s">
        <v>497</v>
      </c>
      <c r="C46" s="187">
        <v>13</v>
      </c>
      <c r="D46" s="180"/>
      <c r="F46" s="230"/>
      <c r="G46" s="230"/>
      <c r="H46" s="230"/>
      <c r="I46" s="230"/>
      <c r="J46" s="183"/>
    </row>
    <row r="47" spans="1:13" s="231" customFormat="1" ht="13.5" thickBot="1" x14ac:dyDescent="0.25">
      <c r="I47" s="230"/>
      <c r="J47" s="183"/>
      <c r="L47" s="231" t="s">
        <v>480</v>
      </c>
    </row>
    <row r="48" spans="1:13" s="231" customFormat="1" x14ac:dyDescent="0.2">
      <c r="A48" s="178" t="s">
        <v>472</v>
      </c>
      <c r="B48" s="231" t="s">
        <v>491</v>
      </c>
      <c r="C48" s="217">
        <v>13</v>
      </c>
      <c r="I48" s="230"/>
      <c r="J48" s="183"/>
      <c r="K48" s="188"/>
      <c r="L48" s="189" t="s">
        <v>357</v>
      </c>
      <c r="M48" s="190"/>
    </row>
    <row r="49" spans="1:13" s="231" customFormat="1" x14ac:dyDescent="0.2">
      <c r="A49" s="179"/>
      <c r="B49" s="180"/>
      <c r="C49" s="218" t="s">
        <v>491</v>
      </c>
      <c r="D49" s="226"/>
      <c r="F49" s="217">
        <v>13</v>
      </c>
      <c r="I49" s="230"/>
      <c r="J49" s="183"/>
    </row>
    <row r="50" spans="1:13" s="231" customFormat="1" x14ac:dyDescent="0.2">
      <c r="A50" s="179" t="s">
        <v>471</v>
      </c>
      <c r="B50" s="226" t="s">
        <v>495</v>
      </c>
      <c r="C50" s="181">
        <v>8</v>
      </c>
      <c r="E50" s="182"/>
      <c r="I50" s="230"/>
      <c r="J50" s="183"/>
    </row>
    <row r="51" spans="1:13" s="231" customFormat="1" x14ac:dyDescent="0.2">
      <c r="A51" s="179"/>
      <c r="D51" s="230"/>
      <c r="E51" s="183"/>
      <c r="F51" s="231" t="s">
        <v>491</v>
      </c>
      <c r="I51" s="184">
        <v>13</v>
      </c>
      <c r="J51" s="183"/>
    </row>
    <row r="52" spans="1:13" s="231" customFormat="1" x14ac:dyDescent="0.2">
      <c r="A52" s="179" t="s">
        <v>467</v>
      </c>
      <c r="B52" s="231" t="s">
        <v>503</v>
      </c>
      <c r="C52" s="184">
        <v>12</v>
      </c>
      <c r="E52" s="183"/>
      <c r="F52" s="185"/>
      <c r="G52" s="180"/>
      <c r="H52" s="182"/>
      <c r="I52" s="230"/>
      <c r="J52" s="183"/>
    </row>
    <row r="53" spans="1:13" s="231" customFormat="1" x14ac:dyDescent="0.2">
      <c r="A53" s="179"/>
      <c r="B53" s="180"/>
      <c r="C53" s="227" t="s">
        <v>379</v>
      </c>
      <c r="E53" s="186"/>
      <c r="F53" s="184">
        <v>6</v>
      </c>
      <c r="G53" s="230"/>
      <c r="H53" s="183"/>
      <c r="I53" s="230"/>
      <c r="J53" s="183"/>
    </row>
    <row r="54" spans="1:13" s="231" customFormat="1" x14ac:dyDescent="0.2">
      <c r="A54" s="179" t="s">
        <v>358</v>
      </c>
      <c r="B54" s="226" t="s">
        <v>379</v>
      </c>
      <c r="C54" s="187">
        <v>13</v>
      </c>
      <c r="D54" s="180"/>
      <c r="F54" s="230"/>
      <c r="G54" s="230"/>
      <c r="H54" s="183"/>
      <c r="I54" s="230"/>
      <c r="J54" s="183"/>
    </row>
    <row r="55" spans="1:13" s="231" customFormat="1" x14ac:dyDescent="0.2">
      <c r="F55" s="230"/>
      <c r="G55" s="230"/>
      <c r="H55" s="183"/>
      <c r="I55" s="226" t="s">
        <v>491</v>
      </c>
      <c r="J55" s="186"/>
      <c r="K55" s="217"/>
    </row>
    <row r="56" spans="1:13" s="231" customFormat="1" ht="13.5" thickBot="1" x14ac:dyDescent="0.25">
      <c r="A56" s="178" t="s">
        <v>399</v>
      </c>
      <c r="B56" s="231" t="s">
        <v>488</v>
      </c>
      <c r="C56" s="217">
        <v>9</v>
      </c>
      <c r="F56" s="230"/>
      <c r="G56" s="230"/>
      <c r="H56" s="183"/>
      <c r="L56" s="230" t="s">
        <v>491</v>
      </c>
      <c r="M56" s="228"/>
    </row>
    <row r="57" spans="1:13" s="231" customFormat="1" x14ac:dyDescent="0.2">
      <c r="A57" s="179"/>
      <c r="B57" s="180"/>
      <c r="C57" s="219" t="s">
        <v>482</v>
      </c>
      <c r="D57" s="226"/>
      <c r="F57" s="184">
        <v>0</v>
      </c>
      <c r="G57" s="230"/>
      <c r="H57" s="183"/>
      <c r="L57" s="189" t="s">
        <v>359</v>
      </c>
      <c r="M57" s="230"/>
    </row>
    <row r="58" spans="1:13" s="231" customFormat="1" x14ac:dyDescent="0.2">
      <c r="A58" s="179" t="s">
        <v>355</v>
      </c>
      <c r="B58" s="226" t="s">
        <v>482</v>
      </c>
      <c r="C58" s="181">
        <v>13</v>
      </c>
      <c r="E58" s="182"/>
      <c r="F58" s="230"/>
      <c r="G58" s="230"/>
      <c r="H58" s="183"/>
    </row>
    <row r="59" spans="1:13" s="231" customFormat="1" x14ac:dyDescent="0.2">
      <c r="A59" s="179"/>
      <c r="D59" s="230"/>
      <c r="E59" s="183"/>
      <c r="F59" s="226" t="s">
        <v>498</v>
      </c>
      <c r="G59" s="226"/>
      <c r="H59" s="186"/>
      <c r="I59" s="217">
        <v>2</v>
      </c>
    </row>
    <row r="60" spans="1:13" s="231" customFormat="1" x14ac:dyDescent="0.2">
      <c r="A60" s="179" t="s">
        <v>473</v>
      </c>
      <c r="B60" s="231" t="s">
        <v>498</v>
      </c>
      <c r="C60" s="184">
        <v>13</v>
      </c>
      <c r="E60" s="183"/>
      <c r="F60" s="227"/>
      <c r="G60" s="230"/>
      <c r="H60" s="230"/>
    </row>
    <row r="61" spans="1:13" s="231" customFormat="1" x14ac:dyDescent="0.2">
      <c r="A61" s="179"/>
      <c r="B61" s="180"/>
      <c r="C61" s="227" t="s">
        <v>498</v>
      </c>
      <c r="E61" s="186"/>
      <c r="F61" s="184">
        <v>13</v>
      </c>
      <c r="I61" s="231" t="s">
        <v>384</v>
      </c>
      <c r="K61" s="184">
        <v>2</v>
      </c>
    </row>
    <row r="62" spans="1:13" s="231" customFormat="1" ht="13.5" thickBot="1" x14ac:dyDescent="0.25">
      <c r="A62" s="179" t="s">
        <v>354</v>
      </c>
      <c r="B62" s="226" t="s">
        <v>485</v>
      </c>
      <c r="C62" s="187">
        <v>10</v>
      </c>
      <c r="D62" s="180"/>
      <c r="F62" s="230"/>
      <c r="G62" s="230"/>
      <c r="H62" s="230"/>
      <c r="I62" s="180"/>
      <c r="J62" s="182"/>
      <c r="K62" s="228"/>
      <c r="L62" s="228" t="s">
        <v>498</v>
      </c>
      <c r="M62" s="228"/>
    </row>
    <row r="63" spans="1:13" s="231" customFormat="1" x14ac:dyDescent="0.2">
      <c r="H63" s="230"/>
      <c r="I63" s="226" t="s">
        <v>498</v>
      </c>
      <c r="J63" s="186"/>
      <c r="K63" s="217">
        <v>13</v>
      </c>
      <c r="L63" s="112" t="s">
        <v>361</v>
      </c>
      <c r="M63" s="230"/>
    </row>
    <row r="64" spans="1:13" s="231" customFormat="1" x14ac:dyDescent="0.2">
      <c r="H64" s="230"/>
      <c r="L64" s="230"/>
      <c r="M64" s="230"/>
    </row>
    <row r="65" spans="1:13" s="231" customFormat="1" ht="13.5" thickBot="1" x14ac:dyDescent="0.25">
      <c r="H65" s="230"/>
      <c r="I65" s="230"/>
      <c r="J65" s="230"/>
      <c r="L65" s="228" t="s">
        <v>384</v>
      </c>
      <c r="M65" s="228"/>
    </row>
    <row r="66" spans="1:13" s="231" customFormat="1" x14ac:dyDescent="0.2">
      <c r="I66" s="230"/>
      <c r="J66" s="230"/>
      <c r="L66" s="118" t="s">
        <v>362</v>
      </c>
    </row>
    <row r="67" spans="1:13" s="231" customFormat="1" x14ac:dyDescent="0.2">
      <c r="I67" s="230"/>
      <c r="J67" s="230"/>
      <c r="L67" s="118"/>
    </row>
    <row r="68" spans="1:13" s="231" customFormat="1" x14ac:dyDescent="0.2">
      <c r="A68" s="191" t="s">
        <v>448</v>
      </c>
      <c r="I68" s="230"/>
      <c r="J68" s="230"/>
      <c r="L68" s="118"/>
    </row>
    <row r="69" spans="1:13" s="231" customFormat="1" x14ac:dyDescent="0.2">
      <c r="F69" s="192" t="s">
        <v>501</v>
      </c>
      <c r="G69" s="217"/>
      <c r="H69" s="217"/>
      <c r="I69" s="217">
        <v>13</v>
      </c>
      <c r="J69" s="217"/>
      <c r="K69" s="217"/>
    </row>
    <row r="70" spans="1:13" s="231" customFormat="1" x14ac:dyDescent="0.2">
      <c r="F70" s="193"/>
      <c r="G70" s="193"/>
      <c r="H70" s="194"/>
      <c r="I70" s="195" t="s">
        <v>501</v>
      </c>
      <c r="J70" s="217"/>
      <c r="K70" s="217">
        <v>10</v>
      </c>
    </row>
    <row r="71" spans="1:13" s="231" customFormat="1" x14ac:dyDescent="0.2">
      <c r="F71" s="195" t="s">
        <v>497</v>
      </c>
      <c r="G71" s="195"/>
      <c r="H71" s="196"/>
      <c r="I71" s="217">
        <v>12</v>
      </c>
      <c r="J71" s="194"/>
      <c r="K71" s="217"/>
    </row>
    <row r="72" spans="1:13" s="231" customFormat="1" ht="13.5" thickBot="1" x14ac:dyDescent="0.25">
      <c r="F72" s="217"/>
      <c r="G72" s="217"/>
      <c r="H72" s="217"/>
      <c r="I72" s="184"/>
      <c r="J72" s="197"/>
      <c r="K72" s="217"/>
      <c r="L72" s="231" t="s">
        <v>482</v>
      </c>
    </row>
    <row r="73" spans="1:13" s="231" customFormat="1" x14ac:dyDescent="0.2">
      <c r="F73" s="217" t="s">
        <v>379</v>
      </c>
      <c r="G73" s="217"/>
      <c r="H73" s="217"/>
      <c r="I73" s="217">
        <v>6</v>
      </c>
      <c r="J73" s="197"/>
      <c r="K73" s="198"/>
      <c r="L73" s="189" t="s">
        <v>363</v>
      </c>
      <c r="M73" s="190"/>
    </row>
    <row r="74" spans="1:13" s="231" customFormat="1" x14ac:dyDescent="0.2">
      <c r="F74" s="193"/>
      <c r="G74" s="193"/>
      <c r="H74" s="194"/>
      <c r="I74" s="217" t="s">
        <v>482</v>
      </c>
      <c r="J74" s="196"/>
      <c r="K74" s="184">
        <v>13</v>
      </c>
    </row>
    <row r="75" spans="1:13" s="231" customFormat="1" ht="13.5" thickBot="1" x14ac:dyDescent="0.25">
      <c r="F75" s="195" t="s">
        <v>482</v>
      </c>
      <c r="G75" s="195"/>
      <c r="H75" s="196"/>
      <c r="I75" s="193">
        <v>13</v>
      </c>
      <c r="J75" s="217"/>
      <c r="K75" s="184"/>
      <c r="L75" s="230" t="s">
        <v>501</v>
      </c>
      <c r="M75" s="228"/>
    </row>
    <row r="76" spans="1:13" s="231" customFormat="1" x14ac:dyDescent="0.2">
      <c r="F76" s="217"/>
      <c r="G76" s="217"/>
      <c r="H76" s="217"/>
      <c r="I76" s="217"/>
      <c r="J76" s="217"/>
      <c r="K76" s="184"/>
      <c r="L76" s="189" t="s">
        <v>364</v>
      </c>
      <c r="M76" s="230"/>
    </row>
    <row r="77" spans="1:13" s="231" customFormat="1" x14ac:dyDescent="0.2">
      <c r="F77" s="217"/>
      <c r="G77" s="217"/>
      <c r="H77" s="184"/>
      <c r="I77" s="217" t="s">
        <v>497</v>
      </c>
      <c r="J77" s="217"/>
      <c r="K77" s="184">
        <v>13</v>
      </c>
      <c r="L77" s="230"/>
      <c r="M77" s="230"/>
    </row>
    <row r="78" spans="1:13" s="231" customFormat="1" ht="13.5" thickBot="1" x14ac:dyDescent="0.25">
      <c r="F78" s="217"/>
      <c r="G78" s="217"/>
      <c r="H78" s="184"/>
      <c r="I78" s="193"/>
      <c r="J78" s="194"/>
      <c r="K78" s="199"/>
      <c r="L78" s="228" t="s">
        <v>497</v>
      </c>
      <c r="M78" s="228"/>
    </row>
    <row r="79" spans="1:13" s="231" customFormat="1" x14ac:dyDescent="0.2">
      <c r="F79" s="217"/>
      <c r="G79" s="217"/>
      <c r="H79" s="184"/>
      <c r="I79" s="195" t="s">
        <v>379</v>
      </c>
      <c r="J79" s="196"/>
      <c r="K79" s="217">
        <v>0</v>
      </c>
      <c r="L79" s="112" t="s">
        <v>369</v>
      </c>
      <c r="M79" s="230"/>
    </row>
    <row r="80" spans="1:13" s="231" customFormat="1" x14ac:dyDescent="0.2">
      <c r="H80" s="230"/>
      <c r="L80" s="230"/>
      <c r="M80" s="230"/>
    </row>
    <row r="81" spans="1:13" s="231" customFormat="1" ht="13.5" thickBot="1" x14ac:dyDescent="0.25">
      <c r="I81" s="230"/>
      <c r="J81" s="230"/>
      <c r="L81" s="228" t="s">
        <v>379</v>
      </c>
      <c r="M81" s="228"/>
    </row>
    <row r="82" spans="1:13" s="231" customFormat="1" x14ac:dyDescent="0.2">
      <c r="I82" s="230"/>
      <c r="J82" s="230"/>
      <c r="L82" s="112" t="s">
        <v>370</v>
      </c>
    </row>
    <row r="83" spans="1:13" s="231" customFormat="1" x14ac:dyDescent="0.2">
      <c r="I83" s="230"/>
      <c r="J83" s="230"/>
      <c r="L83" s="112"/>
    </row>
    <row r="84" spans="1:13" s="231" customFormat="1" x14ac:dyDescent="0.2">
      <c r="A84" s="200" t="s">
        <v>449</v>
      </c>
    </row>
    <row r="85" spans="1:13" s="231" customFormat="1" x14ac:dyDescent="0.2">
      <c r="A85" s="201"/>
    </row>
    <row r="86" spans="1:13" s="231" customFormat="1" x14ac:dyDescent="0.2">
      <c r="B86" s="230"/>
      <c r="C86" s="226" t="s">
        <v>490</v>
      </c>
      <c r="D86" s="230"/>
      <c r="F86" s="217">
        <v>13</v>
      </c>
    </row>
    <row r="87" spans="1:13" s="231" customFormat="1" x14ac:dyDescent="0.2">
      <c r="B87" s="230"/>
      <c r="C87" s="180"/>
      <c r="D87" s="180"/>
      <c r="E87" s="182"/>
      <c r="F87" s="227" t="s">
        <v>490</v>
      </c>
      <c r="I87" s="217">
        <v>8</v>
      </c>
    </row>
    <row r="88" spans="1:13" s="231" customFormat="1" x14ac:dyDescent="0.2">
      <c r="B88" s="230"/>
      <c r="C88" s="226" t="s">
        <v>483</v>
      </c>
      <c r="D88" s="226"/>
      <c r="E88" s="186"/>
      <c r="F88" s="193">
        <v>9</v>
      </c>
      <c r="G88" s="180"/>
      <c r="H88" s="182"/>
    </row>
    <row r="89" spans="1:13" s="231" customFormat="1" x14ac:dyDescent="0.2">
      <c r="B89" s="230"/>
      <c r="F89" s="230"/>
      <c r="G89" s="230"/>
      <c r="H89" s="183"/>
      <c r="I89" s="227" t="s">
        <v>484</v>
      </c>
      <c r="K89" s="217">
        <v>13</v>
      </c>
    </row>
    <row r="90" spans="1:13" s="231" customFormat="1" x14ac:dyDescent="0.2">
      <c r="B90" s="230"/>
      <c r="C90" s="226" t="s">
        <v>494</v>
      </c>
      <c r="D90" s="226"/>
      <c r="F90" s="184">
        <v>0</v>
      </c>
      <c r="G90" s="230"/>
      <c r="H90" s="183"/>
      <c r="I90" s="185"/>
      <c r="J90" s="182"/>
    </row>
    <row r="91" spans="1:13" s="231" customFormat="1" x14ac:dyDescent="0.2">
      <c r="B91" s="230"/>
      <c r="D91" s="230"/>
      <c r="E91" s="182"/>
      <c r="F91" s="226" t="s">
        <v>484</v>
      </c>
      <c r="G91" s="226"/>
      <c r="H91" s="186"/>
      <c r="I91" s="184">
        <v>13</v>
      </c>
      <c r="J91" s="183"/>
    </row>
    <row r="92" spans="1:13" s="231" customFormat="1" x14ac:dyDescent="0.2">
      <c r="B92" s="230"/>
      <c r="C92" s="230" t="s">
        <v>484</v>
      </c>
      <c r="E92" s="186"/>
      <c r="F92" s="184">
        <v>13</v>
      </c>
      <c r="I92" s="230"/>
      <c r="J92" s="183"/>
    </row>
    <row r="93" spans="1:13" s="231" customFormat="1" ht="13.5" thickBot="1" x14ac:dyDescent="0.25">
      <c r="B93" s="230"/>
      <c r="C93" s="193"/>
      <c r="D93" s="180"/>
      <c r="F93" s="230"/>
      <c r="G93" s="230"/>
      <c r="H93" s="230"/>
      <c r="I93" s="230"/>
      <c r="J93" s="183"/>
      <c r="L93" s="231" t="s">
        <v>484</v>
      </c>
    </row>
    <row r="94" spans="1:13" s="231" customFormat="1" x14ac:dyDescent="0.2">
      <c r="B94" s="230"/>
      <c r="C94" s="230" t="s">
        <v>495</v>
      </c>
      <c r="D94" s="230"/>
      <c r="F94" s="217">
        <v>13</v>
      </c>
      <c r="J94" s="183"/>
      <c r="K94" s="190"/>
      <c r="L94" s="189" t="s">
        <v>374</v>
      </c>
      <c r="M94" s="190"/>
    </row>
    <row r="95" spans="1:13" s="231" customFormat="1" x14ac:dyDescent="0.2">
      <c r="B95" s="230"/>
      <c r="C95" s="180"/>
      <c r="D95" s="180"/>
      <c r="E95" s="182"/>
      <c r="F95" s="227" t="s">
        <v>495</v>
      </c>
      <c r="I95" s="217">
        <v>7</v>
      </c>
      <c r="J95" s="183"/>
    </row>
    <row r="96" spans="1:13" s="231" customFormat="1" ht="13.5" thickBot="1" x14ac:dyDescent="0.25">
      <c r="B96" s="230"/>
      <c r="C96" s="226" t="s">
        <v>503</v>
      </c>
      <c r="D96" s="226"/>
      <c r="E96" s="186"/>
      <c r="F96" s="193">
        <v>0</v>
      </c>
      <c r="G96" s="180"/>
      <c r="H96" s="182"/>
      <c r="J96" s="183"/>
      <c r="K96" s="217"/>
      <c r="L96" s="230" t="s">
        <v>485</v>
      </c>
      <c r="M96" s="228"/>
    </row>
    <row r="97" spans="2:13" s="231" customFormat="1" x14ac:dyDescent="0.2">
      <c r="B97" s="230"/>
      <c r="F97" s="230"/>
      <c r="G97" s="230"/>
      <c r="H97" s="183"/>
      <c r="I97" s="227" t="s">
        <v>485</v>
      </c>
      <c r="J97" s="186"/>
      <c r="K97" s="217">
        <v>0</v>
      </c>
      <c r="L97" s="189" t="s">
        <v>390</v>
      </c>
      <c r="M97" s="230"/>
    </row>
    <row r="98" spans="2:13" s="231" customFormat="1" x14ac:dyDescent="0.2">
      <c r="B98" s="230"/>
      <c r="C98" s="226" t="s">
        <v>488</v>
      </c>
      <c r="D98" s="226"/>
      <c r="F98" s="184">
        <v>5</v>
      </c>
      <c r="G98" s="230"/>
      <c r="H98" s="183"/>
      <c r="I98" s="185"/>
      <c r="J98" s="180"/>
    </row>
    <row r="99" spans="2:13" s="231" customFormat="1" x14ac:dyDescent="0.2">
      <c r="B99" s="230"/>
      <c r="D99" s="230"/>
      <c r="E99" s="182"/>
      <c r="F99" s="226" t="s">
        <v>485</v>
      </c>
      <c r="G99" s="226"/>
      <c r="H99" s="186"/>
      <c r="I99" s="184">
        <v>13</v>
      </c>
      <c r="J99" s="230"/>
    </row>
    <row r="100" spans="2:13" s="231" customFormat="1" x14ac:dyDescent="0.2">
      <c r="B100" s="230"/>
      <c r="C100" s="230" t="s">
        <v>485</v>
      </c>
      <c r="E100" s="186"/>
      <c r="F100" s="184">
        <v>13</v>
      </c>
      <c r="I100" s="230"/>
      <c r="J100" s="230"/>
    </row>
    <row r="101" spans="2:13" s="231" customFormat="1" x14ac:dyDescent="0.2">
      <c r="B101" s="230"/>
      <c r="C101" s="193"/>
      <c r="D101" s="180"/>
      <c r="F101" s="230"/>
      <c r="G101" s="230"/>
      <c r="H101" s="230"/>
      <c r="I101" s="231" t="s">
        <v>490</v>
      </c>
      <c r="K101" s="184">
        <v>13</v>
      </c>
    </row>
    <row r="102" spans="2:13" s="231" customFormat="1" ht="13.5" thickBot="1" x14ac:dyDescent="0.25">
      <c r="B102" s="230"/>
      <c r="F102" s="230"/>
      <c r="G102" s="230"/>
      <c r="H102" s="230"/>
      <c r="I102" s="180"/>
      <c r="J102" s="182"/>
      <c r="K102" s="228"/>
      <c r="L102" s="228" t="s">
        <v>490</v>
      </c>
      <c r="M102" s="228"/>
    </row>
    <row r="103" spans="2:13" s="231" customFormat="1" x14ac:dyDescent="0.2">
      <c r="B103" s="230"/>
      <c r="C103" s="217"/>
      <c r="F103" s="230"/>
      <c r="G103" s="230"/>
      <c r="H103" s="230"/>
      <c r="I103" s="226" t="s">
        <v>495</v>
      </c>
      <c r="J103" s="186"/>
      <c r="K103" s="217">
        <v>3</v>
      </c>
      <c r="L103" s="112" t="s">
        <v>391</v>
      </c>
      <c r="M103" s="230"/>
    </row>
    <row r="104" spans="2:13" s="231" customFormat="1" x14ac:dyDescent="0.2">
      <c r="B104" s="230"/>
      <c r="C104" s="230"/>
      <c r="D104" s="230"/>
      <c r="E104" s="230"/>
      <c r="F104" s="184"/>
      <c r="G104" s="230"/>
      <c r="H104" s="230"/>
      <c r="L104" s="230"/>
      <c r="M104" s="230"/>
    </row>
    <row r="105" spans="2:13" s="231" customFormat="1" ht="13.5" thickBot="1" x14ac:dyDescent="0.25">
      <c r="B105" s="230"/>
      <c r="C105" s="184"/>
      <c r="D105" s="230"/>
      <c r="E105" s="230"/>
      <c r="F105" s="230"/>
      <c r="G105" s="230"/>
      <c r="H105" s="230"/>
      <c r="I105" s="230"/>
      <c r="J105" s="230"/>
      <c r="L105" s="228" t="s">
        <v>495</v>
      </c>
      <c r="M105" s="228"/>
    </row>
    <row r="106" spans="2:13" s="231" customFormat="1" x14ac:dyDescent="0.2">
      <c r="B106" s="230"/>
      <c r="C106" s="230"/>
      <c r="D106" s="230"/>
      <c r="E106" s="230"/>
      <c r="F106" s="230" t="s">
        <v>483</v>
      </c>
      <c r="I106" s="217">
        <v>13</v>
      </c>
      <c r="L106" s="118" t="s">
        <v>392</v>
      </c>
    </row>
    <row r="107" spans="2:13" s="231" customFormat="1" x14ac:dyDescent="0.2">
      <c r="B107" s="230"/>
      <c r="C107" s="230"/>
      <c r="D107" s="230"/>
      <c r="E107" s="230"/>
      <c r="F107" s="180"/>
      <c r="G107" s="180"/>
      <c r="H107" s="182"/>
      <c r="I107" s="227" t="s">
        <v>483</v>
      </c>
      <c r="K107" s="217">
        <v>13</v>
      </c>
    </row>
    <row r="108" spans="2:13" s="231" customFormat="1" x14ac:dyDescent="0.2">
      <c r="B108" s="230"/>
      <c r="C108" s="184"/>
      <c r="D108" s="230"/>
      <c r="E108" s="230"/>
      <c r="F108" s="226" t="s">
        <v>494</v>
      </c>
      <c r="G108" s="226"/>
      <c r="H108" s="186"/>
      <c r="I108" s="187">
        <v>4</v>
      </c>
      <c r="J108" s="182"/>
    </row>
    <row r="109" spans="2:13" s="231" customFormat="1" ht="13.5" thickBot="1" x14ac:dyDescent="0.25">
      <c r="B109" s="230"/>
      <c r="C109" s="230"/>
      <c r="D109" s="230"/>
      <c r="E109" s="230"/>
      <c r="F109" s="217"/>
      <c r="J109" s="183"/>
      <c r="L109" s="857" t="s">
        <v>483</v>
      </c>
    </row>
    <row r="110" spans="2:13" s="231" customFormat="1" x14ac:dyDescent="0.2">
      <c r="B110" s="230"/>
      <c r="E110" s="230"/>
      <c r="F110" s="230" t="s">
        <v>503</v>
      </c>
      <c r="I110" s="217">
        <v>0</v>
      </c>
      <c r="J110" s="183"/>
      <c r="K110" s="190"/>
      <c r="L110" s="189" t="s">
        <v>393</v>
      </c>
      <c r="M110" s="190"/>
    </row>
    <row r="111" spans="2:13" s="231" customFormat="1" x14ac:dyDescent="0.2">
      <c r="E111" s="230"/>
      <c r="F111" s="180"/>
      <c r="G111" s="180"/>
      <c r="H111" s="182"/>
      <c r="I111" s="227" t="s">
        <v>488</v>
      </c>
      <c r="J111" s="186"/>
      <c r="K111" s="217">
        <v>5</v>
      </c>
    </row>
    <row r="112" spans="2:13" s="231" customFormat="1" ht="13.5" thickBot="1" x14ac:dyDescent="0.25">
      <c r="E112" s="230"/>
      <c r="F112" s="226" t="s">
        <v>488</v>
      </c>
      <c r="G112" s="226"/>
      <c r="H112" s="186"/>
      <c r="I112" s="187">
        <v>13</v>
      </c>
      <c r="J112" s="230"/>
      <c r="L112" s="230" t="s">
        <v>488</v>
      </c>
      <c r="M112" s="228"/>
    </row>
    <row r="113" spans="1:13" s="231" customFormat="1" x14ac:dyDescent="0.2">
      <c r="E113" s="230"/>
      <c r="F113" s="184"/>
      <c r="I113" s="230"/>
      <c r="J113" s="230"/>
      <c r="L113" s="189" t="s">
        <v>394</v>
      </c>
    </row>
    <row r="114" spans="1:13" s="231" customFormat="1" x14ac:dyDescent="0.2">
      <c r="E114" s="230"/>
      <c r="F114" s="230"/>
      <c r="G114" s="230"/>
      <c r="H114" s="230"/>
      <c r="I114" s="231" t="s">
        <v>494</v>
      </c>
      <c r="K114" s="184">
        <v>13</v>
      </c>
    </row>
    <row r="115" spans="1:13" s="231" customFormat="1" ht="13.5" thickBot="1" x14ac:dyDescent="0.25">
      <c r="E115" s="230"/>
      <c r="F115" s="230"/>
      <c r="G115" s="230"/>
      <c r="H115" s="230"/>
      <c r="I115" s="180"/>
      <c r="J115" s="182"/>
      <c r="K115" s="228"/>
      <c r="L115" s="228" t="s">
        <v>494</v>
      </c>
      <c r="M115" s="228"/>
    </row>
    <row r="116" spans="1:13" s="231" customFormat="1" x14ac:dyDescent="0.2">
      <c r="E116" s="230"/>
      <c r="F116" s="230"/>
      <c r="G116" s="230"/>
      <c r="H116" s="230"/>
      <c r="I116" s="226" t="s">
        <v>503</v>
      </c>
      <c r="J116" s="186"/>
      <c r="K116" s="217">
        <v>0</v>
      </c>
      <c r="L116" s="112" t="s">
        <v>395</v>
      </c>
      <c r="M116" s="230"/>
    </row>
    <row r="117" spans="1:13" s="231" customFormat="1" x14ac:dyDescent="0.2">
      <c r="F117" s="184"/>
      <c r="G117" s="230"/>
      <c r="H117" s="230"/>
      <c r="L117" s="230"/>
      <c r="M117" s="230"/>
    </row>
    <row r="118" spans="1:13" s="231" customFormat="1" ht="13.5" thickBot="1" x14ac:dyDescent="0.25">
      <c r="L118" s="228" t="s">
        <v>503</v>
      </c>
      <c r="M118" s="228"/>
    </row>
    <row r="119" spans="1:13" s="231" customFormat="1" x14ac:dyDescent="0.2">
      <c r="F119" s="230"/>
      <c r="G119" s="230"/>
      <c r="H119" s="230"/>
      <c r="I119" s="230"/>
      <c r="J119" s="230"/>
      <c r="L119" s="118" t="s">
        <v>396</v>
      </c>
    </row>
    <row r="120" spans="1:13" s="231" customFormat="1" x14ac:dyDescent="0.2">
      <c r="I120" s="230"/>
      <c r="J120" s="230"/>
      <c r="L120" s="118"/>
    </row>
    <row r="121" spans="1:13" s="231" customFormat="1" x14ac:dyDescent="0.2">
      <c r="A121" s="191" t="s">
        <v>504</v>
      </c>
      <c r="I121" s="230"/>
      <c r="J121" s="230"/>
      <c r="L121" s="118"/>
    </row>
    <row r="122" spans="1:13" s="231" customFormat="1" x14ac:dyDescent="0.2"/>
    <row r="123" spans="1:13" s="231" customFormat="1" x14ac:dyDescent="0.2">
      <c r="A123" s="178" t="s">
        <v>406</v>
      </c>
      <c r="B123" s="231" t="s">
        <v>381</v>
      </c>
      <c r="C123" s="217">
        <v>13</v>
      </c>
    </row>
    <row r="124" spans="1:13" s="231" customFormat="1" x14ac:dyDescent="0.2">
      <c r="A124" s="179"/>
      <c r="B124" s="180"/>
      <c r="C124" s="218" t="s">
        <v>381</v>
      </c>
      <c r="D124" s="226"/>
      <c r="F124" s="217">
        <v>2</v>
      </c>
    </row>
    <row r="125" spans="1:13" s="231" customFormat="1" x14ac:dyDescent="0.2">
      <c r="A125" s="179" t="s">
        <v>408</v>
      </c>
      <c r="B125" s="226" t="s">
        <v>489</v>
      </c>
      <c r="C125" s="229">
        <v>9</v>
      </c>
      <c r="E125" s="182"/>
    </row>
    <row r="126" spans="1:13" s="231" customFormat="1" x14ac:dyDescent="0.2">
      <c r="A126" s="179"/>
      <c r="D126" s="230"/>
      <c r="E126" s="183"/>
      <c r="F126" s="227" t="s">
        <v>500</v>
      </c>
      <c r="I126" s="217">
        <v>13</v>
      </c>
    </row>
    <row r="127" spans="1:13" s="231" customFormat="1" x14ac:dyDescent="0.2">
      <c r="A127" s="179" t="s">
        <v>477</v>
      </c>
      <c r="B127" s="231" t="s">
        <v>500</v>
      </c>
      <c r="C127" s="184">
        <v>13</v>
      </c>
      <c r="E127" s="183"/>
      <c r="F127" s="185"/>
      <c r="G127" s="180"/>
      <c r="H127" s="182"/>
    </row>
    <row r="128" spans="1:13" s="231" customFormat="1" x14ac:dyDescent="0.2">
      <c r="A128" s="179"/>
      <c r="B128" s="180"/>
      <c r="C128" s="227" t="s">
        <v>500</v>
      </c>
      <c r="E128" s="186"/>
      <c r="F128" s="184">
        <v>13</v>
      </c>
      <c r="G128" s="230"/>
      <c r="H128" s="183"/>
    </row>
    <row r="129" spans="1:13" s="231" customFormat="1" x14ac:dyDescent="0.2">
      <c r="A129" s="179"/>
      <c r="B129" s="226" t="s">
        <v>352</v>
      </c>
      <c r="C129" s="187">
        <v>0</v>
      </c>
      <c r="D129" s="180"/>
      <c r="F129" s="230"/>
      <c r="G129" s="230"/>
      <c r="H129" s="183"/>
    </row>
    <row r="130" spans="1:13" s="231" customFormat="1" x14ac:dyDescent="0.2">
      <c r="A130" s="118"/>
      <c r="F130" s="230"/>
      <c r="G130" s="230"/>
      <c r="H130" s="183"/>
      <c r="I130" s="227" t="s">
        <v>500</v>
      </c>
      <c r="K130" s="217">
        <v>13</v>
      </c>
    </row>
    <row r="131" spans="1:13" s="231" customFormat="1" x14ac:dyDescent="0.2">
      <c r="A131" s="178" t="s">
        <v>476</v>
      </c>
      <c r="B131" s="231" t="s">
        <v>499</v>
      </c>
      <c r="C131" s="217">
        <v>13</v>
      </c>
      <c r="F131" s="230"/>
      <c r="G131" s="230"/>
      <c r="H131" s="183"/>
      <c r="I131" s="180"/>
      <c r="J131" s="182"/>
    </row>
    <row r="132" spans="1:13" s="231" customFormat="1" x14ac:dyDescent="0.2">
      <c r="A132" s="179"/>
      <c r="B132" s="180"/>
      <c r="C132" s="218" t="s">
        <v>499</v>
      </c>
      <c r="D132" s="226"/>
      <c r="F132" s="184">
        <v>13</v>
      </c>
      <c r="G132" s="230"/>
      <c r="H132" s="183"/>
      <c r="I132" s="230"/>
      <c r="J132" s="183"/>
    </row>
    <row r="133" spans="1:13" s="231" customFormat="1" x14ac:dyDescent="0.2">
      <c r="A133" s="179" t="s">
        <v>407</v>
      </c>
      <c r="B133" s="226" t="s">
        <v>512</v>
      </c>
      <c r="C133" s="181">
        <v>12</v>
      </c>
      <c r="E133" s="182"/>
      <c r="F133" s="230"/>
      <c r="G133" s="230"/>
      <c r="H133" s="183"/>
      <c r="I133" s="230"/>
      <c r="J133" s="183"/>
    </row>
    <row r="134" spans="1:13" s="231" customFormat="1" x14ac:dyDescent="0.2">
      <c r="A134" s="179"/>
      <c r="D134" s="230"/>
      <c r="E134" s="183"/>
      <c r="F134" s="226" t="s">
        <v>499</v>
      </c>
      <c r="G134" s="226"/>
      <c r="H134" s="186"/>
      <c r="I134" s="184">
        <v>6</v>
      </c>
      <c r="J134" s="183"/>
    </row>
    <row r="135" spans="1:13" s="231" customFormat="1" x14ac:dyDescent="0.2">
      <c r="A135" s="179" t="s">
        <v>475</v>
      </c>
      <c r="B135" s="231" t="s">
        <v>492</v>
      </c>
      <c r="C135" s="184">
        <v>13</v>
      </c>
      <c r="E135" s="183"/>
      <c r="F135" s="227"/>
      <c r="G135" s="230"/>
      <c r="H135" s="230"/>
      <c r="I135" s="230"/>
      <c r="J135" s="183"/>
    </row>
    <row r="136" spans="1:13" s="231" customFormat="1" x14ac:dyDescent="0.2">
      <c r="A136" s="179"/>
      <c r="B136" s="180"/>
      <c r="C136" s="227" t="s">
        <v>492</v>
      </c>
      <c r="E136" s="186"/>
      <c r="F136" s="184">
        <v>5</v>
      </c>
      <c r="I136" s="230"/>
      <c r="J136" s="183"/>
    </row>
    <row r="137" spans="1:13" s="231" customFormat="1" x14ac:dyDescent="0.2">
      <c r="A137" s="179"/>
      <c r="B137" s="226" t="s">
        <v>352</v>
      </c>
      <c r="C137" s="187">
        <v>0</v>
      </c>
      <c r="D137" s="180"/>
      <c r="F137" s="230"/>
      <c r="G137" s="230"/>
      <c r="H137" s="230"/>
      <c r="I137" s="230"/>
      <c r="J137" s="183"/>
    </row>
    <row r="138" spans="1:13" s="231" customFormat="1" ht="13.5" thickBot="1" x14ac:dyDescent="0.25">
      <c r="I138" s="230"/>
      <c r="J138" s="183"/>
      <c r="L138" s="231" t="s">
        <v>500</v>
      </c>
    </row>
    <row r="139" spans="1:13" s="231" customFormat="1" x14ac:dyDescent="0.2">
      <c r="A139" s="178" t="s">
        <v>402</v>
      </c>
      <c r="B139" s="231" t="s">
        <v>486</v>
      </c>
      <c r="C139" s="217">
        <v>12</v>
      </c>
      <c r="I139" s="230"/>
      <c r="J139" s="183"/>
      <c r="K139" s="188"/>
      <c r="L139" s="189" t="s">
        <v>450</v>
      </c>
      <c r="M139" s="190"/>
    </row>
    <row r="140" spans="1:13" s="231" customFormat="1" x14ac:dyDescent="0.2">
      <c r="A140" s="179"/>
      <c r="B140" s="180"/>
      <c r="C140" s="218" t="s">
        <v>493</v>
      </c>
      <c r="D140" s="226"/>
      <c r="F140" s="217">
        <v>12</v>
      </c>
      <c r="I140" s="230"/>
      <c r="J140" s="183"/>
    </row>
    <row r="141" spans="1:13" s="231" customFormat="1" x14ac:dyDescent="0.2">
      <c r="A141" s="179" t="s">
        <v>510</v>
      </c>
      <c r="B141" s="226" t="s">
        <v>493</v>
      </c>
      <c r="C141" s="181">
        <v>13</v>
      </c>
      <c r="E141" s="182"/>
      <c r="I141" s="230"/>
      <c r="J141" s="183"/>
    </row>
    <row r="142" spans="1:13" s="231" customFormat="1" x14ac:dyDescent="0.2">
      <c r="A142" s="179"/>
      <c r="D142" s="230"/>
      <c r="E142" s="183"/>
      <c r="F142" s="231" t="s">
        <v>481</v>
      </c>
      <c r="I142" s="184">
        <v>10</v>
      </c>
      <c r="J142" s="183"/>
    </row>
    <row r="143" spans="1:13" s="231" customFormat="1" x14ac:dyDescent="0.2">
      <c r="A143" s="179" t="s">
        <v>405</v>
      </c>
      <c r="B143" s="231" t="s">
        <v>481</v>
      </c>
      <c r="C143" s="184">
        <v>13</v>
      </c>
      <c r="E143" s="183"/>
      <c r="F143" s="185"/>
      <c r="G143" s="180"/>
      <c r="H143" s="182"/>
      <c r="I143" s="230"/>
      <c r="J143" s="183"/>
    </row>
    <row r="144" spans="1:13" s="231" customFormat="1" x14ac:dyDescent="0.2">
      <c r="A144" s="179"/>
      <c r="B144" s="180"/>
      <c r="C144" s="227" t="s">
        <v>481</v>
      </c>
      <c r="E144" s="186"/>
      <c r="F144" s="184">
        <v>13</v>
      </c>
      <c r="G144" s="230"/>
      <c r="H144" s="183"/>
      <c r="I144" s="230"/>
      <c r="J144" s="183"/>
    </row>
    <row r="145" spans="1:13" s="231" customFormat="1" x14ac:dyDescent="0.2">
      <c r="A145" s="179"/>
      <c r="B145" s="226" t="s">
        <v>352</v>
      </c>
      <c r="C145" s="187">
        <v>0</v>
      </c>
      <c r="D145" s="180"/>
      <c r="F145" s="230"/>
      <c r="G145" s="230"/>
      <c r="H145" s="183"/>
      <c r="I145" s="230"/>
      <c r="J145" s="183"/>
    </row>
    <row r="146" spans="1:13" s="231" customFormat="1" x14ac:dyDescent="0.2">
      <c r="F146" s="230"/>
      <c r="G146" s="230"/>
      <c r="H146" s="183"/>
      <c r="I146" s="226" t="s">
        <v>502</v>
      </c>
      <c r="J146" s="186"/>
      <c r="K146" s="217">
        <v>10</v>
      </c>
    </row>
    <row r="147" spans="1:13" s="231" customFormat="1" ht="13.5" thickBot="1" x14ac:dyDescent="0.25">
      <c r="A147" s="178" t="s">
        <v>474</v>
      </c>
      <c r="B147" s="231" t="s">
        <v>496</v>
      </c>
      <c r="C147" s="217">
        <v>2</v>
      </c>
      <c r="F147" s="230"/>
      <c r="G147" s="230"/>
      <c r="H147" s="183"/>
      <c r="L147" s="230" t="s">
        <v>502</v>
      </c>
      <c r="M147" s="228"/>
    </row>
    <row r="148" spans="1:13" s="231" customFormat="1" x14ac:dyDescent="0.2">
      <c r="A148" s="179"/>
      <c r="B148" s="180"/>
      <c r="C148" s="219" t="s">
        <v>502</v>
      </c>
      <c r="D148" s="226"/>
      <c r="F148" s="184">
        <v>13</v>
      </c>
      <c r="G148" s="230"/>
      <c r="H148" s="183"/>
      <c r="L148" s="189" t="s">
        <v>451</v>
      </c>
      <c r="M148" s="230"/>
    </row>
    <row r="149" spans="1:13" s="231" customFormat="1" x14ac:dyDescent="0.2">
      <c r="A149" s="179" t="s">
        <v>511</v>
      </c>
      <c r="B149" s="226" t="s">
        <v>502</v>
      </c>
      <c r="C149" s="181">
        <v>13</v>
      </c>
      <c r="E149" s="182"/>
      <c r="F149" s="230"/>
      <c r="G149" s="230"/>
      <c r="H149" s="183"/>
    </row>
    <row r="150" spans="1:13" s="231" customFormat="1" x14ac:dyDescent="0.2">
      <c r="A150" s="179"/>
      <c r="D150" s="230"/>
      <c r="E150" s="183"/>
      <c r="F150" s="226" t="s">
        <v>502</v>
      </c>
      <c r="G150" s="226"/>
      <c r="H150" s="186"/>
      <c r="I150" s="217">
        <v>13</v>
      </c>
    </row>
    <row r="151" spans="1:13" s="231" customFormat="1" x14ac:dyDescent="0.2">
      <c r="A151" s="179" t="s">
        <v>404</v>
      </c>
      <c r="B151" s="231" t="s">
        <v>487</v>
      </c>
      <c r="C151" s="184">
        <v>13</v>
      </c>
      <c r="E151" s="183"/>
      <c r="F151" s="227"/>
      <c r="G151" s="230"/>
      <c r="H151" s="230"/>
    </row>
    <row r="152" spans="1:13" s="231" customFormat="1" x14ac:dyDescent="0.2">
      <c r="A152" s="179"/>
      <c r="B152" s="180"/>
      <c r="C152" s="227" t="s">
        <v>487</v>
      </c>
      <c r="E152" s="186"/>
      <c r="F152" s="184">
        <v>7</v>
      </c>
      <c r="I152" s="231" t="s">
        <v>499</v>
      </c>
      <c r="K152" s="184">
        <v>7</v>
      </c>
    </row>
    <row r="153" spans="1:13" s="231" customFormat="1" ht="13.5" thickBot="1" x14ac:dyDescent="0.25">
      <c r="A153" s="179"/>
      <c r="B153" s="226" t="s">
        <v>352</v>
      </c>
      <c r="C153" s="187">
        <v>0</v>
      </c>
      <c r="D153" s="180"/>
      <c r="F153" s="230"/>
      <c r="G153" s="230"/>
      <c r="H153" s="230"/>
      <c r="I153" s="180"/>
      <c r="J153" s="182"/>
      <c r="K153" s="228"/>
      <c r="L153" s="228" t="s">
        <v>481</v>
      </c>
      <c r="M153" s="228"/>
    </row>
    <row r="154" spans="1:13" s="231" customFormat="1" x14ac:dyDescent="0.2">
      <c r="H154" s="230"/>
      <c r="I154" s="226" t="s">
        <v>481</v>
      </c>
      <c r="J154" s="186"/>
      <c r="K154" s="217">
        <v>13</v>
      </c>
      <c r="L154" s="112" t="s">
        <v>452</v>
      </c>
      <c r="M154" s="230"/>
    </row>
    <row r="155" spans="1:13" s="231" customFormat="1" x14ac:dyDescent="0.2">
      <c r="H155" s="230"/>
      <c r="L155" s="230"/>
      <c r="M155" s="230"/>
    </row>
    <row r="156" spans="1:13" s="231" customFormat="1" ht="13.5" thickBot="1" x14ac:dyDescent="0.25">
      <c r="H156" s="230"/>
      <c r="I156" s="230"/>
      <c r="J156" s="230"/>
      <c r="L156" s="228" t="s">
        <v>499</v>
      </c>
      <c r="M156" s="228"/>
    </row>
    <row r="157" spans="1:13" s="231" customFormat="1" x14ac:dyDescent="0.2">
      <c r="I157" s="230"/>
      <c r="J157" s="230"/>
      <c r="L157" s="118" t="s">
        <v>453</v>
      </c>
    </row>
    <row r="158" spans="1:13" s="231" customFormat="1" x14ac:dyDescent="0.2">
      <c r="I158" s="230"/>
      <c r="J158" s="230"/>
      <c r="L158" s="118"/>
    </row>
    <row r="159" spans="1:13" s="231" customFormat="1" x14ac:dyDescent="0.2">
      <c r="A159" s="191" t="s">
        <v>505</v>
      </c>
      <c r="I159" s="230"/>
      <c r="J159" s="230"/>
      <c r="L159" s="118"/>
    </row>
    <row r="160" spans="1:13" s="231" customFormat="1" x14ac:dyDescent="0.2">
      <c r="F160" s="192" t="s">
        <v>381</v>
      </c>
      <c r="G160" s="217"/>
      <c r="H160" s="217"/>
      <c r="I160" s="217">
        <v>13</v>
      </c>
      <c r="J160" s="217"/>
      <c r="K160" s="217"/>
    </row>
    <row r="161" spans="1:13" s="231" customFormat="1" x14ac:dyDescent="0.2">
      <c r="F161" s="193"/>
      <c r="G161" s="193"/>
      <c r="H161" s="194"/>
      <c r="I161" s="195" t="s">
        <v>381</v>
      </c>
      <c r="J161" s="217"/>
      <c r="K161" s="217">
        <v>13</v>
      </c>
    </row>
    <row r="162" spans="1:13" s="231" customFormat="1" x14ac:dyDescent="0.2">
      <c r="F162" s="195" t="s">
        <v>492</v>
      </c>
      <c r="G162" s="195"/>
      <c r="H162" s="196"/>
      <c r="I162" s="217">
        <v>10</v>
      </c>
      <c r="J162" s="194"/>
      <c r="K162" s="217"/>
    </row>
    <row r="163" spans="1:13" s="231" customFormat="1" ht="13.5" thickBot="1" x14ac:dyDescent="0.25">
      <c r="F163" s="217"/>
      <c r="G163" s="217"/>
      <c r="H163" s="217"/>
      <c r="I163" s="184"/>
      <c r="J163" s="197"/>
      <c r="K163" s="217"/>
      <c r="L163" s="231" t="s">
        <v>381</v>
      </c>
    </row>
    <row r="164" spans="1:13" s="231" customFormat="1" x14ac:dyDescent="0.2">
      <c r="F164" s="217" t="s">
        <v>493</v>
      </c>
      <c r="G164" s="217"/>
      <c r="H164" s="217"/>
      <c r="I164" s="217">
        <v>13</v>
      </c>
      <c r="J164" s="197"/>
      <c r="K164" s="198"/>
      <c r="L164" s="189" t="s">
        <v>454</v>
      </c>
      <c r="M164" s="190"/>
    </row>
    <row r="165" spans="1:13" s="231" customFormat="1" x14ac:dyDescent="0.2">
      <c r="F165" s="193"/>
      <c r="G165" s="193"/>
      <c r="H165" s="194"/>
      <c r="I165" s="217" t="s">
        <v>493</v>
      </c>
      <c r="J165" s="196"/>
      <c r="K165" s="184">
        <v>6</v>
      </c>
    </row>
    <row r="166" spans="1:13" s="231" customFormat="1" ht="13.5" thickBot="1" x14ac:dyDescent="0.25">
      <c r="F166" s="195" t="s">
        <v>487</v>
      </c>
      <c r="G166" s="195"/>
      <c r="H166" s="196"/>
      <c r="I166" s="193">
        <v>12</v>
      </c>
      <c r="J166" s="217"/>
      <c r="K166" s="184"/>
      <c r="L166" s="230" t="s">
        <v>493</v>
      </c>
      <c r="M166" s="228"/>
    </row>
    <row r="167" spans="1:13" s="231" customFormat="1" x14ac:dyDescent="0.2">
      <c r="F167" s="217"/>
      <c r="G167" s="217"/>
      <c r="H167" s="217"/>
      <c r="I167" s="217"/>
      <c r="J167" s="217"/>
      <c r="K167" s="184"/>
      <c r="L167" s="189" t="s">
        <v>455</v>
      </c>
      <c r="M167" s="230"/>
    </row>
    <row r="168" spans="1:13" s="231" customFormat="1" x14ac:dyDescent="0.2">
      <c r="F168" s="217"/>
      <c r="G168" s="217"/>
      <c r="H168" s="184"/>
      <c r="I168" s="217" t="s">
        <v>492</v>
      </c>
      <c r="J168" s="217"/>
      <c r="K168" s="184">
        <v>5</v>
      </c>
      <c r="L168" s="230"/>
      <c r="M168" s="230"/>
    </row>
    <row r="169" spans="1:13" s="231" customFormat="1" ht="13.5" thickBot="1" x14ac:dyDescent="0.25">
      <c r="F169" s="217"/>
      <c r="G169" s="217"/>
      <c r="H169" s="184"/>
      <c r="I169" s="193"/>
      <c r="J169" s="194"/>
      <c r="K169" s="199"/>
      <c r="L169" s="228" t="s">
        <v>487</v>
      </c>
      <c r="M169" s="228"/>
    </row>
    <row r="170" spans="1:13" s="231" customFormat="1" x14ac:dyDescent="0.2">
      <c r="F170" s="217"/>
      <c r="G170" s="217"/>
      <c r="H170" s="184"/>
      <c r="I170" s="195" t="s">
        <v>487</v>
      </c>
      <c r="J170" s="196"/>
      <c r="K170" s="217">
        <v>13</v>
      </c>
      <c r="L170" s="112" t="s">
        <v>456</v>
      </c>
      <c r="M170" s="230"/>
    </row>
    <row r="171" spans="1:13" s="231" customFormat="1" x14ac:dyDescent="0.2">
      <c r="H171" s="230"/>
      <c r="L171" s="230"/>
      <c r="M171" s="230"/>
    </row>
    <row r="172" spans="1:13" s="231" customFormat="1" ht="13.5" thickBot="1" x14ac:dyDescent="0.25">
      <c r="I172" s="230"/>
      <c r="J172" s="230"/>
      <c r="L172" s="228" t="s">
        <v>492</v>
      </c>
      <c r="M172" s="228"/>
    </row>
    <row r="173" spans="1:13" s="231" customFormat="1" x14ac:dyDescent="0.2">
      <c r="I173" s="230"/>
      <c r="J173" s="230"/>
      <c r="L173" s="112" t="s">
        <v>457</v>
      </c>
    </row>
    <row r="174" spans="1:13" s="231" customFormat="1" x14ac:dyDescent="0.2">
      <c r="A174" s="200" t="s">
        <v>509</v>
      </c>
    </row>
    <row r="175" spans="1:13" s="231" customFormat="1" x14ac:dyDescent="0.2">
      <c r="B175" s="230"/>
      <c r="C175" s="226" t="s">
        <v>489</v>
      </c>
      <c r="D175" s="230"/>
      <c r="F175" s="217">
        <v>13</v>
      </c>
    </row>
    <row r="176" spans="1:13" s="231" customFormat="1" x14ac:dyDescent="0.2">
      <c r="B176" s="230"/>
      <c r="C176" s="180"/>
      <c r="D176" s="180"/>
      <c r="E176" s="182"/>
      <c r="F176" s="227" t="s">
        <v>489</v>
      </c>
      <c r="I176" s="217">
        <v>6</v>
      </c>
    </row>
    <row r="177" spans="2:13" s="231" customFormat="1" x14ac:dyDescent="0.2">
      <c r="B177" s="230"/>
      <c r="C177" s="226" t="s">
        <v>352</v>
      </c>
      <c r="D177" s="226"/>
      <c r="E177" s="186"/>
      <c r="F177" s="193">
        <v>0</v>
      </c>
      <c r="G177" s="180"/>
      <c r="H177" s="182"/>
    </row>
    <row r="178" spans="2:13" s="231" customFormat="1" x14ac:dyDescent="0.2">
      <c r="B178" s="230"/>
      <c r="F178" s="230"/>
      <c r="G178" s="230"/>
      <c r="H178" s="183"/>
      <c r="I178" s="227" t="s">
        <v>512</v>
      </c>
      <c r="K178" s="217">
        <v>13</v>
      </c>
    </row>
    <row r="179" spans="2:13" s="231" customFormat="1" x14ac:dyDescent="0.2">
      <c r="B179" s="230"/>
      <c r="C179" s="226" t="s">
        <v>512</v>
      </c>
      <c r="D179" s="226"/>
      <c r="F179" s="184">
        <v>13</v>
      </c>
      <c r="G179" s="230"/>
      <c r="H179" s="183"/>
      <c r="I179" s="185"/>
      <c r="J179" s="182"/>
    </row>
    <row r="180" spans="2:13" s="231" customFormat="1" x14ac:dyDescent="0.2">
      <c r="B180" s="230"/>
      <c r="D180" s="230"/>
      <c r="E180" s="182"/>
      <c r="F180" s="226" t="s">
        <v>512</v>
      </c>
      <c r="G180" s="226"/>
      <c r="H180" s="186"/>
      <c r="I180" s="184">
        <v>13</v>
      </c>
      <c r="J180" s="183"/>
    </row>
    <row r="181" spans="2:13" s="231" customFormat="1" x14ac:dyDescent="0.2">
      <c r="B181" s="230"/>
      <c r="C181" s="230" t="s">
        <v>352</v>
      </c>
      <c r="E181" s="186"/>
      <c r="F181" s="184">
        <v>0</v>
      </c>
      <c r="I181" s="230"/>
      <c r="J181" s="183"/>
    </row>
    <row r="182" spans="2:13" s="231" customFormat="1" ht="13.5" thickBot="1" x14ac:dyDescent="0.25">
      <c r="B182" s="230"/>
      <c r="C182" s="193"/>
      <c r="D182" s="180"/>
      <c r="F182" s="230"/>
      <c r="G182" s="230"/>
      <c r="H182" s="230"/>
      <c r="I182" s="230"/>
      <c r="J182" s="183"/>
      <c r="L182" s="231" t="s">
        <v>512</v>
      </c>
    </row>
    <row r="183" spans="2:13" s="231" customFormat="1" x14ac:dyDescent="0.2">
      <c r="B183" s="230"/>
      <c r="C183" s="230" t="s">
        <v>486</v>
      </c>
      <c r="D183" s="230"/>
      <c r="F183" s="217">
        <v>13</v>
      </c>
      <c r="J183" s="183"/>
      <c r="K183" s="190"/>
      <c r="L183" s="189" t="s">
        <v>458</v>
      </c>
      <c r="M183" s="190"/>
    </row>
    <row r="184" spans="2:13" s="231" customFormat="1" x14ac:dyDescent="0.2">
      <c r="B184" s="230"/>
      <c r="C184" s="180"/>
      <c r="D184" s="180"/>
      <c r="E184" s="182"/>
      <c r="F184" s="227" t="s">
        <v>486</v>
      </c>
      <c r="I184" s="217">
        <v>13</v>
      </c>
      <c r="J184" s="183"/>
    </row>
    <row r="185" spans="2:13" s="231" customFormat="1" ht="13.5" thickBot="1" x14ac:dyDescent="0.25">
      <c r="B185" s="230"/>
      <c r="C185" s="226" t="s">
        <v>352</v>
      </c>
      <c r="D185" s="226"/>
      <c r="E185" s="186"/>
      <c r="F185" s="193">
        <v>0</v>
      </c>
      <c r="G185" s="180"/>
      <c r="H185" s="182"/>
      <c r="J185" s="183"/>
      <c r="L185" s="230" t="s">
        <v>486</v>
      </c>
      <c r="M185" s="228"/>
    </row>
    <row r="186" spans="2:13" s="231" customFormat="1" x14ac:dyDescent="0.2">
      <c r="B186" s="230"/>
      <c r="F186" s="230"/>
      <c r="G186" s="230"/>
      <c r="H186" s="183"/>
      <c r="I186" s="227" t="s">
        <v>486</v>
      </c>
      <c r="J186" s="186"/>
      <c r="K186" s="217">
        <v>12</v>
      </c>
      <c r="L186" s="189" t="s">
        <v>506</v>
      </c>
      <c r="M186" s="230"/>
    </row>
    <row r="187" spans="2:13" s="231" customFormat="1" x14ac:dyDescent="0.2">
      <c r="B187" s="230"/>
      <c r="C187" s="226" t="s">
        <v>496</v>
      </c>
      <c r="D187" s="226"/>
      <c r="F187" s="184">
        <v>13</v>
      </c>
      <c r="G187" s="230"/>
      <c r="H187" s="183"/>
      <c r="I187" s="185"/>
      <c r="J187" s="180"/>
    </row>
    <row r="188" spans="2:13" s="231" customFormat="1" x14ac:dyDescent="0.2">
      <c r="B188" s="230"/>
      <c r="D188" s="230"/>
      <c r="E188" s="182"/>
      <c r="F188" s="226" t="s">
        <v>496</v>
      </c>
      <c r="G188" s="226"/>
      <c r="H188" s="186"/>
      <c r="I188" s="184">
        <v>6</v>
      </c>
      <c r="J188" s="230"/>
    </row>
    <row r="189" spans="2:13" s="231" customFormat="1" x14ac:dyDescent="0.2">
      <c r="B189" s="230"/>
      <c r="C189" s="230" t="s">
        <v>352</v>
      </c>
      <c r="E189" s="186"/>
      <c r="F189" s="184">
        <v>0</v>
      </c>
      <c r="I189" s="230"/>
      <c r="J189" s="230"/>
    </row>
    <row r="190" spans="2:13" s="231" customFormat="1" x14ac:dyDescent="0.2">
      <c r="B190" s="230"/>
      <c r="C190" s="193"/>
      <c r="D190" s="180"/>
      <c r="F190" s="230"/>
      <c r="G190" s="230"/>
      <c r="H190" s="230"/>
      <c r="I190" s="231" t="s">
        <v>489</v>
      </c>
      <c r="K190" s="184">
        <v>13</v>
      </c>
    </row>
    <row r="191" spans="2:13" s="231" customFormat="1" ht="13.5" thickBot="1" x14ac:dyDescent="0.25">
      <c r="B191" s="230"/>
      <c r="F191" s="230"/>
      <c r="G191" s="230"/>
      <c r="H191" s="230"/>
      <c r="I191" s="180"/>
      <c r="J191" s="182"/>
      <c r="K191" s="228"/>
      <c r="L191" s="228" t="s">
        <v>489</v>
      </c>
      <c r="M191" s="228"/>
    </row>
    <row r="192" spans="2:13" s="231" customFormat="1" x14ac:dyDescent="0.2">
      <c r="B192" s="230"/>
      <c r="C192" s="217"/>
      <c r="F192" s="230"/>
      <c r="G192" s="230"/>
      <c r="H192" s="230"/>
      <c r="I192" s="226" t="s">
        <v>496</v>
      </c>
      <c r="J192" s="186"/>
      <c r="K192" s="217">
        <v>5</v>
      </c>
      <c r="L192" s="112" t="s">
        <v>507</v>
      </c>
      <c r="M192" s="230"/>
    </row>
    <row r="193" spans="1:13" s="231" customFormat="1" x14ac:dyDescent="0.2">
      <c r="B193" s="230"/>
      <c r="C193" s="230"/>
      <c r="D193" s="230"/>
      <c r="E193" s="230"/>
      <c r="F193" s="184"/>
      <c r="G193" s="230"/>
      <c r="H193" s="230"/>
      <c r="L193" s="230"/>
      <c r="M193" s="230"/>
    </row>
    <row r="194" spans="1:13" s="231" customFormat="1" ht="13.5" thickBot="1" x14ac:dyDescent="0.25">
      <c r="B194" s="230"/>
      <c r="C194" s="184"/>
      <c r="D194" s="230"/>
      <c r="E194" s="230"/>
      <c r="F194" s="230"/>
      <c r="G194" s="230"/>
      <c r="H194" s="230"/>
      <c r="I194" s="230"/>
      <c r="J194" s="230"/>
      <c r="L194" s="228" t="s">
        <v>496</v>
      </c>
      <c r="M194" s="228"/>
    </row>
    <row r="195" spans="1:13" s="231" customFormat="1" x14ac:dyDescent="0.2">
      <c r="B195" s="230"/>
      <c r="C195" s="230"/>
      <c r="D195" s="230"/>
      <c r="E195" s="230"/>
      <c r="F195" s="230"/>
      <c r="G195" s="230"/>
      <c r="H195" s="230"/>
      <c r="I195" s="230"/>
      <c r="J195" s="230"/>
      <c r="L195" s="118" t="s">
        <v>508</v>
      </c>
    </row>
    <row r="196" spans="1:13" s="231" customFormat="1" x14ac:dyDescent="0.2">
      <c r="B196" s="230"/>
      <c r="C196" s="230"/>
      <c r="D196" s="230"/>
      <c r="E196" s="230"/>
      <c r="F196" s="230"/>
      <c r="G196" s="230"/>
      <c r="H196" s="230"/>
      <c r="I196" s="230"/>
      <c r="J196" s="230"/>
      <c r="L196" s="118"/>
    </row>
    <row r="197" spans="1:13" s="231" customFormat="1" x14ac:dyDescent="0.2">
      <c r="A197" s="91">
        <v>1</v>
      </c>
      <c r="B197" s="95" t="s">
        <v>480</v>
      </c>
    </row>
    <row r="198" spans="1:13" s="231" customFormat="1" x14ac:dyDescent="0.2">
      <c r="A198" s="91">
        <v>2</v>
      </c>
      <c r="B198" s="232" t="s">
        <v>491</v>
      </c>
    </row>
    <row r="199" spans="1:13" s="231" customFormat="1" x14ac:dyDescent="0.2">
      <c r="A199" s="91">
        <v>3</v>
      </c>
      <c r="B199" s="233" t="s">
        <v>498</v>
      </c>
    </row>
    <row r="200" spans="1:13" s="231" customFormat="1" x14ac:dyDescent="0.2">
      <c r="A200" s="91">
        <v>4</v>
      </c>
      <c r="B200" s="250" t="s">
        <v>384</v>
      </c>
    </row>
    <row r="201" spans="1:13" s="231" customFormat="1" x14ac:dyDescent="0.2">
      <c r="A201" s="91">
        <v>5</v>
      </c>
      <c r="B201" s="250" t="s">
        <v>482</v>
      </c>
    </row>
    <row r="202" spans="1:13" s="231" customFormat="1" x14ac:dyDescent="0.2">
      <c r="A202" s="91">
        <v>6</v>
      </c>
      <c r="B202" s="250" t="s">
        <v>501</v>
      </c>
    </row>
    <row r="203" spans="1:13" s="231" customFormat="1" x14ac:dyDescent="0.2">
      <c r="A203" s="91">
        <v>7</v>
      </c>
      <c r="B203" s="250" t="s">
        <v>497</v>
      </c>
    </row>
    <row r="204" spans="1:13" s="231" customFormat="1" x14ac:dyDescent="0.2">
      <c r="A204" s="91">
        <v>8</v>
      </c>
      <c r="B204" s="250" t="s">
        <v>379</v>
      </c>
    </row>
    <row r="205" spans="1:13" s="231" customFormat="1" x14ac:dyDescent="0.2">
      <c r="A205" s="91">
        <v>9</v>
      </c>
      <c r="B205" s="250" t="s">
        <v>484</v>
      </c>
    </row>
    <row r="206" spans="1:13" s="231" customFormat="1" x14ac:dyDescent="0.2">
      <c r="A206" s="91">
        <v>10</v>
      </c>
      <c r="B206" s="250" t="s">
        <v>485</v>
      </c>
    </row>
    <row r="207" spans="1:13" s="231" customFormat="1" x14ac:dyDescent="0.2">
      <c r="A207" s="91">
        <v>11</v>
      </c>
      <c r="B207" s="250" t="s">
        <v>490</v>
      </c>
    </row>
    <row r="208" spans="1:13" s="231" customFormat="1" x14ac:dyDescent="0.2">
      <c r="A208" s="91">
        <v>12</v>
      </c>
      <c r="B208" s="250" t="s">
        <v>495</v>
      </c>
    </row>
    <row r="209" spans="1:3" s="231" customFormat="1" x14ac:dyDescent="0.2">
      <c r="A209" s="91">
        <v>13</v>
      </c>
      <c r="B209" s="250" t="s">
        <v>483</v>
      </c>
    </row>
    <row r="210" spans="1:3" s="231" customFormat="1" x14ac:dyDescent="0.2">
      <c r="A210" s="91">
        <v>14</v>
      </c>
      <c r="B210" s="250" t="s">
        <v>488</v>
      </c>
    </row>
    <row r="211" spans="1:3" s="231" customFormat="1" x14ac:dyDescent="0.2">
      <c r="A211" s="91">
        <v>15</v>
      </c>
      <c r="B211" s="250" t="s">
        <v>494</v>
      </c>
    </row>
    <row r="212" spans="1:3" s="231" customFormat="1" x14ac:dyDescent="0.2">
      <c r="A212" s="91">
        <v>16</v>
      </c>
      <c r="B212" s="250" t="s">
        <v>503</v>
      </c>
    </row>
    <row r="213" spans="1:3" s="231" customFormat="1" x14ac:dyDescent="0.2">
      <c r="A213" s="91">
        <v>17</v>
      </c>
      <c r="B213" s="250" t="s">
        <v>500</v>
      </c>
      <c r="C213" s="231" t="s">
        <v>8</v>
      </c>
    </row>
    <row r="214" spans="1:3" s="231" customFormat="1" x14ac:dyDescent="0.2">
      <c r="A214" s="91">
        <v>18</v>
      </c>
      <c r="B214" s="250" t="s">
        <v>502</v>
      </c>
    </row>
    <row r="215" spans="1:3" s="231" customFormat="1" x14ac:dyDescent="0.2">
      <c r="A215" s="91">
        <v>19</v>
      </c>
      <c r="B215" s="250" t="s">
        <v>481</v>
      </c>
    </row>
    <row r="216" spans="1:3" s="231" customFormat="1" x14ac:dyDescent="0.2">
      <c r="A216" s="91">
        <v>20</v>
      </c>
      <c r="B216" s="250" t="s">
        <v>499</v>
      </c>
    </row>
    <row r="217" spans="1:3" s="231" customFormat="1" x14ac:dyDescent="0.2">
      <c r="A217" s="91">
        <v>21</v>
      </c>
      <c r="B217" s="250" t="s">
        <v>381</v>
      </c>
    </row>
    <row r="218" spans="1:3" s="231" customFormat="1" x14ac:dyDescent="0.2">
      <c r="A218" s="91">
        <v>22</v>
      </c>
      <c r="B218" s="250" t="s">
        <v>493</v>
      </c>
    </row>
    <row r="219" spans="1:3" s="231" customFormat="1" x14ac:dyDescent="0.2">
      <c r="A219" s="91">
        <v>23</v>
      </c>
      <c r="B219" s="250" t="s">
        <v>487</v>
      </c>
    </row>
    <row r="220" spans="1:3" s="231" customFormat="1" x14ac:dyDescent="0.2">
      <c r="A220" s="91">
        <v>24</v>
      </c>
      <c r="B220" s="250" t="s">
        <v>492</v>
      </c>
    </row>
    <row r="221" spans="1:3" s="231" customFormat="1" x14ac:dyDescent="0.2">
      <c r="A221" s="91">
        <v>25</v>
      </c>
      <c r="B221" s="250" t="s">
        <v>512</v>
      </c>
    </row>
    <row r="222" spans="1:3" x14ac:dyDescent="0.2">
      <c r="A222" s="91">
        <v>26</v>
      </c>
      <c r="B222" s="250" t="s">
        <v>486</v>
      </c>
    </row>
    <row r="223" spans="1:3" x14ac:dyDescent="0.2">
      <c r="A223" s="91">
        <v>27</v>
      </c>
      <c r="B223" s="250" t="s">
        <v>489</v>
      </c>
    </row>
    <row r="224" spans="1:3" x14ac:dyDescent="0.2">
      <c r="A224" s="91">
        <v>28</v>
      </c>
      <c r="B224" s="250" t="s">
        <v>496</v>
      </c>
    </row>
  </sheetData>
  <conditionalFormatting sqref="B32:K92 B123:K181 B99:K105 B93:J98 K93:K97 B185:K196 B182:J184 K182:K183 B106:E118 F106:K117 B119:K121">
    <cfRule type="cellIs" dxfId="254" priority="3" stopIfTrue="1" operator="equal">
      <formula>13</formula>
    </cfRule>
  </conditionalFormatting>
  <conditionalFormatting sqref="C7:G28 K7:O28">
    <cfRule type="cellIs" dxfId="253" priority="2" stopIfTrue="1" operator="equal">
      <formula>13</formula>
    </cfRule>
  </conditionalFormatting>
  <pageMargins left="0.39370078740157483" right="0.39370078740157483" top="0.78740157480314965" bottom="0.31496062992125984" header="0.59055118110236227" footer="0"/>
  <pageSetup paperSize="9" fitToHeight="0" orientation="landscape" r:id="rId1"/>
  <headerFooter>
    <oddHeader>&amp;RPage &amp;P of &amp;N</oddHeader>
  </headerFooter>
  <rowBreaks count="6" manualBreakCount="6">
    <brk id="28" max="16383" man="1"/>
    <brk id="66" max="16383" man="1"/>
    <brk id="82" max="16383" man="1"/>
    <brk id="119" max="16383" man="1"/>
    <brk id="157" max="16383" man="1"/>
    <brk id="19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6"/>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259" customWidth="1"/>
    <col min="2" max="2" width="47.140625" style="259" customWidth="1"/>
    <col min="3" max="3" width="7.28515625" style="259" bestFit="1" customWidth="1"/>
    <col min="4" max="4" width="7.42578125" style="259" bestFit="1" customWidth="1"/>
    <col min="5" max="5" width="9.140625" style="259"/>
    <col min="6" max="6" width="6.7109375" style="259" bestFit="1" customWidth="1"/>
    <col min="7" max="7" width="5.140625" style="259" bestFit="1" customWidth="1"/>
    <col min="8" max="8" width="5.7109375" style="259" customWidth="1"/>
    <col min="9" max="9" width="4.7109375" style="259" customWidth="1"/>
    <col min="10" max="12" width="9.140625" style="259" customWidth="1"/>
    <col min="13" max="13" width="9.140625" style="259"/>
    <col min="14" max="14" width="9.140625" style="259" customWidth="1"/>
    <col min="15" max="16384" width="9.140625" style="259"/>
  </cols>
  <sheetData>
    <row r="1" spans="1:7" x14ac:dyDescent="0.2">
      <c r="A1" s="314" t="str">
        <f>UPPER((Kalend!E15)&amp;" - "&amp;(Kalend!C15)&amp;" - "&amp;(Kalend!D15))</f>
        <v>6 - EESTI REITINGUVÕISTLUS, HANSATURNIIR - TRIO</v>
      </c>
      <c r="E1" s="204" t="str">
        <f>HYPERLINK("#Üldreiting!I1","Reiting")</f>
        <v>Reiting</v>
      </c>
      <c r="F1" s="528"/>
      <c r="G1" s="528"/>
    </row>
    <row r="2" spans="1:7" x14ac:dyDescent="0.2">
      <c r="A2" s="309" t="str">
        <f>"Toimumisaeg: "&amp;(Kalend!A15)&amp;" kell "&amp;(Kalend!B15)</f>
        <v>Toimumisaeg: P, 05.06.2016 kell 10:00</v>
      </c>
    </row>
    <row r="3" spans="1:7" x14ac:dyDescent="0.2">
      <c r="A3" s="309" t="str">
        <f>"Toimumiskoht: "&amp;(Kalend!H15)</f>
        <v>Toimumiskoht: Viljandi, Järve 9</v>
      </c>
    </row>
    <row r="4" spans="1:7" x14ac:dyDescent="0.2">
      <c r="A4" s="309" t="str">
        <f>"Korraldaja: "&amp;(Kalend!I15)</f>
        <v>Korraldaja: PK Reede</v>
      </c>
    </row>
    <row r="6" spans="1:7" x14ac:dyDescent="0.2">
      <c r="A6" s="855" t="s">
        <v>331</v>
      </c>
      <c r="B6" s="856"/>
      <c r="C6" s="77" t="s">
        <v>332</v>
      </c>
      <c r="D6" s="77" t="s">
        <v>333</v>
      </c>
      <c r="E6" s="77" t="s">
        <v>334</v>
      </c>
      <c r="F6" s="77" t="s">
        <v>335</v>
      </c>
      <c r="G6" s="77" t="s">
        <v>28</v>
      </c>
    </row>
    <row r="7" spans="1:7" x14ac:dyDescent="0.2">
      <c r="A7" s="76">
        <v>1</v>
      </c>
      <c r="B7" s="253" t="s">
        <v>536</v>
      </c>
      <c r="C7" s="237">
        <v>13</v>
      </c>
      <c r="D7" s="237">
        <v>5</v>
      </c>
      <c r="E7" s="237"/>
      <c r="F7" s="237">
        <v>13</v>
      </c>
      <c r="G7" s="246" t="s">
        <v>336</v>
      </c>
    </row>
    <row r="8" spans="1:7" x14ac:dyDescent="0.2">
      <c r="A8" s="76">
        <v>2</v>
      </c>
      <c r="B8" s="253" t="s">
        <v>538</v>
      </c>
      <c r="C8" s="79">
        <v>13</v>
      </c>
      <c r="D8" s="79">
        <v>13</v>
      </c>
      <c r="E8" s="79"/>
      <c r="F8" s="79"/>
      <c r="G8" s="236" t="s">
        <v>337</v>
      </c>
    </row>
    <row r="9" spans="1:7" x14ac:dyDescent="0.2">
      <c r="A9" s="76">
        <v>3</v>
      </c>
      <c r="B9" s="253" t="s">
        <v>539</v>
      </c>
      <c r="C9" s="79">
        <v>1</v>
      </c>
      <c r="D9" s="79"/>
      <c r="E9" s="79">
        <v>13</v>
      </c>
      <c r="F9" s="79">
        <v>11</v>
      </c>
      <c r="G9" s="236" t="s">
        <v>338</v>
      </c>
    </row>
    <row r="10" spans="1:7" x14ac:dyDescent="0.2">
      <c r="A10" s="76">
        <v>4</v>
      </c>
      <c r="B10" s="254"/>
      <c r="C10" s="79">
        <v>0</v>
      </c>
      <c r="D10" s="79"/>
      <c r="E10" s="79">
        <v>0</v>
      </c>
      <c r="F10" s="79"/>
      <c r="G10" s="236"/>
    </row>
    <row r="11" spans="1:7" x14ac:dyDescent="0.2">
      <c r="A11" s="80"/>
      <c r="B11" s="81"/>
      <c r="C11" s="82"/>
      <c r="D11" s="82"/>
      <c r="E11" s="82"/>
      <c r="F11" s="83"/>
      <c r="G11" s="84"/>
    </row>
    <row r="12" spans="1:7" x14ac:dyDescent="0.2">
      <c r="A12" s="855" t="s">
        <v>339</v>
      </c>
      <c r="B12" s="856"/>
      <c r="C12" s="77" t="s">
        <v>332</v>
      </c>
      <c r="D12" s="77" t="s">
        <v>333</v>
      </c>
      <c r="E12" s="77" t="s">
        <v>334</v>
      </c>
      <c r="F12" s="77" t="s">
        <v>335</v>
      </c>
      <c r="G12" s="77" t="s">
        <v>28</v>
      </c>
    </row>
    <row r="13" spans="1:7" x14ac:dyDescent="0.2">
      <c r="A13" s="76">
        <v>1</v>
      </c>
      <c r="B13" s="253" t="s">
        <v>342</v>
      </c>
      <c r="C13" s="79">
        <v>13</v>
      </c>
      <c r="D13" s="79">
        <v>11</v>
      </c>
      <c r="E13" s="79"/>
      <c r="F13" s="79">
        <v>13</v>
      </c>
      <c r="G13" s="246" t="s">
        <v>336</v>
      </c>
    </row>
    <row r="14" spans="1:7" x14ac:dyDescent="0.2">
      <c r="A14" s="76">
        <v>2</v>
      </c>
      <c r="B14" s="253" t="s">
        <v>549</v>
      </c>
      <c r="C14" s="79">
        <v>13</v>
      </c>
      <c r="D14" s="79">
        <v>13</v>
      </c>
      <c r="E14" s="79"/>
      <c r="F14" s="79"/>
      <c r="G14" s="236" t="s">
        <v>337</v>
      </c>
    </row>
    <row r="15" spans="1:7" x14ac:dyDescent="0.2">
      <c r="A15" s="76">
        <v>3</v>
      </c>
      <c r="B15" s="253" t="s">
        <v>540</v>
      </c>
      <c r="C15" s="79">
        <v>3</v>
      </c>
      <c r="D15" s="79"/>
      <c r="E15" s="79">
        <v>5</v>
      </c>
      <c r="F15" s="79"/>
      <c r="G15" s="236" t="s">
        <v>398</v>
      </c>
    </row>
    <row r="16" spans="1:7" x14ac:dyDescent="0.2">
      <c r="A16" s="76">
        <v>4</v>
      </c>
      <c r="B16" s="254" t="s">
        <v>541</v>
      </c>
      <c r="C16" s="79">
        <v>10</v>
      </c>
      <c r="D16" s="79"/>
      <c r="E16" s="79">
        <v>13</v>
      </c>
      <c r="F16" s="79">
        <v>2</v>
      </c>
      <c r="G16" s="236" t="s">
        <v>338</v>
      </c>
    </row>
    <row r="17" spans="1:12" x14ac:dyDescent="0.2">
      <c r="A17" s="80"/>
      <c r="B17" s="81"/>
      <c r="C17" s="82"/>
      <c r="D17" s="82"/>
      <c r="E17" s="82"/>
      <c r="F17" s="83"/>
      <c r="G17" s="84"/>
      <c r="I17" s="80"/>
      <c r="J17" s="81"/>
      <c r="K17" s="82"/>
      <c r="L17" s="82"/>
    </row>
    <row r="18" spans="1:12" x14ac:dyDescent="0.2">
      <c r="A18" s="855" t="s">
        <v>341</v>
      </c>
      <c r="B18" s="856"/>
      <c r="C18" s="77" t="s">
        <v>332</v>
      </c>
      <c r="D18" s="77" t="s">
        <v>333</v>
      </c>
      <c r="E18" s="77" t="s">
        <v>334</v>
      </c>
      <c r="F18" s="77" t="s">
        <v>335</v>
      </c>
      <c r="G18" s="77" t="s">
        <v>28</v>
      </c>
      <c r="I18" s="81"/>
      <c r="J18" s="81"/>
      <c r="K18" s="82"/>
      <c r="L18" s="82"/>
    </row>
    <row r="19" spans="1:12" x14ac:dyDescent="0.2">
      <c r="A19" s="76">
        <v>1</v>
      </c>
      <c r="B19" s="253" t="s">
        <v>542</v>
      </c>
      <c r="C19" s="79">
        <v>13</v>
      </c>
      <c r="D19" s="79">
        <v>4</v>
      </c>
      <c r="E19" s="79"/>
      <c r="F19" s="79">
        <v>13</v>
      </c>
      <c r="G19" s="236" t="s">
        <v>336</v>
      </c>
      <c r="I19" s="81"/>
      <c r="J19" s="102"/>
      <c r="K19" s="83"/>
      <c r="L19" s="83"/>
    </row>
    <row r="20" spans="1:12" x14ac:dyDescent="0.2">
      <c r="A20" s="76">
        <v>2</v>
      </c>
      <c r="B20" s="253" t="s">
        <v>550</v>
      </c>
      <c r="C20" s="79">
        <v>13</v>
      </c>
      <c r="D20" s="79">
        <v>13</v>
      </c>
      <c r="E20" s="79"/>
      <c r="F20" s="79"/>
      <c r="G20" s="236" t="s">
        <v>337</v>
      </c>
      <c r="I20" s="81"/>
      <c r="J20" s="102"/>
      <c r="K20" s="83"/>
      <c r="L20" s="83"/>
    </row>
    <row r="21" spans="1:12" x14ac:dyDescent="0.2">
      <c r="A21" s="76">
        <v>3</v>
      </c>
      <c r="B21" s="253" t="s">
        <v>543</v>
      </c>
      <c r="C21" s="79">
        <v>2</v>
      </c>
      <c r="D21" s="79"/>
      <c r="E21" s="79">
        <v>13</v>
      </c>
      <c r="F21" s="79">
        <v>11</v>
      </c>
      <c r="G21" s="236" t="s">
        <v>338</v>
      </c>
      <c r="I21" s="81"/>
      <c r="J21" s="102"/>
      <c r="K21" s="83"/>
      <c r="L21" s="83"/>
    </row>
    <row r="22" spans="1:12" x14ac:dyDescent="0.2">
      <c r="A22" s="76">
        <v>4</v>
      </c>
      <c r="B22" s="253" t="s">
        <v>544</v>
      </c>
      <c r="C22" s="79">
        <v>8</v>
      </c>
      <c r="D22" s="79"/>
      <c r="E22" s="79">
        <v>6</v>
      </c>
      <c r="F22" s="79"/>
      <c r="G22" s="236" t="s">
        <v>398</v>
      </c>
      <c r="I22" s="81"/>
      <c r="J22" s="102"/>
      <c r="K22" s="83"/>
      <c r="L22" s="83"/>
    </row>
    <row r="24" spans="1:12" x14ac:dyDescent="0.2">
      <c r="A24" s="855" t="s">
        <v>375</v>
      </c>
      <c r="B24" s="856"/>
      <c r="C24" s="77" t="s">
        <v>332</v>
      </c>
      <c r="D24" s="77" t="s">
        <v>333</v>
      </c>
      <c r="E24" s="77" t="s">
        <v>334</v>
      </c>
      <c r="F24" s="77" t="s">
        <v>335</v>
      </c>
      <c r="G24" s="77" t="s">
        <v>28</v>
      </c>
    </row>
    <row r="25" spans="1:12" x14ac:dyDescent="0.2">
      <c r="A25" s="76">
        <v>1</v>
      </c>
      <c r="B25" s="253" t="s">
        <v>545</v>
      </c>
      <c r="C25" s="79">
        <v>13</v>
      </c>
      <c r="D25" s="79">
        <v>13</v>
      </c>
      <c r="E25" s="79"/>
      <c r="F25" s="79"/>
      <c r="G25" s="236" t="s">
        <v>337</v>
      </c>
    </row>
    <row r="26" spans="1:12" x14ac:dyDescent="0.2">
      <c r="A26" s="76">
        <v>2</v>
      </c>
      <c r="B26" s="253" t="s">
        <v>546</v>
      </c>
      <c r="C26" s="79">
        <v>0</v>
      </c>
      <c r="D26" s="79"/>
      <c r="E26" s="79">
        <v>13</v>
      </c>
      <c r="F26" s="79">
        <v>5</v>
      </c>
      <c r="G26" s="236" t="s">
        <v>338</v>
      </c>
    </row>
    <row r="27" spans="1:12" x14ac:dyDescent="0.2">
      <c r="A27" s="76">
        <v>3</v>
      </c>
      <c r="B27" s="253" t="s">
        <v>547</v>
      </c>
      <c r="C27" s="79">
        <v>13</v>
      </c>
      <c r="D27" s="79">
        <v>6</v>
      </c>
      <c r="E27" s="79"/>
      <c r="F27" s="79">
        <v>13</v>
      </c>
      <c r="G27" s="246" t="s">
        <v>336</v>
      </c>
    </row>
    <row r="28" spans="1:12" x14ac:dyDescent="0.2">
      <c r="A28" s="76">
        <v>4</v>
      </c>
      <c r="B28" s="254"/>
      <c r="C28" s="79"/>
      <c r="D28" s="79"/>
      <c r="E28" s="79">
        <v>0</v>
      </c>
      <c r="F28" s="79"/>
      <c r="G28" s="236"/>
    </row>
    <row r="29" spans="1:12" x14ac:dyDescent="0.2">
      <c r="A29" s="80"/>
      <c r="B29" s="81"/>
      <c r="C29" s="82"/>
      <c r="D29" s="82"/>
      <c r="E29" s="82"/>
      <c r="F29" s="83"/>
      <c r="G29" s="84"/>
    </row>
    <row r="30" spans="1:12" x14ac:dyDescent="0.2">
      <c r="A30" s="855" t="s">
        <v>443</v>
      </c>
      <c r="B30" s="856"/>
      <c r="C30" s="77" t="s">
        <v>332</v>
      </c>
      <c r="D30" s="77" t="s">
        <v>333</v>
      </c>
      <c r="E30" s="77" t="s">
        <v>334</v>
      </c>
      <c r="F30" s="77" t="s">
        <v>335</v>
      </c>
      <c r="G30" s="77" t="s">
        <v>28</v>
      </c>
    </row>
    <row r="31" spans="1:12" x14ac:dyDescent="0.2">
      <c r="A31" s="76">
        <v>1</v>
      </c>
      <c r="B31" s="253" t="s">
        <v>343</v>
      </c>
      <c r="C31" s="237">
        <v>13</v>
      </c>
      <c r="D31" s="237">
        <v>6</v>
      </c>
      <c r="E31" s="79"/>
      <c r="F31" s="79">
        <v>6</v>
      </c>
      <c r="G31" s="236" t="s">
        <v>338</v>
      </c>
    </row>
    <row r="32" spans="1:12" x14ac:dyDescent="0.2">
      <c r="A32" s="76">
        <v>2</v>
      </c>
      <c r="B32" s="253" t="s">
        <v>347</v>
      </c>
      <c r="C32" s="79">
        <v>10</v>
      </c>
      <c r="D32" s="79"/>
      <c r="E32" s="79">
        <v>13</v>
      </c>
      <c r="F32" s="79">
        <v>13</v>
      </c>
      <c r="G32" s="246" t="s">
        <v>336</v>
      </c>
    </row>
    <row r="33" spans="1:14" x14ac:dyDescent="0.2">
      <c r="A33" s="76">
        <v>3</v>
      </c>
      <c r="B33" s="253" t="s">
        <v>548</v>
      </c>
      <c r="C33" s="79">
        <v>13</v>
      </c>
      <c r="D33" s="79">
        <v>13</v>
      </c>
      <c r="E33" s="79"/>
      <c r="F33" s="79"/>
      <c r="G33" s="236" t="s">
        <v>337</v>
      </c>
    </row>
    <row r="34" spans="1:14" x14ac:dyDescent="0.2">
      <c r="A34" s="76">
        <v>4</v>
      </c>
      <c r="B34" s="254"/>
      <c r="C34" s="79">
        <v>0</v>
      </c>
      <c r="D34" s="79"/>
      <c r="E34" s="79">
        <v>0</v>
      </c>
      <c r="F34" s="79"/>
      <c r="G34" s="236"/>
    </row>
    <row r="35" spans="1:14" x14ac:dyDescent="0.2">
      <c r="A35" s="80"/>
      <c r="B35" s="238"/>
      <c r="C35" s="83"/>
      <c r="D35" s="83"/>
      <c r="E35" s="83"/>
      <c r="F35" s="83"/>
      <c r="G35" s="235"/>
    </row>
    <row r="36" spans="1:14" s="528" customFormat="1" x14ac:dyDescent="0.2">
      <c r="A36" s="177" t="s">
        <v>447</v>
      </c>
      <c r="B36" s="424"/>
      <c r="C36" s="82"/>
      <c r="D36" s="82"/>
      <c r="E36" s="82"/>
      <c r="F36" s="83"/>
      <c r="G36" s="84"/>
      <c r="H36" s="421"/>
      <c r="I36" s="421"/>
      <c r="J36" s="421"/>
      <c r="K36" s="421"/>
      <c r="L36" s="421"/>
      <c r="N36" s="421"/>
    </row>
    <row r="37" spans="1:14" s="528" customFormat="1" x14ac:dyDescent="0.2">
      <c r="A37" s="421"/>
      <c r="B37" s="421"/>
      <c r="C37" s="421"/>
      <c r="D37" s="421"/>
      <c r="E37" s="421"/>
      <c r="F37" s="421"/>
      <c r="G37" s="421"/>
      <c r="H37" s="421"/>
      <c r="I37" s="421"/>
      <c r="J37" s="421"/>
      <c r="K37" s="421"/>
      <c r="L37" s="421"/>
      <c r="N37" s="421"/>
    </row>
    <row r="38" spans="1:14" s="528" customFormat="1" x14ac:dyDescent="0.2">
      <c r="A38" s="241" t="s">
        <v>356</v>
      </c>
      <c r="B38" s="932" t="s">
        <v>549</v>
      </c>
      <c r="C38" s="372">
        <v>13</v>
      </c>
      <c r="D38" s="421"/>
      <c r="E38" s="421"/>
      <c r="F38" s="421"/>
      <c r="G38" s="421"/>
      <c r="H38" s="421"/>
      <c r="I38" s="421"/>
      <c r="J38" s="421"/>
      <c r="K38" s="421"/>
      <c r="L38" s="421"/>
    </row>
    <row r="39" spans="1:14" s="528" customFormat="1" x14ac:dyDescent="0.2">
      <c r="A39" s="179"/>
      <c r="B39" s="180"/>
      <c r="C39" s="218" t="s">
        <v>549</v>
      </c>
      <c r="D39" s="421"/>
      <c r="E39" s="423">
        <v>13</v>
      </c>
      <c r="F39" s="421"/>
      <c r="G39" s="421"/>
      <c r="H39" s="421"/>
      <c r="I39" s="421"/>
      <c r="J39" s="421"/>
      <c r="K39" s="421"/>
    </row>
    <row r="40" spans="1:14" s="528" customFormat="1" x14ac:dyDescent="0.2">
      <c r="A40" s="179"/>
      <c r="B40" s="925" t="s">
        <v>352</v>
      </c>
      <c r="C40" s="928">
        <v>0</v>
      </c>
      <c r="D40" s="926"/>
      <c r="E40" s="421"/>
      <c r="F40" s="421"/>
      <c r="G40" s="421"/>
      <c r="H40" s="421"/>
      <c r="I40" s="421"/>
      <c r="J40" s="421"/>
      <c r="K40" s="421"/>
    </row>
    <row r="41" spans="1:14" s="528" customFormat="1" x14ac:dyDescent="0.2">
      <c r="A41" s="179"/>
      <c r="B41" s="421"/>
      <c r="C41" s="424"/>
      <c r="D41" s="183"/>
      <c r="E41" s="425" t="s">
        <v>549</v>
      </c>
      <c r="F41" s="421"/>
      <c r="G41" s="423">
        <v>13</v>
      </c>
      <c r="H41" s="421"/>
      <c r="I41" s="421"/>
      <c r="J41" s="421"/>
      <c r="K41" s="421"/>
    </row>
    <row r="42" spans="1:14" s="528" customFormat="1" x14ac:dyDescent="0.2">
      <c r="A42" s="179" t="s">
        <v>354</v>
      </c>
      <c r="B42" s="857" t="s">
        <v>542</v>
      </c>
      <c r="C42" s="184">
        <v>13</v>
      </c>
      <c r="D42" s="183"/>
      <c r="E42" s="185"/>
      <c r="F42" s="182"/>
      <c r="G42" s="421"/>
      <c r="H42" s="421"/>
      <c r="I42" s="421"/>
      <c r="J42" s="421"/>
      <c r="K42" s="421"/>
    </row>
    <row r="43" spans="1:14" s="528" customFormat="1" x14ac:dyDescent="0.2">
      <c r="A43" s="179"/>
      <c r="B43" s="180"/>
      <c r="C43" s="934" t="s">
        <v>542</v>
      </c>
      <c r="D43" s="186"/>
      <c r="E43" s="184">
        <v>9</v>
      </c>
      <c r="F43" s="183"/>
      <c r="G43" s="421"/>
      <c r="H43" s="421"/>
      <c r="I43" s="421"/>
      <c r="J43" s="421"/>
      <c r="K43" s="421"/>
    </row>
    <row r="44" spans="1:14" s="528" customFormat="1" x14ac:dyDescent="0.2">
      <c r="A44" s="241"/>
      <c r="B44" s="927" t="s">
        <v>352</v>
      </c>
      <c r="C44" s="377">
        <v>0</v>
      </c>
      <c r="D44" s="421"/>
      <c r="E44" s="424"/>
      <c r="F44" s="183"/>
      <c r="G44" s="421"/>
      <c r="H44" s="421"/>
      <c r="I44" s="421"/>
      <c r="J44" s="421"/>
      <c r="K44" s="421"/>
    </row>
    <row r="45" spans="1:14" s="528" customFormat="1" x14ac:dyDescent="0.2">
      <c r="A45" s="118"/>
      <c r="B45" s="421"/>
      <c r="C45" s="421"/>
      <c r="D45" s="421"/>
      <c r="E45" s="424"/>
      <c r="F45" s="183"/>
      <c r="G45" s="935" t="s">
        <v>549</v>
      </c>
      <c r="H45" s="421"/>
      <c r="I45" s="423">
        <v>13</v>
      </c>
      <c r="J45" s="421"/>
      <c r="K45" s="421"/>
    </row>
    <row r="46" spans="1:14" s="528" customFormat="1" x14ac:dyDescent="0.2">
      <c r="A46" s="929" t="s">
        <v>358</v>
      </c>
      <c r="B46" s="932" t="s">
        <v>536</v>
      </c>
      <c r="C46" s="372">
        <v>11</v>
      </c>
      <c r="D46" s="421"/>
      <c r="E46" s="424"/>
      <c r="F46" s="183"/>
      <c r="G46" s="180"/>
      <c r="H46" s="182"/>
      <c r="I46" s="421"/>
      <c r="J46" s="421"/>
      <c r="K46" s="421"/>
    </row>
    <row r="47" spans="1:14" s="528" customFormat="1" x14ac:dyDescent="0.2">
      <c r="A47" s="930"/>
      <c r="B47" s="373"/>
      <c r="C47" s="402" t="s">
        <v>347</v>
      </c>
      <c r="D47" s="421"/>
      <c r="E47" s="184">
        <v>13</v>
      </c>
      <c r="F47" s="183"/>
      <c r="G47" s="424"/>
      <c r="H47" s="183"/>
      <c r="I47" s="421"/>
      <c r="J47" s="421"/>
      <c r="K47" s="421"/>
    </row>
    <row r="48" spans="1:14" s="528" customFormat="1" x14ac:dyDescent="0.2">
      <c r="A48" s="929" t="s">
        <v>468</v>
      </c>
      <c r="B48" s="933" t="s">
        <v>347</v>
      </c>
      <c r="C48" s="390">
        <v>13</v>
      </c>
      <c r="D48" s="182"/>
      <c r="E48" s="424"/>
      <c r="F48" s="183"/>
      <c r="G48" s="424"/>
      <c r="H48" s="183"/>
      <c r="I48" s="421"/>
      <c r="J48" s="421"/>
      <c r="K48" s="421"/>
    </row>
    <row r="49" spans="1:11" s="528" customFormat="1" x14ac:dyDescent="0.2">
      <c r="A49" s="931"/>
      <c r="B49" s="421"/>
      <c r="C49" s="421"/>
      <c r="D49" s="183"/>
      <c r="E49" s="420" t="s">
        <v>347</v>
      </c>
      <c r="F49" s="186"/>
      <c r="G49" s="184">
        <v>10</v>
      </c>
      <c r="H49" s="183"/>
      <c r="I49" s="421"/>
      <c r="J49" s="421"/>
      <c r="K49" s="421"/>
    </row>
    <row r="50" spans="1:11" s="528" customFormat="1" x14ac:dyDescent="0.2">
      <c r="A50" s="929" t="s">
        <v>401</v>
      </c>
      <c r="B50" s="932" t="s">
        <v>547</v>
      </c>
      <c r="C50" s="382">
        <v>0</v>
      </c>
      <c r="D50" s="183"/>
      <c r="E50" s="425"/>
      <c r="F50" s="424"/>
      <c r="G50" s="424"/>
      <c r="H50" s="183"/>
      <c r="I50" s="421"/>
      <c r="J50" s="421"/>
      <c r="K50" s="421"/>
    </row>
    <row r="51" spans="1:11" s="528" customFormat="1" x14ac:dyDescent="0.2">
      <c r="A51" s="930"/>
      <c r="B51" s="373"/>
      <c r="C51" s="402" t="s">
        <v>342</v>
      </c>
      <c r="D51" s="186"/>
      <c r="E51" s="184">
        <v>3</v>
      </c>
      <c r="F51" s="421"/>
      <c r="G51" s="424"/>
      <c r="H51" s="183"/>
      <c r="I51" s="421"/>
      <c r="J51" s="421"/>
      <c r="K51" s="421"/>
    </row>
    <row r="52" spans="1:11" s="528" customFormat="1" x14ac:dyDescent="0.2">
      <c r="A52" s="929" t="s">
        <v>355</v>
      </c>
      <c r="B52" s="933" t="s">
        <v>342</v>
      </c>
      <c r="C52" s="390">
        <v>13</v>
      </c>
      <c r="D52" s="421"/>
      <c r="E52" s="424"/>
      <c r="F52" s="424"/>
      <c r="G52" s="424"/>
      <c r="H52" s="183"/>
      <c r="I52" s="421"/>
      <c r="J52" s="421"/>
      <c r="K52" s="421"/>
    </row>
    <row r="53" spans="1:11" s="528" customFormat="1" ht="13.5" thickBot="1" x14ac:dyDescent="0.25">
      <c r="A53" s="421"/>
      <c r="B53" s="421"/>
      <c r="C53" s="421"/>
      <c r="D53" s="421"/>
      <c r="E53" s="421"/>
      <c r="F53" s="421"/>
      <c r="G53" s="424"/>
      <c r="H53" s="183"/>
      <c r="I53" s="421"/>
      <c r="J53" s="421" t="s">
        <v>549</v>
      </c>
      <c r="K53" s="421"/>
    </row>
    <row r="54" spans="1:11" s="528" customFormat="1" x14ac:dyDescent="0.2">
      <c r="A54" s="241" t="s">
        <v>472</v>
      </c>
      <c r="B54" s="932" t="s">
        <v>548</v>
      </c>
      <c r="C54" s="423">
        <v>13</v>
      </c>
      <c r="D54" s="421"/>
      <c r="E54" s="421"/>
      <c r="F54" s="421"/>
      <c r="G54" s="424"/>
      <c r="H54" s="183"/>
      <c r="I54" s="188"/>
      <c r="J54" s="189" t="s">
        <v>357</v>
      </c>
      <c r="K54" s="190"/>
    </row>
    <row r="55" spans="1:11" s="528" customFormat="1" x14ac:dyDescent="0.2">
      <c r="A55" s="179"/>
      <c r="B55" s="180"/>
      <c r="C55" s="934" t="s">
        <v>548</v>
      </c>
      <c r="D55" s="421"/>
      <c r="E55" s="423">
        <v>13</v>
      </c>
      <c r="F55" s="421"/>
      <c r="G55" s="424"/>
      <c r="H55" s="183"/>
      <c r="I55" s="421"/>
      <c r="J55" s="421"/>
      <c r="K55" s="421"/>
    </row>
    <row r="56" spans="1:11" s="528" customFormat="1" x14ac:dyDescent="0.2">
      <c r="A56" s="179"/>
      <c r="B56" s="925" t="s">
        <v>352</v>
      </c>
      <c r="C56" s="181">
        <v>0</v>
      </c>
      <c r="D56" s="182"/>
      <c r="E56" s="421"/>
      <c r="F56" s="421"/>
      <c r="G56" s="424"/>
      <c r="H56" s="183"/>
      <c r="I56" s="421"/>
      <c r="J56" s="421"/>
      <c r="K56" s="421"/>
    </row>
    <row r="57" spans="1:11" s="528" customFormat="1" x14ac:dyDescent="0.2">
      <c r="A57" s="179"/>
      <c r="B57" s="421"/>
      <c r="C57" s="421"/>
      <c r="D57" s="183"/>
      <c r="E57" s="421" t="s">
        <v>548</v>
      </c>
      <c r="F57" s="421"/>
      <c r="G57" s="184">
        <v>10</v>
      </c>
      <c r="H57" s="183"/>
      <c r="I57" s="421"/>
      <c r="J57" s="421"/>
      <c r="K57" s="421"/>
    </row>
    <row r="58" spans="1:11" s="528" customFormat="1" x14ac:dyDescent="0.2">
      <c r="A58" s="179" t="s">
        <v>353</v>
      </c>
      <c r="B58" s="421" t="s">
        <v>550</v>
      </c>
      <c r="C58" s="184">
        <v>13</v>
      </c>
      <c r="D58" s="183"/>
      <c r="E58" s="185"/>
      <c r="F58" s="182"/>
      <c r="G58" s="424"/>
      <c r="H58" s="183"/>
      <c r="I58" s="421"/>
      <c r="J58" s="421"/>
      <c r="K58" s="421"/>
    </row>
    <row r="59" spans="1:11" s="528" customFormat="1" x14ac:dyDescent="0.2">
      <c r="A59" s="179"/>
      <c r="B59" s="180"/>
      <c r="C59" s="935" t="s">
        <v>550</v>
      </c>
      <c r="D59" s="186"/>
      <c r="E59" s="184">
        <v>9</v>
      </c>
      <c r="F59" s="183"/>
      <c r="G59" s="424"/>
      <c r="H59" s="183"/>
      <c r="I59" s="421"/>
      <c r="J59" s="421"/>
      <c r="K59" s="421"/>
    </row>
    <row r="60" spans="1:11" s="528" customFormat="1" x14ac:dyDescent="0.2">
      <c r="A60" s="179"/>
      <c r="B60" s="925" t="s">
        <v>352</v>
      </c>
      <c r="C60" s="187">
        <v>0</v>
      </c>
      <c r="D60" s="421"/>
      <c r="E60" s="424"/>
      <c r="F60" s="183"/>
      <c r="G60" s="424"/>
      <c r="H60" s="183"/>
      <c r="I60" s="421"/>
      <c r="J60" s="421"/>
      <c r="K60" s="421"/>
    </row>
    <row r="61" spans="1:11" s="528" customFormat="1" x14ac:dyDescent="0.2">
      <c r="A61" s="421"/>
      <c r="B61" s="421"/>
      <c r="C61" s="421"/>
      <c r="D61" s="421"/>
      <c r="E61" s="424"/>
      <c r="F61" s="183"/>
      <c r="G61" s="420" t="s">
        <v>538</v>
      </c>
      <c r="H61" s="186"/>
      <c r="I61" s="423">
        <v>9</v>
      </c>
      <c r="J61" s="421"/>
      <c r="K61" s="421"/>
    </row>
    <row r="62" spans="1:11" s="528" customFormat="1" ht="13.5" thickBot="1" x14ac:dyDescent="0.25">
      <c r="A62" s="241" t="s">
        <v>399</v>
      </c>
      <c r="B62" s="932" t="s">
        <v>545</v>
      </c>
      <c r="C62" s="423">
        <v>13</v>
      </c>
      <c r="D62" s="421"/>
      <c r="E62" s="424"/>
      <c r="F62" s="183"/>
      <c r="G62" s="421"/>
      <c r="H62" s="421"/>
      <c r="I62" s="421"/>
      <c r="J62" s="424" t="s">
        <v>538</v>
      </c>
      <c r="K62" s="228"/>
    </row>
    <row r="63" spans="1:11" s="528" customFormat="1" x14ac:dyDescent="0.2">
      <c r="A63" s="179"/>
      <c r="B63" s="180"/>
      <c r="C63" s="219" t="s">
        <v>545</v>
      </c>
      <c r="D63" s="421"/>
      <c r="E63" s="184">
        <v>11</v>
      </c>
      <c r="F63" s="183"/>
      <c r="G63" s="421"/>
      <c r="H63" s="421"/>
      <c r="I63" s="421"/>
      <c r="J63" s="189" t="s">
        <v>359</v>
      </c>
      <c r="K63" s="424"/>
    </row>
    <row r="64" spans="1:11" s="528" customFormat="1" x14ac:dyDescent="0.2">
      <c r="A64" s="179"/>
      <c r="B64" s="925" t="s">
        <v>352</v>
      </c>
      <c r="C64" s="181">
        <v>0</v>
      </c>
      <c r="D64" s="182"/>
      <c r="E64" s="424"/>
      <c r="F64" s="183"/>
      <c r="G64" s="421"/>
      <c r="H64" s="421"/>
      <c r="I64" s="421"/>
      <c r="J64" s="421"/>
      <c r="K64" s="421"/>
    </row>
    <row r="65" spans="1:11" s="528" customFormat="1" x14ac:dyDescent="0.2">
      <c r="A65" s="179"/>
      <c r="B65" s="421"/>
      <c r="C65" s="421"/>
      <c r="D65" s="183"/>
      <c r="E65" s="420" t="s">
        <v>538</v>
      </c>
      <c r="F65" s="186"/>
      <c r="G65" s="423">
        <v>13</v>
      </c>
      <c r="H65" s="421"/>
      <c r="I65" s="421"/>
      <c r="J65" s="421"/>
      <c r="K65" s="421"/>
    </row>
    <row r="66" spans="1:11" s="528" customFormat="1" x14ac:dyDescent="0.2">
      <c r="A66" s="179" t="s">
        <v>360</v>
      </c>
      <c r="B66" s="857" t="s">
        <v>538</v>
      </c>
      <c r="C66" s="184">
        <v>13</v>
      </c>
      <c r="D66" s="183"/>
      <c r="E66" s="425"/>
      <c r="F66" s="424"/>
      <c r="G66" s="421"/>
      <c r="H66" s="421"/>
      <c r="I66" s="421"/>
      <c r="J66" s="421"/>
      <c r="K66" s="421"/>
    </row>
    <row r="67" spans="1:11" s="528" customFormat="1" x14ac:dyDescent="0.2">
      <c r="A67" s="179"/>
      <c r="B67" s="180"/>
      <c r="C67" s="425" t="s">
        <v>538</v>
      </c>
      <c r="D67" s="186"/>
      <c r="E67" s="184">
        <v>13</v>
      </c>
      <c r="F67" s="421"/>
      <c r="G67" s="421" t="s">
        <v>347</v>
      </c>
      <c r="H67" s="421"/>
      <c r="I67" s="184">
        <v>13</v>
      </c>
      <c r="J67" s="421"/>
      <c r="K67" s="421"/>
    </row>
    <row r="68" spans="1:11" s="528" customFormat="1" ht="13.5" thickBot="1" x14ac:dyDescent="0.25">
      <c r="A68" s="179"/>
      <c r="B68" s="925" t="s">
        <v>352</v>
      </c>
      <c r="C68" s="187">
        <v>0</v>
      </c>
      <c r="D68" s="421"/>
      <c r="E68" s="424"/>
      <c r="F68" s="424"/>
      <c r="G68" s="180"/>
      <c r="H68" s="182"/>
      <c r="I68" s="228"/>
      <c r="J68" s="228" t="s">
        <v>347</v>
      </c>
      <c r="K68" s="228"/>
    </row>
    <row r="69" spans="1:11" s="528" customFormat="1" x14ac:dyDescent="0.2">
      <c r="A69" s="421"/>
      <c r="B69" s="421"/>
      <c r="C69" s="421"/>
      <c r="D69" s="421"/>
      <c r="E69" s="421"/>
      <c r="F69" s="424"/>
      <c r="G69" s="420" t="s">
        <v>548</v>
      </c>
      <c r="H69" s="186"/>
      <c r="I69" s="423">
        <v>2</v>
      </c>
      <c r="J69" s="112" t="s">
        <v>361</v>
      </c>
      <c r="K69" s="424"/>
    </row>
    <row r="70" spans="1:11" s="528" customFormat="1" x14ac:dyDescent="0.2">
      <c r="A70" s="421"/>
      <c r="B70" s="421"/>
      <c r="C70" s="421"/>
      <c r="D70" s="421"/>
      <c r="E70" s="421"/>
      <c r="F70" s="424"/>
      <c r="G70" s="421"/>
      <c r="H70" s="421"/>
      <c r="I70" s="421"/>
      <c r="J70" s="424"/>
      <c r="K70" s="424"/>
    </row>
    <row r="71" spans="1:11" s="528" customFormat="1" ht="13.5" thickBot="1" x14ac:dyDescent="0.25">
      <c r="A71" s="421"/>
      <c r="B71" s="421"/>
      <c r="C71" s="421"/>
      <c r="D71" s="421"/>
      <c r="E71" s="421"/>
      <c r="F71" s="424"/>
      <c r="G71" s="424"/>
      <c r="H71" s="424"/>
      <c r="I71" s="421"/>
      <c r="J71" s="228" t="s">
        <v>548</v>
      </c>
      <c r="K71" s="228"/>
    </row>
    <row r="72" spans="1:11" s="528" customFormat="1" x14ac:dyDescent="0.2">
      <c r="A72" s="421"/>
      <c r="B72" s="421"/>
      <c r="C72" s="421"/>
      <c r="D72" s="421"/>
      <c r="E72" s="421"/>
      <c r="F72" s="421"/>
      <c r="G72" s="424"/>
      <c r="H72" s="424"/>
      <c r="I72" s="421"/>
      <c r="J72" s="118" t="s">
        <v>362</v>
      </c>
      <c r="K72" s="421"/>
    </row>
    <row r="73" spans="1:11" s="528" customFormat="1" x14ac:dyDescent="0.2">
      <c r="A73" s="421"/>
      <c r="B73" s="421"/>
      <c r="C73" s="421"/>
      <c r="D73" s="421"/>
      <c r="E73" s="421"/>
      <c r="F73" s="421"/>
      <c r="G73" s="424"/>
      <c r="H73" s="424"/>
      <c r="I73" s="421"/>
      <c r="J73" s="118"/>
      <c r="K73" s="421"/>
    </row>
    <row r="74" spans="1:11" s="528" customFormat="1" x14ac:dyDescent="0.2">
      <c r="A74" s="191" t="s">
        <v>448</v>
      </c>
      <c r="B74" s="421"/>
      <c r="C74" s="421"/>
      <c r="D74" s="421"/>
      <c r="E74" s="421"/>
      <c r="F74" s="421"/>
      <c r="G74" s="424"/>
      <c r="H74" s="424"/>
      <c r="I74" s="421"/>
      <c r="J74" s="118"/>
      <c r="K74" s="421"/>
    </row>
    <row r="75" spans="1:11" s="528" customFormat="1" x14ac:dyDescent="0.2">
      <c r="A75" s="421"/>
      <c r="B75" s="421"/>
      <c r="C75" s="421"/>
      <c r="D75" s="421"/>
      <c r="E75" s="192" t="s">
        <v>542</v>
      </c>
      <c r="F75" s="423"/>
      <c r="G75" s="423">
        <v>2</v>
      </c>
      <c r="H75" s="423"/>
      <c r="I75" s="423"/>
      <c r="J75" s="421"/>
      <c r="K75" s="421"/>
    </row>
    <row r="76" spans="1:11" s="528" customFormat="1" x14ac:dyDescent="0.2">
      <c r="A76" s="421"/>
      <c r="B76" s="421"/>
      <c r="C76" s="421"/>
      <c r="D76" s="421"/>
      <c r="E76" s="193"/>
      <c r="F76" s="194"/>
      <c r="G76" s="195" t="s">
        <v>342</v>
      </c>
      <c r="H76" s="423"/>
      <c r="I76" s="423">
        <v>13</v>
      </c>
      <c r="J76" s="421"/>
      <c r="K76" s="421"/>
    </row>
    <row r="77" spans="1:11" s="528" customFormat="1" x14ac:dyDescent="0.2">
      <c r="A77" s="421"/>
      <c r="B77" s="421"/>
      <c r="C77" s="421"/>
      <c r="D77" s="421"/>
      <c r="E77" s="195" t="s">
        <v>342</v>
      </c>
      <c r="F77" s="196"/>
      <c r="G77" s="423">
        <v>13</v>
      </c>
      <c r="H77" s="194"/>
      <c r="I77" s="423"/>
      <c r="J77" s="421"/>
      <c r="K77" s="421"/>
    </row>
    <row r="78" spans="1:11" s="528" customFormat="1" ht="13.5" thickBot="1" x14ac:dyDescent="0.25">
      <c r="A78" s="421"/>
      <c r="B78" s="421"/>
      <c r="C78" s="421"/>
      <c r="D78" s="421"/>
      <c r="E78" s="423"/>
      <c r="F78" s="423"/>
      <c r="G78" s="184"/>
      <c r="H78" s="197"/>
      <c r="I78" s="423"/>
      <c r="J78" s="421" t="s">
        <v>342</v>
      </c>
      <c r="K78" s="421"/>
    </row>
    <row r="79" spans="1:11" s="528" customFormat="1" x14ac:dyDescent="0.2">
      <c r="A79" s="421"/>
      <c r="B79" s="421"/>
      <c r="C79" s="421"/>
      <c r="D79" s="421"/>
      <c r="E79" s="423" t="s">
        <v>550</v>
      </c>
      <c r="F79" s="423"/>
      <c r="G79" s="423">
        <v>4</v>
      </c>
      <c r="H79" s="197"/>
      <c r="I79" s="198"/>
      <c r="J79" s="189" t="s">
        <v>363</v>
      </c>
      <c r="K79" s="190"/>
    </row>
    <row r="80" spans="1:11" s="528" customFormat="1" x14ac:dyDescent="0.2">
      <c r="A80" s="421"/>
      <c r="B80" s="421"/>
      <c r="C80" s="421"/>
      <c r="D80" s="421"/>
      <c r="E80" s="193"/>
      <c r="F80" s="194"/>
      <c r="G80" s="423" t="s">
        <v>545</v>
      </c>
      <c r="H80" s="196"/>
      <c r="I80" s="184">
        <v>5</v>
      </c>
      <c r="J80" s="421"/>
      <c r="K80" s="421"/>
    </row>
    <row r="81" spans="1:11" s="528" customFormat="1" ht="13.5" thickBot="1" x14ac:dyDescent="0.25">
      <c r="A81" s="421"/>
      <c r="B81" s="421"/>
      <c r="C81" s="421"/>
      <c r="D81" s="421"/>
      <c r="E81" s="195" t="s">
        <v>545</v>
      </c>
      <c r="F81" s="196"/>
      <c r="G81" s="193">
        <v>13</v>
      </c>
      <c r="H81" s="423"/>
      <c r="I81" s="184"/>
      <c r="J81" s="424" t="s">
        <v>545</v>
      </c>
      <c r="K81" s="228"/>
    </row>
    <row r="82" spans="1:11" s="528" customFormat="1" x14ac:dyDescent="0.2">
      <c r="A82" s="421"/>
      <c r="B82" s="421"/>
      <c r="C82" s="421"/>
      <c r="D82" s="421"/>
      <c r="E82" s="423"/>
      <c r="F82" s="423"/>
      <c r="G82" s="423"/>
      <c r="H82" s="423"/>
      <c r="I82" s="184"/>
      <c r="J82" s="189" t="s">
        <v>364</v>
      </c>
      <c r="K82" s="424"/>
    </row>
    <row r="83" spans="1:11" s="528" customFormat="1" x14ac:dyDescent="0.2">
      <c r="A83" s="421"/>
      <c r="B83" s="421"/>
      <c r="C83" s="421"/>
      <c r="D83" s="421"/>
      <c r="E83" s="423"/>
      <c r="F83" s="184"/>
      <c r="G83" s="936" t="s">
        <v>542</v>
      </c>
      <c r="H83" s="423"/>
      <c r="I83" s="184">
        <v>6</v>
      </c>
      <c r="J83" s="424"/>
      <c r="K83" s="424"/>
    </row>
    <row r="84" spans="1:11" s="528" customFormat="1" ht="13.5" thickBot="1" x14ac:dyDescent="0.25">
      <c r="A84" s="421"/>
      <c r="B84" s="421"/>
      <c r="C84" s="421"/>
      <c r="D84" s="421"/>
      <c r="E84" s="423"/>
      <c r="F84" s="184"/>
      <c r="G84" s="193"/>
      <c r="H84" s="194"/>
      <c r="I84" s="199"/>
      <c r="J84" s="228" t="s">
        <v>550</v>
      </c>
      <c r="K84" s="228"/>
    </row>
    <row r="85" spans="1:11" s="528" customFormat="1" x14ac:dyDescent="0.2">
      <c r="A85" s="421"/>
      <c r="B85" s="421"/>
      <c r="C85" s="421"/>
      <c r="D85" s="421"/>
      <c r="E85" s="423"/>
      <c r="F85" s="184"/>
      <c r="G85" s="195" t="s">
        <v>550</v>
      </c>
      <c r="H85" s="196"/>
      <c r="I85" s="423">
        <v>13</v>
      </c>
      <c r="J85" s="112" t="s">
        <v>369</v>
      </c>
      <c r="K85" s="424"/>
    </row>
    <row r="86" spans="1:11" s="528" customFormat="1" x14ac:dyDescent="0.2">
      <c r="A86" s="421"/>
      <c r="B86" s="421"/>
      <c r="C86" s="421"/>
      <c r="D86" s="421"/>
      <c r="E86" s="421"/>
      <c r="F86" s="424"/>
      <c r="G86" s="421"/>
      <c r="H86" s="421"/>
      <c r="I86" s="421"/>
      <c r="J86" s="424"/>
      <c r="K86" s="424"/>
    </row>
    <row r="87" spans="1:11" s="528" customFormat="1" ht="13.5" thickBot="1" x14ac:dyDescent="0.25">
      <c r="A87" s="421"/>
      <c r="B87" s="421"/>
      <c r="C87" s="421"/>
      <c r="D87" s="421"/>
      <c r="E87" s="118"/>
      <c r="F87" s="421"/>
      <c r="G87" s="424"/>
      <c r="H87" s="424"/>
      <c r="I87" s="421"/>
      <c r="J87" s="228" t="s">
        <v>542</v>
      </c>
      <c r="K87" s="228"/>
    </row>
    <row r="88" spans="1:11" s="528" customFormat="1" x14ac:dyDescent="0.2">
      <c r="A88" s="421"/>
      <c r="B88" s="421"/>
      <c r="C88" s="421"/>
      <c r="D88" s="421"/>
      <c r="E88" s="118"/>
      <c r="F88" s="421"/>
      <c r="G88" s="424"/>
      <c r="H88" s="424"/>
      <c r="I88" s="421"/>
      <c r="J88" s="112" t="s">
        <v>370</v>
      </c>
      <c r="K88" s="421"/>
    </row>
    <row r="89" spans="1:11" s="528" customFormat="1" x14ac:dyDescent="0.2">
      <c r="A89" s="421"/>
      <c r="B89" s="421"/>
      <c r="C89" s="421"/>
      <c r="D89" s="421"/>
      <c r="E89" s="118"/>
      <c r="F89" s="421"/>
      <c r="G89" s="424"/>
      <c r="H89" s="424"/>
      <c r="I89" s="421"/>
      <c r="J89" s="112"/>
      <c r="K89" s="421"/>
    </row>
    <row r="90" spans="1:11" s="608" customFormat="1" x14ac:dyDescent="0.2">
      <c r="A90" s="119" t="s">
        <v>764</v>
      </c>
    </row>
    <row r="91" spans="1:11" s="608" customFormat="1" x14ac:dyDescent="0.2">
      <c r="A91" s="119"/>
    </row>
    <row r="92" spans="1:11" s="608" customFormat="1" x14ac:dyDescent="0.2">
      <c r="C92" s="608" t="s">
        <v>352</v>
      </c>
      <c r="E92" s="372"/>
    </row>
    <row r="93" spans="1:11" s="608" customFormat="1" x14ac:dyDescent="0.2">
      <c r="C93" s="938"/>
      <c r="D93" s="937"/>
      <c r="E93" s="939" t="s">
        <v>352</v>
      </c>
      <c r="G93" s="372">
        <v>0</v>
      </c>
    </row>
    <row r="94" spans="1:11" s="608" customFormat="1" x14ac:dyDescent="0.2">
      <c r="C94" s="403" t="s">
        <v>352</v>
      </c>
      <c r="D94" s="589"/>
      <c r="E94" s="377"/>
      <c r="F94" s="378"/>
    </row>
    <row r="95" spans="1:11" s="608" customFormat="1" x14ac:dyDescent="0.2">
      <c r="F95" s="380"/>
      <c r="G95" s="608" t="s">
        <v>536</v>
      </c>
      <c r="I95" s="372">
        <v>7</v>
      </c>
    </row>
    <row r="96" spans="1:11" s="608" customFormat="1" x14ac:dyDescent="0.2">
      <c r="C96" s="932" t="s">
        <v>536</v>
      </c>
      <c r="D96" s="595"/>
      <c r="E96" s="382">
        <v>13</v>
      </c>
      <c r="F96" s="380"/>
      <c r="G96" s="373"/>
      <c r="H96" s="378"/>
    </row>
    <row r="97" spans="1:11" s="608" customFormat="1" x14ac:dyDescent="0.2">
      <c r="C97" s="938"/>
      <c r="D97" s="937"/>
      <c r="E97" s="577" t="s">
        <v>536</v>
      </c>
      <c r="F97" s="576"/>
      <c r="G97" s="382">
        <v>13</v>
      </c>
      <c r="H97" s="380"/>
    </row>
    <row r="98" spans="1:11" s="608" customFormat="1" x14ac:dyDescent="0.2">
      <c r="C98" s="933" t="s">
        <v>352</v>
      </c>
      <c r="D98" s="589"/>
      <c r="E98" s="390">
        <v>0</v>
      </c>
      <c r="G98" s="379"/>
      <c r="H98" s="380"/>
    </row>
    <row r="99" spans="1:11" s="608" customFormat="1" ht="13.5" thickBot="1" x14ac:dyDescent="0.25">
      <c r="G99" s="379"/>
      <c r="H99" s="380"/>
      <c r="J99" s="386" t="s">
        <v>547</v>
      </c>
    </row>
    <row r="100" spans="1:11" s="608" customFormat="1" x14ac:dyDescent="0.2">
      <c r="C100" s="608" t="s">
        <v>547</v>
      </c>
      <c r="E100" s="372">
        <v>13</v>
      </c>
      <c r="G100" s="379"/>
      <c r="H100" s="380"/>
      <c r="I100" s="128"/>
      <c r="J100" s="129" t="s">
        <v>374</v>
      </c>
      <c r="K100" s="387"/>
    </row>
    <row r="101" spans="1:11" s="608" customFormat="1" x14ac:dyDescent="0.2">
      <c r="C101" s="938"/>
      <c r="D101" s="937"/>
      <c r="E101" s="402" t="s">
        <v>547</v>
      </c>
      <c r="G101" s="382">
        <v>13</v>
      </c>
      <c r="H101" s="380"/>
    </row>
    <row r="102" spans="1:11" s="608" customFormat="1" ht="13.5" thickBot="1" x14ac:dyDescent="0.25">
      <c r="C102" s="933" t="s">
        <v>352</v>
      </c>
      <c r="D102" s="576"/>
      <c r="E102" s="377">
        <v>0</v>
      </c>
      <c r="F102" s="378"/>
      <c r="G102" s="379"/>
      <c r="H102" s="380"/>
      <c r="J102" s="520" t="s">
        <v>536</v>
      </c>
      <c r="K102" s="520"/>
    </row>
    <row r="103" spans="1:11" s="608" customFormat="1" x14ac:dyDescent="0.2">
      <c r="F103" s="380"/>
      <c r="G103" s="403" t="s">
        <v>547</v>
      </c>
      <c r="H103" s="576"/>
      <c r="I103" s="372">
        <v>13</v>
      </c>
      <c r="J103" s="129" t="s">
        <v>390</v>
      </c>
    </row>
    <row r="104" spans="1:11" s="608" customFormat="1" x14ac:dyDescent="0.2">
      <c r="C104" s="932" t="s">
        <v>352</v>
      </c>
      <c r="E104" s="382"/>
      <c r="F104" s="380"/>
    </row>
    <row r="105" spans="1:11" s="608" customFormat="1" x14ac:dyDescent="0.2">
      <c r="C105" s="938"/>
      <c r="D105" s="937"/>
      <c r="E105" s="940" t="s">
        <v>352</v>
      </c>
      <c r="F105" s="576"/>
      <c r="G105" s="372">
        <v>0</v>
      </c>
    </row>
    <row r="106" spans="1:11" s="608" customFormat="1" x14ac:dyDescent="0.2">
      <c r="C106" s="933" t="s">
        <v>352</v>
      </c>
      <c r="D106" s="576"/>
      <c r="E106" s="390"/>
    </row>
    <row r="107" spans="1:11" s="608" customFormat="1" x14ac:dyDescent="0.2">
      <c r="I107" s="382"/>
      <c r="J107" s="379"/>
      <c r="K107" s="379"/>
    </row>
    <row r="108" spans="1:11" s="608" customFormat="1" ht="13.5" thickBot="1" x14ac:dyDescent="0.25">
      <c r="G108" s="373"/>
      <c r="H108" s="378"/>
      <c r="I108" s="520"/>
      <c r="J108" s="520"/>
      <c r="K108" s="520"/>
    </row>
    <row r="109" spans="1:11" s="608" customFormat="1" x14ac:dyDescent="0.2">
      <c r="G109" s="403"/>
      <c r="H109" s="576"/>
      <c r="I109" s="372"/>
      <c r="J109" s="133"/>
      <c r="K109" s="379"/>
    </row>
    <row r="110" spans="1:11" s="608" customFormat="1" x14ac:dyDescent="0.2">
      <c r="J110" s="379"/>
      <c r="K110" s="379"/>
    </row>
    <row r="111" spans="1:11" s="608" customFormat="1" ht="13.5" thickBot="1" x14ac:dyDescent="0.25">
      <c r="H111" s="379"/>
      <c r="J111" s="520"/>
      <c r="K111" s="520"/>
    </row>
    <row r="112" spans="1:11" s="528" customFormat="1" x14ac:dyDescent="0.2">
      <c r="A112" s="421"/>
      <c r="B112" s="421"/>
      <c r="C112" s="421"/>
      <c r="D112" s="421"/>
      <c r="E112" s="118"/>
      <c r="F112" s="421"/>
      <c r="G112" s="424"/>
      <c r="H112" s="424"/>
      <c r="I112" s="421"/>
      <c r="J112" s="112"/>
      <c r="K112" s="421"/>
    </row>
    <row r="113" spans="1:11" s="239" customFormat="1" x14ac:dyDescent="0.2">
      <c r="A113" s="119" t="s">
        <v>537</v>
      </c>
    </row>
    <row r="114" spans="1:11" s="239" customFormat="1" x14ac:dyDescent="0.2">
      <c r="A114" s="119"/>
    </row>
    <row r="115" spans="1:11" s="239" customFormat="1" x14ac:dyDescent="0.2">
      <c r="A115" s="241" t="s">
        <v>406</v>
      </c>
      <c r="B115" s="239" t="s">
        <v>541</v>
      </c>
      <c r="C115" s="121">
        <v>13</v>
      </c>
    </row>
    <row r="116" spans="1:11" s="239" customFormat="1" x14ac:dyDescent="0.2">
      <c r="A116" s="242"/>
      <c r="B116" s="122"/>
      <c r="C116" s="151" t="s">
        <v>541</v>
      </c>
      <c r="D116" s="248"/>
      <c r="F116" s="121">
        <v>8</v>
      </c>
    </row>
    <row r="117" spans="1:11" s="239" customFormat="1" x14ac:dyDescent="0.2">
      <c r="A117" s="241" t="s">
        <v>475</v>
      </c>
      <c r="B117" s="249" t="s">
        <v>343</v>
      </c>
      <c r="C117" s="131">
        <v>6</v>
      </c>
      <c r="E117" s="123"/>
    </row>
    <row r="118" spans="1:11" s="239" customFormat="1" x14ac:dyDescent="0.2">
      <c r="A118" s="242"/>
      <c r="D118" s="124"/>
      <c r="E118" s="125"/>
      <c r="F118" s="239" t="s">
        <v>543</v>
      </c>
      <c r="I118" s="121">
        <v>13</v>
      </c>
    </row>
    <row r="119" spans="1:11" s="239" customFormat="1" x14ac:dyDescent="0.2">
      <c r="A119" s="241" t="s">
        <v>402</v>
      </c>
      <c r="B119" s="245" t="s">
        <v>543</v>
      </c>
      <c r="C119" s="126">
        <v>13</v>
      </c>
      <c r="E119" s="125"/>
      <c r="F119" s="122"/>
      <c r="G119" s="122"/>
      <c r="H119" s="123"/>
    </row>
    <row r="120" spans="1:11" s="239" customFormat="1" x14ac:dyDescent="0.2">
      <c r="A120" s="242"/>
      <c r="B120" s="122"/>
      <c r="C120" s="148" t="s">
        <v>543</v>
      </c>
      <c r="E120" s="127"/>
      <c r="F120" s="126">
        <v>13</v>
      </c>
      <c r="G120" s="124"/>
      <c r="H120" s="125"/>
    </row>
    <row r="121" spans="1:11" s="239" customFormat="1" x14ac:dyDescent="0.2">
      <c r="A121" s="241"/>
      <c r="B121" s="249" t="s">
        <v>352</v>
      </c>
      <c r="C121" s="132">
        <v>0</v>
      </c>
      <c r="D121" s="122"/>
      <c r="F121" s="124"/>
      <c r="G121" s="124"/>
      <c r="H121" s="125"/>
    </row>
    <row r="122" spans="1:11" s="239" customFormat="1" ht="13.5" thickBot="1" x14ac:dyDescent="0.25">
      <c r="A122" s="242"/>
      <c r="F122" s="124"/>
      <c r="G122" s="124"/>
      <c r="H122" s="125"/>
      <c r="J122" s="243" t="s">
        <v>543</v>
      </c>
    </row>
    <row r="123" spans="1:11" s="239" customFormat="1" x14ac:dyDescent="0.2">
      <c r="A123" s="241" t="s">
        <v>405</v>
      </c>
      <c r="B123" s="239" t="s">
        <v>539</v>
      </c>
      <c r="C123" s="121">
        <v>13</v>
      </c>
      <c r="F123" s="124"/>
      <c r="G123" s="124"/>
      <c r="H123" s="125"/>
      <c r="I123" s="128"/>
      <c r="J123" s="129" t="s">
        <v>391</v>
      </c>
      <c r="K123" s="130"/>
    </row>
    <row r="124" spans="1:11" s="239" customFormat="1" x14ac:dyDescent="0.2">
      <c r="A124" s="242"/>
      <c r="B124" s="122"/>
      <c r="C124" s="151" t="s">
        <v>539</v>
      </c>
      <c r="D124" s="248"/>
      <c r="F124" s="126">
        <v>8</v>
      </c>
      <c r="G124" s="124"/>
      <c r="H124" s="125"/>
    </row>
    <row r="125" spans="1:11" s="239" customFormat="1" ht="13.5" thickBot="1" x14ac:dyDescent="0.25">
      <c r="A125" s="241" t="s">
        <v>403</v>
      </c>
      <c r="B125" s="248" t="s">
        <v>540</v>
      </c>
      <c r="C125" s="131">
        <v>5</v>
      </c>
      <c r="E125" s="123"/>
      <c r="F125" s="124"/>
      <c r="G125" s="124"/>
      <c r="H125" s="125"/>
      <c r="J125" s="247" t="s">
        <v>544</v>
      </c>
      <c r="K125" s="247"/>
    </row>
    <row r="126" spans="1:11" s="239" customFormat="1" x14ac:dyDescent="0.2">
      <c r="A126" s="242"/>
      <c r="D126" s="124"/>
      <c r="E126" s="125"/>
      <c r="F126" s="248" t="s">
        <v>544</v>
      </c>
      <c r="G126" s="248"/>
      <c r="H126" s="127"/>
      <c r="I126" s="121">
        <v>3</v>
      </c>
      <c r="J126" s="129" t="s">
        <v>392</v>
      </c>
    </row>
    <row r="127" spans="1:11" s="239" customFormat="1" x14ac:dyDescent="0.2">
      <c r="A127" s="241" t="s">
        <v>404</v>
      </c>
      <c r="B127" s="239" t="s">
        <v>546</v>
      </c>
      <c r="C127" s="126">
        <v>1</v>
      </c>
      <c r="E127" s="125"/>
    </row>
    <row r="128" spans="1:11" s="239" customFormat="1" x14ac:dyDescent="0.2">
      <c r="A128" s="242"/>
      <c r="B128" s="122"/>
      <c r="C128" s="148" t="s">
        <v>544</v>
      </c>
      <c r="E128" s="127"/>
      <c r="F128" s="121">
        <v>13</v>
      </c>
    </row>
    <row r="129" spans="1:11" s="239" customFormat="1" x14ac:dyDescent="0.2">
      <c r="A129" s="241" t="s">
        <v>409</v>
      </c>
      <c r="B129" s="248" t="s">
        <v>544</v>
      </c>
      <c r="C129" s="132">
        <v>13</v>
      </c>
      <c r="D129" s="122"/>
    </row>
    <row r="130" spans="1:11" s="239" customFormat="1" x14ac:dyDescent="0.2">
      <c r="F130" s="239" t="s">
        <v>541</v>
      </c>
      <c r="I130" s="126">
        <v>11</v>
      </c>
      <c r="J130" s="124"/>
      <c r="K130" s="124"/>
    </row>
    <row r="131" spans="1:11" s="239" customFormat="1" ht="13.5" thickBot="1" x14ac:dyDescent="0.25">
      <c r="F131" s="122"/>
      <c r="G131" s="122"/>
      <c r="H131" s="123"/>
      <c r="I131" s="247"/>
      <c r="J131" s="247" t="s">
        <v>539</v>
      </c>
      <c r="K131" s="247"/>
    </row>
    <row r="132" spans="1:11" s="239" customFormat="1" x14ac:dyDescent="0.2">
      <c r="F132" s="248" t="s">
        <v>539</v>
      </c>
      <c r="G132" s="248"/>
      <c r="H132" s="127"/>
      <c r="I132" s="121">
        <v>13</v>
      </c>
      <c r="J132" s="133" t="s">
        <v>393</v>
      </c>
      <c r="K132" s="124"/>
    </row>
    <row r="133" spans="1:11" s="239" customFormat="1" x14ac:dyDescent="0.2">
      <c r="J133" s="124"/>
      <c r="K133" s="124"/>
    </row>
    <row r="134" spans="1:11" s="239" customFormat="1" ht="13.5" thickBot="1" x14ac:dyDescent="0.25">
      <c r="G134" s="124"/>
      <c r="H134" s="124"/>
      <c r="J134" s="247" t="s">
        <v>541</v>
      </c>
      <c r="K134" s="247"/>
    </row>
    <row r="135" spans="1:11" s="239" customFormat="1" x14ac:dyDescent="0.2">
      <c r="C135" s="239" t="s">
        <v>343</v>
      </c>
      <c r="F135" s="121">
        <v>13</v>
      </c>
      <c r="J135" s="120" t="s">
        <v>394</v>
      </c>
    </row>
    <row r="136" spans="1:11" s="239" customFormat="1" x14ac:dyDescent="0.2">
      <c r="C136" s="122"/>
      <c r="D136" s="122"/>
      <c r="E136" s="123"/>
      <c r="F136" s="151" t="s">
        <v>343</v>
      </c>
      <c r="G136" s="248"/>
      <c r="H136" s="248"/>
      <c r="I136" s="121">
        <v>9</v>
      </c>
    </row>
    <row r="137" spans="1:11" s="239" customFormat="1" x14ac:dyDescent="0.2">
      <c r="C137" s="248" t="s">
        <v>352</v>
      </c>
      <c r="D137" s="248"/>
      <c r="E137" s="127"/>
      <c r="F137" s="131">
        <v>0</v>
      </c>
      <c r="H137" s="125"/>
    </row>
    <row r="138" spans="1:11" s="239" customFormat="1" ht="13.5" thickBot="1" x14ac:dyDescent="0.25">
      <c r="F138" s="124"/>
      <c r="H138" s="125"/>
      <c r="J138" s="239" t="s">
        <v>540</v>
      </c>
    </row>
    <row r="139" spans="1:11" s="239" customFormat="1" x14ac:dyDescent="0.2">
      <c r="C139" s="239" t="s">
        <v>540</v>
      </c>
      <c r="F139" s="126">
        <v>13</v>
      </c>
      <c r="H139" s="125"/>
      <c r="I139" s="128"/>
      <c r="J139" s="129" t="s">
        <v>395</v>
      </c>
      <c r="K139" s="130"/>
    </row>
    <row r="140" spans="1:11" s="239" customFormat="1" x14ac:dyDescent="0.2">
      <c r="C140" s="122"/>
      <c r="D140" s="122"/>
      <c r="E140" s="123"/>
      <c r="F140" s="148" t="s">
        <v>540</v>
      </c>
      <c r="H140" s="127"/>
      <c r="I140" s="126">
        <v>13</v>
      </c>
    </row>
    <row r="141" spans="1:11" s="239" customFormat="1" ht="13.5" thickBot="1" x14ac:dyDescent="0.25">
      <c r="C141" s="248" t="s">
        <v>546</v>
      </c>
      <c r="D141" s="248"/>
      <c r="E141" s="127"/>
      <c r="F141" s="132">
        <v>10</v>
      </c>
      <c r="G141" s="122"/>
      <c r="I141" s="124"/>
      <c r="J141" s="124" t="s">
        <v>343</v>
      </c>
      <c r="K141" s="247"/>
    </row>
    <row r="142" spans="1:11" s="239" customFormat="1" x14ac:dyDescent="0.2">
      <c r="I142" s="124"/>
      <c r="J142" s="129" t="s">
        <v>396</v>
      </c>
      <c r="K142" s="124"/>
    </row>
    <row r="143" spans="1:11" s="239" customFormat="1" x14ac:dyDescent="0.2">
      <c r="F143" s="239" t="s">
        <v>352</v>
      </c>
      <c r="I143" s="126">
        <v>0</v>
      </c>
      <c r="J143" s="124"/>
      <c r="K143" s="124"/>
    </row>
    <row r="144" spans="1:11" s="239" customFormat="1" ht="13.5" thickBot="1" x14ac:dyDescent="0.25">
      <c r="F144" s="122"/>
      <c r="G144" s="122"/>
      <c r="H144" s="123"/>
      <c r="I144" s="247"/>
      <c r="J144" s="247" t="s">
        <v>546</v>
      </c>
      <c r="K144" s="247"/>
    </row>
    <row r="145" spans="1:11" s="239" customFormat="1" x14ac:dyDescent="0.2">
      <c r="F145" s="248" t="s">
        <v>546</v>
      </c>
      <c r="G145" s="248"/>
      <c r="H145" s="127"/>
      <c r="I145" s="121">
        <v>13</v>
      </c>
      <c r="J145" s="120" t="s">
        <v>450</v>
      </c>
      <c r="K145" s="124"/>
    </row>
    <row r="146" spans="1:11" s="239" customFormat="1" x14ac:dyDescent="0.2">
      <c r="J146" s="124"/>
      <c r="K146" s="124"/>
    </row>
    <row r="147" spans="1:11" s="239" customFormat="1" ht="13.5" thickBot="1" x14ac:dyDescent="0.25">
      <c r="G147" s="124"/>
      <c r="H147" s="124"/>
      <c r="J147" s="247" t="s">
        <v>352</v>
      </c>
      <c r="K147" s="247"/>
    </row>
    <row r="148" spans="1:11" s="239" customFormat="1" x14ac:dyDescent="0.2">
      <c r="G148" s="124"/>
      <c r="H148" s="124"/>
      <c r="J148" s="120" t="s">
        <v>451</v>
      </c>
    </row>
    <row r="150" spans="1:11" x14ac:dyDescent="0.2">
      <c r="A150" s="91">
        <v>1</v>
      </c>
      <c r="B150" s="95" t="s">
        <v>549</v>
      </c>
    </row>
    <row r="151" spans="1:11" x14ac:dyDescent="0.2">
      <c r="A151" s="91">
        <v>2</v>
      </c>
      <c r="B151" s="232" t="s">
        <v>538</v>
      </c>
    </row>
    <row r="152" spans="1:11" x14ac:dyDescent="0.2">
      <c r="A152" s="91">
        <v>3</v>
      </c>
      <c r="B152" s="233" t="s">
        <v>347</v>
      </c>
    </row>
    <row r="153" spans="1:11" x14ac:dyDescent="0.2">
      <c r="A153" s="91">
        <v>4</v>
      </c>
      <c r="B153" s="250" t="s">
        <v>548</v>
      </c>
    </row>
    <row r="154" spans="1:11" x14ac:dyDescent="0.2">
      <c r="A154" s="91">
        <v>5</v>
      </c>
      <c r="B154" s="250" t="s">
        <v>342</v>
      </c>
    </row>
    <row r="155" spans="1:11" x14ac:dyDescent="0.2">
      <c r="A155" s="91">
        <v>6</v>
      </c>
      <c r="B155" s="250" t="s">
        <v>545</v>
      </c>
    </row>
    <row r="156" spans="1:11" x14ac:dyDescent="0.2">
      <c r="A156" s="91">
        <v>7</v>
      </c>
      <c r="B156" s="250" t="s">
        <v>550</v>
      </c>
    </row>
    <row r="157" spans="1:11" x14ac:dyDescent="0.2">
      <c r="A157" s="91">
        <v>8</v>
      </c>
      <c r="B157" s="250" t="s">
        <v>542</v>
      </c>
    </row>
    <row r="158" spans="1:11" x14ac:dyDescent="0.2">
      <c r="A158" s="91">
        <v>9</v>
      </c>
      <c r="B158" s="250" t="s">
        <v>547</v>
      </c>
    </row>
    <row r="159" spans="1:11" x14ac:dyDescent="0.2">
      <c r="A159" s="91">
        <v>10</v>
      </c>
      <c r="B159" s="250" t="s">
        <v>536</v>
      </c>
    </row>
    <row r="160" spans="1:11" x14ac:dyDescent="0.2">
      <c r="A160" s="91">
        <v>11</v>
      </c>
      <c r="B160" s="250" t="s">
        <v>543</v>
      </c>
    </row>
    <row r="161" spans="1:2" x14ac:dyDescent="0.2">
      <c r="A161" s="91">
        <v>12</v>
      </c>
      <c r="B161" s="250" t="s">
        <v>544</v>
      </c>
    </row>
    <row r="162" spans="1:2" x14ac:dyDescent="0.2">
      <c r="A162" s="91">
        <v>13</v>
      </c>
      <c r="B162" s="250" t="s">
        <v>539</v>
      </c>
    </row>
    <row r="163" spans="1:2" x14ac:dyDescent="0.2">
      <c r="A163" s="91">
        <v>14</v>
      </c>
      <c r="B163" s="250" t="s">
        <v>541</v>
      </c>
    </row>
    <row r="164" spans="1:2" x14ac:dyDescent="0.2">
      <c r="A164" s="91">
        <v>15</v>
      </c>
      <c r="B164" s="250" t="s">
        <v>540</v>
      </c>
    </row>
    <row r="165" spans="1:2" x14ac:dyDescent="0.2">
      <c r="A165" s="91">
        <v>16</v>
      </c>
      <c r="B165" s="250" t="s">
        <v>343</v>
      </c>
    </row>
    <row r="166" spans="1:2" x14ac:dyDescent="0.2">
      <c r="A166" s="91">
        <v>17</v>
      </c>
      <c r="B166" s="250" t="s">
        <v>546</v>
      </c>
    </row>
  </sheetData>
  <conditionalFormatting sqref="B114:I145 B113:H113">
    <cfRule type="cellIs" dxfId="252" priority="10" stopIfTrue="1" operator="equal">
      <formula>13</formula>
    </cfRule>
  </conditionalFormatting>
  <conditionalFormatting sqref="C38:J38 C39:I85">
    <cfRule type="cellIs" dxfId="251" priority="4" operator="equal">
      <formula>13</formula>
    </cfRule>
  </conditionalFormatting>
  <conditionalFormatting sqref="B54">
    <cfRule type="cellIs" dxfId="250" priority="3" stopIfTrue="1" operator="equal">
      <formula>13</formula>
    </cfRule>
  </conditionalFormatting>
  <conditionalFormatting sqref="B62">
    <cfRule type="cellIs" dxfId="249" priority="2" stopIfTrue="1" operator="equal">
      <formula>13</formula>
    </cfRule>
  </conditionalFormatting>
  <conditionalFormatting sqref="C91:E91 B90:H90 D92:E111 F91:I111">
    <cfRule type="cellIs" dxfId="248" priority="1" stopIfTrue="1" operator="equal">
      <formula>13</formula>
    </cfRule>
  </conditionalFormatting>
  <pageMargins left="0.39370078740157483" right="0.31496062992125984" top="0.78740157480314965" bottom="0.31496062992125984" header="0.59055118110236227" footer="0"/>
  <pageSetup paperSize="9" fitToHeight="0" orientation="landscape" r:id="rId1"/>
  <headerFooter>
    <oddHeader>&amp;RPage &amp;P of &amp;N</oddHeader>
  </headerFooter>
  <rowBreaks count="4" manualBreakCount="4">
    <brk id="34" max="16383" man="1"/>
    <brk id="72" max="16383" man="1"/>
    <brk id="111" max="16383" man="1"/>
    <brk id="1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6"/>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3.28515625" style="528" customWidth="1"/>
    <col min="2" max="2" width="12.5703125" style="528" bestFit="1" customWidth="1"/>
    <col min="3" max="9" width="6.7109375" style="528" customWidth="1"/>
    <col min="10" max="16384" width="9.140625" style="528"/>
  </cols>
  <sheetData>
    <row r="1" spans="1:10" x14ac:dyDescent="0.2">
      <c r="A1" s="314" t="str">
        <f>UPPER((Kalend!E16)&amp;" - "&amp;(Kalend!C16)&amp;" - "&amp;(Kalend!D16))</f>
        <v>KV-M - EM KATSEVÕISTLUS - MEHED - ÜKSIK</v>
      </c>
      <c r="I1" s="204" t="str">
        <f>HYPERLINK("#Üldreiting!I1","Reiting")</f>
        <v>Reiting</v>
      </c>
    </row>
    <row r="2" spans="1:10" x14ac:dyDescent="0.2">
      <c r="A2" s="309" t="str">
        <f>"Toimumisaeg: "&amp;(Kalend!A16)&amp;" kell "&amp;(Kalend!B16)</f>
        <v>Toimumisaeg: L, 11.06.2016 kell 10:00</v>
      </c>
    </row>
    <row r="3" spans="1:10" x14ac:dyDescent="0.2">
      <c r="A3" s="309" t="str">
        <f>"Toimumiskoht: "&amp;(Kalend!H16)</f>
        <v>Toimumiskoht: Jüri</v>
      </c>
    </row>
    <row r="4" spans="1:10" x14ac:dyDescent="0.2">
      <c r="A4" s="309" t="str">
        <f>"Korraldaja: "&amp;(Kalend!I16)</f>
        <v>Korraldaja: EPKL</v>
      </c>
      <c r="D4" s="1038" t="s">
        <v>1210</v>
      </c>
    </row>
    <row r="5" spans="1:10" s="421" customFormat="1" x14ac:dyDescent="0.2">
      <c r="D5" s="1039" t="s">
        <v>1211</v>
      </c>
    </row>
    <row r="6" spans="1:10" s="421" customFormat="1" x14ac:dyDescent="0.2">
      <c r="A6" s="1032" t="s">
        <v>432</v>
      </c>
    </row>
    <row r="8" spans="1:10" x14ac:dyDescent="0.2">
      <c r="A8" s="629"/>
      <c r="B8" s="629"/>
      <c r="C8" s="961">
        <v>1</v>
      </c>
      <c r="D8" s="961">
        <v>2</v>
      </c>
      <c r="E8" s="961">
        <v>3</v>
      </c>
      <c r="F8" s="961">
        <v>4</v>
      </c>
      <c r="G8" s="961">
        <v>5</v>
      </c>
      <c r="H8" s="961">
        <v>6</v>
      </c>
      <c r="I8" s="678" t="s">
        <v>366</v>
      </c>
    </row>
    <row r="9" spans="1:10" x14ac:dyDescent="0.2">
      <c r="A9" s="1024">
        <v>1</v>
      </c>
      <c r="B9" s="1018" t="s">
        <v>553</v>
      </c>
      <c r="C9" s="1033"/>
      <c r="D9" s="1026">
        <v>10</v>
      </c>
      <c r="E9" s="1026">
        <v>10</v>
      </c>
      <c r="F9" s="1026">
        <v>12</v>
      </c>
      <c r="G9" s="1026">
        <v>13</v>
      </c>
      <c r="H9" s="1026">
        <v>5</v>
      </c>
      <c r="I9" s="1028" t="s">
        <v>936</v>
      </c>
    </row>
    <row r="10" spans="1:10" x14ac:dyDescent="0.2">
      <c r="A10" s="1024">
        <v>2</v>
      </c>
      <c r="B10" s="1018" t="s">
        <v>41</v>
      </c>
      <c r="C10" s="1026">
        <v>13</v>
      </c>
      <c r="D10" s="1034"/>
      <c r="E10" s="1026">
        <v>9</v>
      </c>
      <c r="F10" s="1025">
        <v>6</v>
      </c>
      <c r="G10" s="1026">
        <v>13</v>
      </c>
      <c r="H10" s="1026">
        <v>2</v>
      </c>
      <c r="I10" s="1028" t="s">
        <v>937</v>
      </c>
    </row>
    <row r="11" spans="1:10" x14ac:dyDescent="0.2">
      <c r="A11" s="1024">
        <v>3</v>
      </c>
      <c r="B11" s="1018" t="s">
        <v>73</v>
      </c>
      <c r="C11" s="1025">
        <v>13</v>
      </c>
      <c r="D11" s="1026">
        <v>13</v>
      </c>
      <c r="E11" s="1034"/>
      <c r="F11" s="1026">
        <v>9</v>
      </c>
      <c r="G11" s="1026">
        <v>13</v>
      </c>
      <c r="H11" s="1026">
        <v>12</v>
      </c>
      <c r="I11" s="1028" t="s">
        <v>1208</v>
      </c>
    </row>
    <row r="12" spans="1:10" x14ac:dyDescent="0.2">
      <c r="A12" s="1024">
        <v>4</v>
      </c>
      <c r="B12" s="1018" t="s">
        <v>71</v>
      </c>
      <c r="C12" s="1026">
        <v>13</v>
      </c>
      <c r="D12" s="1026">
        <v>13</v>
      </c>
      <c r="E12" s="1026">
        <v>13</v>
      </c>
      <c r="F12" s="1033"/>
      <c r="G12" s="1026">
        <v>6</v>
      </c>
      <c r="H12" s="1026"/>
      <c r="I12" s="1037" t="s">
        <v>1177</v>
      </c>
      <c r="J12" s="528" t="s">
        <v>1189</v>
      </c>
    </row>
    <row r="13" spans="1:10" x14ac:dyDescent="0.2">
      <c r="A13" s="1024">
        <v>5</v>
      </c>
      <c r="B13" s="1018" t="s">
        <v>36</v>
      </c>
      <c r="C13" s="1025">
        <v>6</v>
      </c>
      <c r="D13" s="1026">
        <v>8</v>
      </c>
      <c r="E13" s="1026">
        <v>10</v>
      </c>
      <c r="F13" s="1026">
        <v>13</v>
      </c>
      <c r="G13" s="1034"/>
      <c r="H13" s="1026">
        <v>10</v>
      </c>
      <c r="I13" s="1028" t="s">
        <v>936</v>
      </c>
    </row>
    <row r="14" spans="1:10" x14ac:dyDescent="0.2">
      <c r="A14" s="1024">
        <v>6</v>
      </c>
      <c r="B14" s="1018" t="s">
        <v>44</v>
      </c>
      <c r="C14" s="1026">
        <v>13</v>
      </c>
      <c r="D14" s="1026">
        <v>13</v>
      </c>
      <c r="E14" s="1026">
        <v>13</v>
      </c>
      <c r="F14" s="1025"/>
      <c r="G14" s="1026">
        <v>13</v>
      </c>
      <c r="H14" s="1034"/>
      <c r="I14" s="1037" t="s">
        <v>1209</v>
      </c>
      <c r="J14" s="528" t="s">
        <v>1189</v>
      </c>
    </row>
    <row r="16" spans="1:10" x14ac:dyDescent="0.2">
      <c r="B16" s="542" t="s">
        <v>641</v>
      </c>
      <c r="C16" s="1035" t="s">
        <v>1196</v>
      </c>
      <c r="D16" s="1035" t="s">
        <v>1199</v>
      </c>
      <c r="E16" s="1035" t="s">
        <v>1200</v>
      </c>
    </row>
    <row r="17" spans="1:9" x14ac:dyDescent="0.2">
      <c r="B17" s="542" t="s">
        <v>642</v>
      </c>
      <c r="C17" s="1035" t="s">
        <v>1197</v>
      </c>
      <c r="D17" s="1035" t="s">
        <v>1201</v>
      </c>
      <c r="E17" s="1035" t="s">
        <v>1202</v>
      </c>
    </row>
    <row r="18" spans="1:9" x14ac:dyDescent="0.2">
      <c r="B18" s="542" t="s">
        <v>643</v>
      </c>
      <c r="C18" s="1035" t="s">
        <v>1198</v>
      </c>
      <c r="D18" s="1035" t="s">
        <v>1174</v>
      </c>
      <c r="E18" s="1035" t="s">
        <v>1203</v>
      </c>
    </row>
    <row r="19" spans="1:9" x14ac:dyDescent="0.2">
      <c r="B19" s="542" t="s">
        <v>644</v>
      </c>
      <c r="C19" s="1036" t="s">
        <v>1173</v>
      </c>
      <c r="D19" s="1036" t="s">
        <v>1204</v>
      </c>
      <c r="E19" s="1036" t="s">
        <v>1205</v>
      </c>
    </row>
    <row r="20" spans="1:9" x14ac:dyDescent="0.2">
      <c r="B20" s="542" t="s">
        <v>1195</v>
      </c>
      <c r="C20" s="1036" t="s">
        <v>1178</v>
      </c>
      <c r="D20" s="1036" t="s">
        <v>1206</v>
      </c>
      <c r="E20" s="1036" t="s">
        <v>1207</v>
      </c>
    </row>
    <row r="21" spans="1:9" x14ac:dyDescent="0.2">
      <c r="B21" s="542"/>
      <c r="C21" s="1036"/>
      <c r="D21" s="1036"/>
      <c r="E21" s="1036"/>
      <c r="I21" s="1023"/>
    </row>
    <row r="22" spans="1:9" x14ac:dyDescent="0.2">
      <c r="B22" s="542"/>
      <c r="C22" s="1036"/>
      <c r="D22" s="1040" t="s">
        <v>1212</v>
      </c>
      <c r="E22" s="1036"/>
      <c r="I22" s="1023"/>
    </row>
    <row r="24" spans="1:9" x14ac:dyDescent="0.2">
      <c r="A24" s="629"/>
      <c r="B24" s="629"/>
      <c r="C24" s="961">
        <v>1</v>
      </c>
      <c r="D24" s="961">
        <v>2</v>
      </c>
      <c r="E24" s="961">
        <v>3</v>
      </c>
      <c r="F24" s="678" t="s">
        <v>366</v>
      </c>
    </row>
    <row r="25" spans="1:9" x14ac:dyDescent="0.2">
      <c r="A25" s="1024"/>
      <c r="B25" s="1018" t="s">
        <v>44</v>
      </c>
      <c r="C25" s="1025">
        <v>13</v>
      </c>
      <c r="D25" s="1026">
        <v>8</v>
      </c>
      <c r="E25" s="1026">
        <v>2</v>
      </c>
      <c r="F25" s="1041" t="s">
        <v>939</v>
      </c>
    </row>
    <row r="26" spans="1:9" x14ac:dyDescent="0.2">
      <c r="A26" s="1024"/>
      <c r="B26" s="1103" t="s">
        <v>71</v>
      </c>
      <c r="C26" s="1026">
        <v>6</v>
      </c>
      <c r="D26" s="1026">
        <v>13</v>
      </c>
      <c r="E26" s="1026">
        <v>13</v>
      </c>
      <c r="F26" s="1042" t="s">
        <v>920</v>
      </c>
      <c r="G26" s="1104" t="s">
        <v>1213</v>
      </c>
    </row>
  </sheetData>
  <conditionalFormatting sqref="C9:H14">
    <cfRule type="cellIs" dxfId="247" priority="3" operator="equal">
      <formula>13</formula>
    </cfRule>
  </conditionalFormatting>
  <conditionalFormatting sqref="C25:E26">
    <cfRule type="cellIs" dxfId="246"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1"/>
  <sheetViews>
    <sheetView showGridLines="0" showRowColHeaders="0" zoomScaleNormal="100" workbookViewId="0">
      <pane ySplit="2" topLeftCell="A3" activePane="bottomLeft" state="frozen"/>
      <selection pane="bottomLeft" activeCell="H1" sqref="H1"/>
    </sheetView>
  </sheetViews>
  <sheetFormatPr defaultRowHeight="12.75" x14ac:dyDescent="0.2"/>
  <cols>
    <col min="1" max="1" width="3.28515625" style="528" customWidth="1"/>
    <col min="2" max="2" width="37.28515625" style="528" customWidth="1"/>
    <col min="3" max="6" width="5.7109375" style="528" customWidth="1"/>
    <col min="7" max="8" width="7.7109375" style="528" bestFit="1" customWidth="1"/>
    <col min="9" max="9" width="6.5703125" style="528" bestFit="1" customWidth="1"/>
    <col min="10" max="10" width="6.42578125" style="528" bestFit="1" customWidth="1"/>
    <col min="11" max="16384" width="9.140625" style="528"/>
  </cols>
  <sheetData>
    <row r="1" spans="1:10" x14ac:dyDescent="0.2">
      <c r="A1" s="314" t="str">
        <f>UPPER((Kalend!E17)&amp;" - "&amp;(Kalend!C17)&amp;" - "&amp;(Kalend!D17))</f>
        <v>KV-2 - EM KATSEVÕISTLUS - NAISED - 2. ETAPP - TRIO</v>
      </c>
      <c r="F1" s="204" t="str">
        <f>HYPERLINK("#Üldreiting!I1","Reiting")</f>
        <v>Reiting</v>
      </c>
    </row>
    <row r="2" spans="1:10" x14ac:dyDescent="0.2">
      <c r="A2" s="309" t="str">
        <f>"Toimumisaeg: "&amp;(Kalend!A17)&amp;" kell "&amp;(Kalend!B17)</f>
        <v>Toimumisaeg: L, 11.06.2016 kell 10:00</v>
      </c>
    </row>
    <row r="3" spans="1:10" x14ac:dyDescent="0.2">
      <c r="A3" s="309" t="str">
        <f>"Toimumiskoht: "&amp;(Kalend!H17)</f>
        <v>Toimumiskoht: Tallinn, Kadrioru park</v>
      </c>
    </row>
    <row r="4" spans="1:10" x14ac:dyDescent="0.2">
      <c r="A4" s="309" t="str">
        <f>"Korraldaja: "&amp;(Kalend!I17)</f>
        <v>Korraldaja: EPKL</v>
      </c>
    </row>
    <row r="5" spans="1:10" x14ac:dyDescent="0.2">
      <c r="B5" s="280"/>
    </row>
    <row r="6" spans="1:10" x14ac:dyDescent="0.2">
      <c r="A6" s="167" t="s">
        <v>433</v>
      </c>
      <c r="B6" s="280"/>
    </row>
    <row r="7" spans="1:10" x14ac:dyDescent="0.2">
      <c r="B7" s="280"/>
    </row>
    <row r="8" spans="1:10" x14ac:dyDescent="0.2">
      <c r="A8" s="629"/>
      <c r="B8" s="962"/>
      <c r="C8" s="961">
        <v>1</v>
      </c>
      <c r="D8" s="961">
        <v>2</v>
      </c>
      <c r="E8" s="961">
        <v>3</v>
      </c>
      <c r="F8" s="678" t="s">
        <v>366</v>
      </c>
    </row>
    <row r="9" spans="1:10" ht="25.5" x14ac:dyDescent="0.2">
      <c r="A9" s="677">
        <v>1</v>
      </c>
      <c r="B9" s="962" t="s">
        <v>1181</v>
      </c>
      <c r="C9" s="1108"/>
      <c r="D9" s="1109">
        <v>0</v>
      </c>
      <c r="E9" s="1109">
        <v>11</v>
      </c>
      <c r="F9" s="1110" t="s">
        <v>1182</v>
      </c>
    </row>
    <row r="10" spans="1:10" ht="25.5" x14ac:dyDescent="0.2">
      <c r="A10" s="677">
        <v>2</v>
      </c>
      <c r="B10" s="962" t="s">
        <v>1216</v>
      </c>
      <c r="C10" s="1109">
        <v>13</v>
      </c>
      <c r="D10" s="1108"/>
      <c r="E10" s="1109">
        <v>13</v>
      </c>
      <c r="F10" s="1110" t="s">
        <v>1176</v>
      </c>
    </row>
    <row r="11" spans="1:10" ht="25.5" x14ac:dyDescent="0.2">
      <c r="A11" s="677">
        <v>3</v>
      </c>
      <c r="B11" s="962" t="s">
        <v>343</v>
      </c>
      <c r="C11" s="1109">
        <v>13</v>
      </c>
      <c r="D11" s="1109">
        <v>10</v>
      </c>
      <c r="E11" s="1108"/>
      <c r="F11" s="1111" t="s">
        <v>368</v>
      </c>
    </row>
    <row r="12" spans="1:10" x14ac:dyDescent="0.2">
      <c r="B12" s="1014"/>
    </row>
    <row r="13" spans="1:10" x14ac:dyDescent="0.2">
      <c r="B13" s="1014"/>
    </row>
    <row r="14" spans="1:10" x14ac:dyDescent="0.2">
      <c r="A14" s="629"/>
      <c r="B14" s="1018"/>
      <c r="C14" s="961">
        <v>1</v>
      </c>
      <c r="D14" s="961">
        <v>2</v>
      </c>
      <c r="E14" s="961">
        <v>3</v>
      </c>
      <c r="F14" s="678" t="s">
        <v>366</v>
      </c>
      <c r="G14" s="1016" t="s">
        <v>1184</v>
      </c>
      <c r="H14" s="1016" t="s">
        <v>1185</v>
      </c>
      <c r="I14" s="1017" t="s">
        <v>30</v>
      </c>
    </row>
    <row r="15" spans="1:10" ht="25.5" x14ac:dyDescent="0.2">
      <c r="A15" s="677">
        <v>1</v>
      </c>
      <c r="B15" s="962" t="s">
        <v>1181</v>
      </c>
      <c r="C15" s="1108"/>
      <c r="D15" s="1109"/>
      <c r="E15" s="1109">
        <v>13</v>
      </c>
      <c r="F15" s="1111" t="s">
        <v>368</v>
      </c>
      <c r="G15" s="1019" t="s">
        <v>939</v>
      </c>
      <c r="H15" s="1022" t="s">
        <v>1177</v>
      </c>
      <c r="I15" s="1013" t="s">
        <v>1187</v>
      </c>
      <c r="J15" s="1020" t="s">
        <v>1189</v>
      </c>
    </row>
    <row r="16" spans="1:10" ht="25.5" x14ac:dyDescent="0.2">
      <c r="A16" s="677">
        <v>2</v>
      </c>
      <c r="B16" s="962" t="s">
        <v>1216</v>
      </c>
      <c r="C16" s="1109"/>
      <c r="D16" s="1108"/>
      <c r="E16" s="1109">
        <v>13</v>
      </c>
      <c r="F16" s="1110" t="s">
        <v>1183</v>
      </c>
      <c r="G16" s="1019" t="s">
        <v>919</v>
      </c>
      <c r="H16" s="1022" t="s">
        <v>1172</v>
      </c>
      <c r="I16" s="1013" t="s">
        <v>1188</v>
      </c>
      <c r="J16" s="1020" t="s">
        <v>1189</v>
      </c>
    </row>
    <row r="17" spans="1:10" ht="25.5" x14ac:dyDescent="0.2">
      <c r="A17" s="677">
        <v>3</v>
      </c>
      <c r="B17" s="962" t="s">
        <v>343</v>
      </c>
      <c r="C17" s="1109">
        <v>4</v>
      </c>
      <c r="D17" s="1109">
        <v>3</v>
      </c>
      <c r="E17" s="1108"/>
      <c r="F17" s="1110" t="s">
        <v>1175</v>
      </c>
      <c r="G17" s="1019" t="s">
        <v>921</v>
      </c>
      <c r="H17" s="1022" t="s">
        <v>921</v>
      </c>
      <c r="I17" s="1021" t="s">
        <v>1186</v>
      </c>
      <c r="J17" s="1020"/>
    </row>
    <row r="18" spans="1:10" x14ac:dyDescent="0.2">
      <c r="B18" s="280"/>
    </row>
    <row r="19" spans="1:10" x14ac:dyDescent="0.2">
      <c r="B19" s="963" t="s">
        <v>641</v>
      </c>
      <c r="C19" s="964" t="s">
        <v>1174</v>
      </c>
    </row>
    <row r="20" spans="1:10" x14ac:dyDescent="0.2">
      <c r="B20" s="963" t="s">
        <v>642</v>
      </c>
      <c r="C20" s="964" t="s">
        <v>1173</v>
      </c>
    </row>
    <row r="21" spans="1:10" x14ac:dyDescent="0.2">
      <c r="B21" s="963" t="s">
        <v>643</v>
      </c>
      <c r="C21" s="964" t="s">
        <v>1178</v>
      </c>
    </row>
  </sheetData>
  <conditionalFormatting sqref="C5:F21">
    <cfRule type="cellIs" dxfId="245"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22"/>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528" customWidth="1"/>
    <col min="2" max="2" width="46.7109375" style="528" bestFit="1" customWidth="1"/>
    <col min="3" max="8" width="5.7109375" style="528" customWidth="1"/>
    <col min="9" max="9" width="6.5703125" style="528" bestFit="1" customWidth="1"/>
    <col min="10" max="16384" width="9.140625" style="528"/>
  </cols>
  <sheetData>
    <row r="1" spans="1:9" x14ac:dyDescent="0.2">
      <c r="A1" s="314" t="str">
        <f>UPPER((Kalend!E18)&amp;" - "&amp;(Kalend!C18)&amp;" - "&amp;(Kalend!D18))</f>
        <v>KV-F - EM KATSEVÕISTLUS - NAISED, VETERANID - FINAAL - TRIO</v>
      </c>
      <c r="E1" s="204" t="str">
        <f>HYPERLINK("#Üldreiting!I1","Reiting")</f>
        <v>Reiting</v>
      </c>
    </row>
    <row r="2" spans="1:9" x14ac:dyDescent="0.2">
      <c r="A2" s="309" t="str">
        <f>"Toimumisaeg: "&amp;(Kalend!A18)&amp;" kell "&amp;(Kalend!B18)</f>
        <v>Toimumisaeg: P, 12.06.2016 kell 11:00</v>
      </c>
    </row>
    <row r="3" spans="1:9" x14ac:dyDescent="0.2">
      <c r="A3" s="309" t="str">
        <f>"Toimumiskoht: "&amp;(Kalend!H18)</f>
        <v xml:space="preserve">Toimumiskoht: </v>
      </c>
    </row>
    <row r="4" spans="1:9" x14ac:dyDescent="0.2">
      <c r="A4" s="309" t="str">
        <f>"Korraldaja: "&amp;(Kalend!I18)</f>
        <v>Korraldaja: EPKL</v>
      </c>
      <c r="H4" s="1023" t="s">
        <v>1190</v>
      </c>
    </row>
    <row r="5" spans="1:9" s="421" customFormat="1" x14ac:dyDescent="0.2"/>
    <row r="6" spans="1:9" s="421" customFormat="1" x14ac:dyDescent="0.2">
      <c r="A6" s="509" t="s">
        <v>433</v>
      </c>
    </row>
    <row r="8" spans="1:9" x14ac:dyDescent="0.2">
      <c r="A8" s="629"/>
      <c r="B8" s="629"/>
      <c r="C8" s="961">
        <v>1</v>
      </c>
      <c r="D8" s="961">
        <v>2</v>
      </c>
      <c r="E8" s="961">
        <v>3</v>
      </c>
      <c r="F8" s="961">
        <v>4</v>
      </c>
      <c r="G8" s="961">
        <v>5</v>
      </c>
      <c r="H8" s="678" t="s">
        <v>366</v>
      </c>
    </row>
    <row r="9" spans="1:9" x14ac:dyDescent="0.2">
      <c r="A9" s="1024"/>
      <c r="B9" s="1103" t="s">
        <v>347</v>
      </c>
      <c r="C9" s="1025">
        <v>13</v>
      </c>
      <c r="D9" s="1026">
        <v>13</v>
      </c>
      <c r="E9" s="1026">
        <v>10</v>
      </c>
      <c r="F9" s="1026">
        <v>13</v>
      </c>
      <c r="G9" s="1026" t="s">
        <v>352</v>
      </c>
      <c r="H9" s="1027" t="s">
        <v>919</v>
      </c>
      <c r="I9" s="1102" t="s">
        <v>1213</v>
      </c>
    </row>
    <row r="10" spans="1:9" x14ac:dyDescent="0.2">
      <c r="A10" s="1024"/>
      <c r="B10" s="1018" t="s">
        <v>1181</v>
      </c>
      <c r="C10" s="1026">
        <v>3</v>
      </c>
      <c r="D10" s="1026">
        <v>3</v>
      </c>
      <c r="E10" s="1026">
        <v>13</v>
      </c>
      <c r="F10" s="1025">
        <v>4</v>
      </c>
      <c r="G10" s="1026" t="s">
        <v>352</v>
      </c>
      <c r="H10" s="1028" t="s">
        <v>922</v>
      </c>
    </row>
    <row r="12" spans="1:9" s="421" customFormat="1" x14ac:dyDescent="0.2">
      <c r="A12" s="118" t="s">
        <v>1191</v>
      </c>
    </row>
    <row r="14" spans="1:9" x14ac:dyDescent="0.2">
      <c r="A14" s="629"/>
      <c r="B14" s="629"/>
      <c r="C14" s="961">
        <v>1</v>
      </c>
      <c r="D14" s="961">
        <v>2</v>
      </c>
      <c r="E14" s="961">
        <v>3</v>
      </c>
      <c r="F14" s="961">
        <v>4</v>
      </c>
      <c r="G14" s="961">
        <v>5</v>
      </c>
      <c r="H14" s="678" t="s">
        <v>366</v>
      </c>
    </row>
    <row r="15" spans="1:9" x14ac:dyDescent="0.2">
      <c r="A15" s="1024"/>
      <c r="B15" s="1103" t="s">
        <v>1047</v>
      </c>
      <c r="C15" s="1025">
        <v>13</v>
      </c>
      <c r="D15" s="1026">
        <v>13</v>
      </c>
      <c r="E15" s="1026">
        <v>13</v>
      </c>
      <c r="F15" s="1026">
        <v>13</v>
      </c>
      <c r="G15" s="1026" t="s">
        <v>352</v>
      </c>
      <c r="H15" s="1027" t="s">
        <v>919</v>
      </c>
      <c r="I15" s="1017" t="s">
        <v>1213</v>
      </c>
    </row>
    <row r="16" spans="1:9" x14ac:dyDescent="0.2">
      <c r="A16" s="1024"/>
      <c r="B16" s="1018" t="s">
        <v>1192</v>
      </c>
      <c r="C16" s="1026">
        <v>4</v>
      </c>
      <c r="D16" s="1026">
        <v>3</v>
      </c>
      <c r="E16" s="1026">
        <v>12</v>
      </c>
      <c r="F16" s="1025">
        <v>5</v>
      </c>
      <c r="G16" s="1026" t="s">
        <v>352</v>
      </c>
      <c r="H16" s="1028" t="s">
        <v>922</v>
      </c>
    </row>
    <row r="18" spans="1:6" x14ac:dyDescent="0.2">
      <c r="F18" s="1030" t="s">
        <v>1193</v>
      </c>
    </row>
    <row r="20" spans="1:6" x14ac:dyDescent="0.2">
      <c r="A20" s="1031" t="s">
        <v>434</v>
      </c>
      <c r="C20" s="1029"/>
    </row>
    <row r="22" spans="1:6" x14ac:dyDescent="0.2">
      <c r="B22" s="528" t="s">
        <v>1194</v>
      </c>
    </row>
  </sheetData>
  <conditionalFormatting sqref="C9:G10">
    <cfRule type="cellIs" dxfId="244" priority="2" operator="equal">
      <formula>13</formula>
    </cfRule>
  </conditionalFormatting>
  <conditionalFormatting sqref="C15:G16">
    <cfRule type="cellIs" dxfId="243" priority="1" operator="equal">
      <formula>13</formula>
    </cfRule>
  </conditionalFormatting>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259" customWidth="1"/>
    <col min="2" max="2" width="46.7109375" style="259" bestFit="1" customWidth="1"/>
    <col min="3" max="3" width="7.28515625" style="259" customWidth="1"/>
    <col min="4" max="4" width="7.42578125" style="259" bestFit="1" customWidth="1"/>
    <col min="5" max="5" width="9.140625" style="259"/>
    <col min="6" max="6" width="6.7109375" style="259" customWidth="1"/>
    <col min="7" max="7" width="5.140625" style="259" bestFit="1" customWidth="1"/>
    <col min="8" max="9" width="3.28515625" style="259" customWidth="1"/>
    <col min="10" max="13" width="9.140625" style="259"/>
    <col min="14" max="14" width="7.7109375" style="259" customWidth="1"/>
    <col min="15" max="16384" width="9.140625" style="259"/>
  </cols>
  <sheetData>
    <row r="1" spans="1:11" x14ac:dyDescent="0.2">
      <c r="A1" s="314" t="str">
        <f>UPPER((Kalend!E19)&amp;" - "&amp;(Kalend!C19)&amp;" - "&amp;(Kalend!D19))</f>
        <v>7 - 11. EESTI MV - SEGATRIO</v>
      </c>
      <c r="E1" s="204" t="str">
        <f>HYPERLINK("#Üldreiting!I1","Reiting")</f>
        <v>Reiting</v>
      </c>
      <c r="F1" s="528"/>
      <c r="G1" s="528"/>
    </row>
    <row r="2" spans="1:11" x14ac:dyDescent="0.2">
      <c r="A2" s="309" t="str">
        <f>"Toimumisaeg: "&amp;(Kalend!A19)&amp;" kell "&amp;(Kalend!B19)</f>
        <v>Toimumisaeg: L, 18.06.2016 kell 11:00</v>
      </c>
    </row>
    <row r="3" spans="1:11" x14ac:dyDescent="0.2">
      <c r="A3" s="309" t="str">
        <f>"Toimumiskoht: "&amp;(Kalend!H19)</f>
        <v>Toimumiskoht: Uuskalda (Läänemaa, Kärbla küla)</v>
      </c>
    </row>
    <row r="4" spans="1:11" x14ac:dyDescent="0.2">
      <c r="A4" s="309" t="str">
        <f>"Korraldaja: "&amp;(Kalend!I19)</f>
        <v>Korraldaja: PK Wicia</v>
      </c>
    </row>
    <row r="6" spans="1:11" x14ac:dyDescent="0.2">
      <c r="A6" s="855" t="s">
        <v>331</v>
      </c>
      <c r="B6" s="856"/>
      <c r="C6" s="77" t="s">
        <v>332</v>
      </c>
      <c r="D6" s="77" t="s">
        <v>333</v>
      </c>
      <c r="E6" s="77" t="s">
        <v>334</v>
      </c>
      <c r="F6" s="77" t="s">
        <v>335</v>
      </c>
      <c r="G6" s="77" t="s">
        <v>28</v>
      </c>
    </row>
    <row r="7" spans="1:11" x14ac:dyDescent="0.2">
      <c r="A7" s="76">
        <v>1</v>
      </c>
      <c r="B7" s="253" t="s">
        <v>555</v>
      </c>
      <c r="C7" s="79">
        <v>13</v>
      </c>
      <c r="D7" s="79">
        <v>13</v>
      </c>
      <c r="E7" s="79"/>
      <c r="F7" s="79"/>
      <c r="G7" s="236" t="s">
        <v>337</v>
      </c>
    </row>
    <row r="8" spans="1:11" x14ac:dyDescent="0.2">
      <c r="A8" s="76">
        <v>2</v>
      </c>
      <c r="B8" s="253" t="s">
        <v>549</v>
      </c>
      <c r="C8" s="79">
        <v>13</v>
      </c>
      <c r="D8" s="79">
        <v>11</v>
      </c>
      <c r="E8" s="79"/>
      <c r="F8" s="79">
        <v>13</v>
      </c>
      <c r="G8" s="236" t="s">
        <v>336</v>
      </c>
      <c r="K8" s="157"/>
    </row>
    <row r="9" spans="1:11" x14ac:dyDescent="0.2">
      <c r="A9" s="76">
        <v>3</v>
      </c>
      <c r="B9" s="253" t="s">
        <v>556</v>
      </c>
      <c r="C9" s="79">
        <v>2</v>
      </c>
      <c r="D9" s="79"/>
      <c r="E9" s="79">
        <v>13</v>
      </c>
      <c r="F9" s="79">
        <v>6</v>
      </c>
      <c r="G9" s="236" t="s">
        <v>338</v>
      </c>
    </row>
    <row r="10" spans="1:11" x14ac:dyDescent="0.2">
      <c r="A10" s="76">
        <v>4</v>
      </c>
      <c r="B10" s="254"/>
      <c r="C10" s="79">
        <v>0</v>
      </c>
      <c r="D10" s="79"/>
      <c r="E10" s="79">
        <v>0</v>
      </c>
      <c r="F10" s="79"/>
      <c r="G10" s="236"/>
    </row>
    <row r="11" spans="1:11" x14ac:dyDescent="0.2">
      <c r="A11" s="80"/>
      <c r="B11" s="81"/>
      <c r="C11" s="82"/>
      <c r="D11" s="82"/>
      <c r="E11" s="82"/>
      <c r="F11" s="83"/>
      <c r="G11" s="84"/>
    </row>
    <row r="12" spans="1:11" x14ac:dyDescent="0.2">
      <c r="A12" s="855" t="s">
        <v>339</v>
      </c>
      <c r="B12" s="856"/>
      <c r="C12" s="77" t="s">
        <v>332</v>
      </c>
      <c r="D12" s="77" t="s">
        <v>333</v>
      </c>
      <c r="E12" s="77" t="s">
        <v>334</v>
      </c>
      <c r="F12" s="77" t="s">
        <v>335</v>
      </c>
      <c r="G12" s="77" t="s">
        <v>28</v>
      </c>
    </row>
    <row r="13" spans="1:11" x14ac:dyDescent="0.2">
      <c r="A13" s="76">
        <v>1</v>
      </c>
      <c r="B13" s="257" t="s">
        <v>557</v>
      </c>
      <c r="C13" s="79">
        <v>13</v>
      </c>
      <c r="D13" s="79">
        <v>3</v>
      </c>
      <c r="E13" s="79"/>
      <c r="F13" s="79">
        <v>9</v>
      </c>
      <c r="G13" s="236" t="s">
        <v>338</v>
      </c>
    </row>
    <row r="14" spans="1:11" x14ac:dyDescent="0.2">
      <c r="A14" s="76">
        <v>2</v>
      </c>
      <c r="B14" s="253" t="s">
        <v>340</v>
      </c>
      <c r="C14" s="79">
        <v>5</v>
      </c>
      <c r="D14" s="79"/>
      <c r="E14" s="79">
        <v>13</v>
      </c>
      <c r="F14" s="79">
        <v>13</v>
      </c>
      <c r="G14" s="236" t="s">
        <v>336</v>
      </c>
    </row>
    <row r="15" spans="1:11" x14ac:dyDescent="0.2">
      <c r="A15" s="76">
        <v>3</v>
      </c>
      <c r="B15" s="253" t="s">
        <v>558</v>
      </c>
      <c r="C15" s="79">
        <v>13</v>
      </c>
      <c r="D15" s="79">
        <v>13</v>
      </c>
      <c r="E15" s="79"/>
      <c r="F15" s="79"/>
      <c r="G15" s="236" t="s">
        <v>337</v>
      </c>
    </row>
    <row r="16" spans="1:11" x14ac:dyDescent="0.2">
      <c r="A16" s="76">
        <v>4</v>
      </c>
      <c r="B16" s="254" t="s">
        <v>562</v>
      </c>
      <c r="C16" s="79">
        <v>6</v>
      </c>
      <c r="D16" s="79"/>
      <c r="E16" s="79">
        <v>5</v>
      </c>
      <c r="F16" s="79"/>
      <c r="G16" s="236" t="s">
        <v>398</v>
      </c>
    </row>
    <row r="17" spans="1:11" x14ac:dyDescent="0.2">
      <c r="A17" s="80"/>
      <c r="B17" s="81"/>
      <c r="C17" s="82"/>
      <c r="D17" s="82"/>
      <c r="E17" s="82"/>
      <c r="F17" s="83"/>
      <c r="G17" s="84"/>
    </row>
    <row r="18" spans="1:11" x14ac:dyDescent="0.2">
      <c r="A18" s="855" t="s">
        <v>341</v>
      </c>
      <c r="B18" s="856"/>
      <c r="C18" s="77" t="s">
        <v>332</v>
      </c>
      <c r="D18" s="77" t="s">
        <v>333</v>
      </c>
      <c r="E18" s="77" t="s">
        <v>334</v>
      </c>
      <c r="F18" s="77" t="s">
        <v>335</v>
      </c>
      <c r="G18" s="77" t="s">
        <v>28</v>
      </c>
    </row>
    <row r="19" spans="1:11" x14ac:dyDescent="0.2">
      <c r="A19" s="76">
        <v>1</v>
      </c>
      <c r="B19" s="255" t="s">
        <v>559</v>
      </c>
      <c r="C19" s="79">
        <v>13</v>
      </c>
      <c r="D19" s="79">
        <v>13</v>
      </c>
      <c r="E19" s="79"/>
      <c r="F19" s="79"/>
      <c r="G19" s="236" t="s">
        <v>337</v>
      </c>
    </row>
    <row r="20" spans="1:11" x14ac:dyDescent="0.2">
      <c r="A20" s="76">
        <v>2</v>
      </c>
      <c r="B20" s="257" t="s">
        <v>560</v>
      </c>
      <c r="C20" s="79">
        <v>13</v>
      </c>
      <c r="D20" s="79">
        <v>4</v>
      </c>
      <c r="E20" s="79"/>
      <c r="F20" s="79">
        <v>6</v>
      </c>
      <c r="G20" s="236" t="s">
        <v>338</v>
      </c>
    </row>
    <row r="21" spans="1:11" x14ac:dyDescent="0.2">
      <c r="A21" s="76">
        <v>3</v>
      </c>
      <c r="B21" s="253" t="s">
        <v>561</v>
      </c>
      <c r="C21" s="79">
        <v>6</v>
      </c>
      <c r="D21" s="79"/>
      <c r="E21" s="79">
        <v>13</v>
      </c>
      <c r="F21" s="79">
        <v>13</v>
      </c>
      <c r="G21" s="236" t="s">
        <v>336</v>
      </c>
    </row>
    <row r="22" spans="1:11" x14ac:dyDescent="0.2">
      <c r="A22" s="76">
        <v>4</v>
      </c>
      <c r="B22" s="254"/>
      <c r="C22" s="79">
        <v>0</v>
      </c>
      <c r="D22" s="79"/>
      <c r="E22" s="79">
        <v>0</v>
      </c>
      <c r="F22" s="79"/>
      <c r="G22" s="236"/>
    </row>
    <row r="23" spans="1:11" x14ac:dyDescent="0.2">
      <c r="A23" s="252"/>
      <c r="B23" s="252"/>
      <c r="C23" s="252"/>
      <c r="D23" s="252"/>
      <c r="E23" s="252"/>
      <c r="F23" s="252"/>
      <c r="G23" s="252"/>
      <c r="H23" s="252"/>
      <c r="I23" s="252"/>
      <c r="J23" s="252"/>
      <c r="K23" s="252"/>
    </row>
    <row r="24" spans="1:11" x14ac:dyDescent="0.2">
      <c r="A24" s="85" t="s">
        <v>351</v>
      </c>
      <c r="B24" s="175"/>
      <c r="C24" s="175"/>
      <c r="D24" s="175"/>
      <c r="E24" s="175"/>
      <c r="F24" s="175"/>
      <c r="G24" s="175"/>
      <c r="H24" s="175"/>
      <c r="I24" s="175"/>
      <c r="J24" s="175"/>
      <c r="K24" s="175"/>
    </row>
    <row r="25" spans="1:11" x14ac:dyDescent="0.2">
      <c r="A25" s="85"/>
      <c r="B25" s="175"/>
      <c r="C25" s="175"/>
      <c r="D25" s="175"/>
      <c r="E25" s="175"/>
      <c r="F25" s="175"/>
      <c r="G25" s="175"/>
      <c r="H25" s="175"/>
      <c r="I25" s="175"/>
      <c r="J25" s="175"/>
      <c r="K25" s="175"/>
    </row>
    <row r="26" spans="1:11" x14ac:dyDescent="0.2">
      <c r="A26" s="113" t="s">
        <v>360</v>
      </c>
      <c r="B26" s="209" t="s">
        <v>555</v>
      </c>
      <c r="C26" s="97">
        <v>13</v>
      </c>
      <c r="D26" s="209"/>
      <c r="E26" s="209"/>
      <c r="F26" s="209"/>
      <c r="G26" s="209"/>
      <c r="H26" s="209"/>
      <c r="I26" s="209"/>
      <c r="J26" s="175"/>
      <c r="K26" s="175"/>
    </row>
    <row r="27" spans="1:11" x14ac:dyDescent="0.2">
      <c r="A27" s="113"/>
      <c r="B27" s="98"/>
      <c r="C27" s="99" t="s">
        <v>555</v>
      </c>
      <c r="D27" s="245"/>
      <c r="E27" s="209"/>
      <c r="F27" s="97">
        <v>7</v>
      </c>
      <c r="G27" s="209"/>
      <c r="H27" s="209"/>
      <c r="I27" s="209"/>
      <c r="J27" s="175"/>
      <c r="K27" s="175"/>
    </row>
    <row r="28" spans="1:11" x14ac:dyDescent="0.2">
      <c r="A28" s="113"/>
      <c r="B28" s="249" t="s">
        <v>352</v>
      </c>
      <c r="C28" s="100">
        <v>0</v>
      </c>
      <c r="D28" s="209"/>
      <c r="E28" s="101"/>
      <c r="F28" s="209"/>
      <c r="G28" s="209"/>
      <c r="H28" s="209"/>
      <c r="I28" s="209"/>
      <c r="J28" s="175"/>
      <c r="K28" s="175"/>
    </row>
    <row r="29" spans="1:11" x14ac:dyDescent="0.2">
      <c r="A29" s="113"/>
      <c r="B29" s="209"/>
      <c r="C29" s="209"/>
      <c r="D29" s="102"/>
      <c r="E29" s="103"/>
      <c r="F29" s="209" t="s">
        <v>561</v>
      </c>
      <c r="G29" s="209"/>
      <c r="H29" s="209"/>
      <c r="I29" s="97">
        <v>11</v>
      </c>
      <c r="J29" s="175"/>
      <c r="K29" s="175"/>
    </row>
    <row r="30" spans="1:11" x14ac:dyDescent="0.2">
      <c r="A30" s="113" t="s">
        <v>355</v>
      </c>
      <c r="B30" s="245" t="s">
        <v>340</v>
      </c>
      <c r="C30" s="104">
        <v>12</v>
      </c>
      <c r="D30" s="209"/>
      <c r="E30" s="103"/>
      <c r="F30" s="98"/>
      <c r="G30" s="98"/>
      <c r="H30" s="101"/>
      <c r="I30" s="209"/>
      <c r="J30" s="175"/>
      <c r="K30" s="175"/>
    </row>
    <row r="31" spans="1:11" x14ac:dyDescent="0.2">
      <c r="A31" s="113"/>
      <c r="B31" s="98"/>
      <c r="C31" s="105" t="s">
        <v>561</v>
      </c>
      <c r="D31" s="209"/>
      <c r="E31" s="249"/>
      <c r="F31" s="104">
        <v>13</v>
      </c>
      <c r="G31" s="102"/>
      <c r="H31" s="103"/>
      <c r="I31" s="209"/>
      <c r="J31" s="175"/>
      <c r="K31" s="175"/>
    </row>
    <row r="32" spans="1:11" x14ac:dyDescent="0.2">
      <c r="A32" s="113" t="s">
        <v>354</v>
      </c>
      <c r="B32" s="249" t="s">
        <v>561</v>
      </c>
      <c r="C32" s="106">
        <v>13</v>
      </c>
      <c r="D32" s="98"/>
      <c r="E32" s="209"/>
      <c r="F32" s="102"/>
      <c r="G32" s="102"/>
      <c r="H32" s="103"/>
      <c r="I32" s="209"/>
      <c r="J32" s="175"/>
      <c r="K32" s="175"/>
    </row>
    <row r="33" spans="1:11" ht="13.5" thickBot="1" x14ac:dyDescent="0.25">
      <c r="A33" s="113"/>
      <c r="B33" s="209"/>
      <c r="C33" s="209"/>
      <c r="D33" s="209"/>
      <c r="E33" s="209"/>
      <c r="F33" s="102"/>
      <c r="G33" s="102"/>
      <c r="H33" s="103"/>
      <c r="I33" s="209"/>
      <c r="J33" s="175" t="s">
        <v>558</v>
      </c>
      <c r="K33" s="175"/>
    </row>
    <row r="34" spans="1:11" x14ac:dyDescent="0.2">
      <c r="A34" s="113" t="s">
        <v>356</v>
      </c>
      <c r="B34" s="209" t="s">
        <v>558</v>
      </c>
      <c r="C34" s="97">
        <v>13</v>
      </c>
      <c r="D34" s="209"/>
      <c r="E34" s="209"/>
      <c r="F34" s="102"/>
      <c r="G34" s="102"/>
      <c r="H34" s="103"/>
      <c r="I34" s="107"/>
      <c r="J34" s="88" t="s">
        <v>357</v>
      </c>
      <c r="K34" s="89"/>
    </row>
    <row r="35" spans="1:11" x14ac:dyDescent="0.2">
      <c r="A35" s="113"/>
      <c r="B35" s="98"/>
      <c r="C35" s="99" t="s">
        <v>558</v>
      </c>
      <c r="D35" s="245"/>
      <c r="E35" s="209"/>
      <c r="F35" s="104">
        <v>13</v>
      </c>
      <c r="G35" s="102"/>
      <c r="H35" s="103"/>
      <c r="I35" s="209"/>
      <c r="J35" s="175"/>
      <c r="K35" s="175"/>
    </row>
    <row r="36" spans="1:11" ht="13.5" thickBot="1" x14ac:dyDescent="0.25">
      <c r="A36" s="113"/>
      <c r="B36" s="245" t="s">
        <v>352</v>
      </c>
      <c r="C36" s="100">
        <v>0</v>
      </c>
      <c r="D36" s="209"/>
      <c r="E36" s="101"/>
      <c r="F36" s="102"/>
      <c r="G36" s="102"/>
      <c r="H36" s="103"/>
      <c r="I36" s="209"/>
      <c r="J36" s="210" t="s">
        <v>561</v>
      </c>
      <c r="K36" s="210"/>
    </row>
    <row r="37" spans="1:11" x14ac:dyDescent="0.2">
      <c r="A37" s="113"/>
      <c r="B37" s="209"/>
      <c r="C37" s="209"/>
      <c r="D37" s="102"/>
      <c r="E37" s="103"/>
      <c r="F37" s="245" t="s">
        <v>558</v>
      </c>
      <c r="G37" s="245"/>
      <c r="H37" s="249"/>
      <c r="I37" s="97">
        <v>13</v>
      </c>
      <c r="J37" s="88" t="s">
        <v>359</v>
      </c>
      <c r="K37" s="175"/>
    </row>
    <row r="38" spans="1:11" x14ac:dyDescent="0.2">
      <c r="A38" s="113" t="s">
        <v>353</v>
      </c>
      <c r="B38" s="209" t="s">
        <v>559</v>
      </c>
      <c r="C38" s="104">
        <v>13</v>
      </c>
      <c r="D38" s="209"/>
      <c r="E38" s="103"/>
      <c r="F38" s="209"/>
      <c r="G38" s="209"/>
      <c r="H38" s="209"/>
      <c r="I38" s="209"/>
      <c r="J38" s="175"/>
      <c r="K38" s="175"/>
    </row>
    <row r="39" spans="1:11" x14ac:dyDescent="0.2">
      <c r="A39" s="113"/>
      <c r="B39" s="98"/>
      <c r="C39" s="105" t="s">
        <v>559</v>
      </c>
      <c r="D39" s="209"/>
      <c r="E39" s="249"/>
      <c r="F39" s="97">
        <v>12</v>
      </c>
      <c r="G39" s="209"/>
      <c r="H39" s="209"/>
      <c r="I39" s="209"/>
      <c r="J39" s="175"/>
      <c r="K39" s="175"/>
    </row>
    <row r="40" spans="1:11" x14ac:dyDescent="0.2">
      <c r="A40" s="113" t="s">
        <v>358</v>
      </c>
      <c r="B40" s="245" t="s">
        <v>549</v>
      </c>
      <c r="C40" s="106">
        <v>7</v>
      </c>
      <c r="D40" s="98"/>
      <c r="E40" s="209"/>
      <c r="F40" s="209"/>
      <c r="G40" s="209"/>
      <c r="H40" s="209"/>
      <c r="I40" s="209"/>
      <c r="J40" s="175"/>
      <c r="K40" s="175"/>
    </row>
    <row r="41" spans="1:11" x14ac:dyDescent="0.2">
      <c r="A41" s="86"/>
      <c r="B41" s="209"/>
      <c r="C41" s="209"/>
      <c r="D41" s="209"/>
      <c r="E41" s="209"/>
      <c r="F41" s="209" t="s">
        <v>555</v>
      </c>
      <c r="G41" s="209"/>
      <c r="H41" s="209"/>
      <c r="I41" s="104">
        <v>8</v>
      </c>
      <c r="J41" s="87"/>
      <c r="K41" s="87"/>
    </row>
    <row r="42" spans="1:11" ht="13.5" thickBot="1" x14ac:dyDescent="0.25">
      <c r="A42" s="86"/>
      <c r="B42" s="209"/>
      <c r="C42" s="209"/>
      <c r="D42" s="209"/>
      <c r="E42" s="209"/>
      <c r="F42" s="98"/>
      <c r="G42" s="98"/>
      <c r="H42" s="101"/>
      <c r="I42" s="108"/>
      <c r="J42" s="210" t="s">
        <v>559</v>
      </c>
      <c r="K42" s="210"/>
    </row>
    <row r="43" spans="1:11" x14ac:dyDescent="0.2">
      <c r="A43" s="86"/>
      <c r="B43" s="209"/>
      <c r="C43" s="209"/>
      <c r="D43" s="209"/>
      <c r="E43" s="209"/>
      <c r="F43" s="245" t="s">
        <v>559</v>
      </c>
      <c r="G43" s="245"/>
      <c r="H43" s="249"/>
      <c r="I43" s="97">
        <v>13</v>
      </c>
      <c r="J43" s="90" t="s">
        <v>361</v>
      </c>
      <c r="K43" s="87"/>
    </row>
    <row r="44" spans="1:11" x14ac:dyDescent="0.2">
      <c r="A44" s="86"/>
      <c r="B44" s="209"/>
      <c r="C44" s="209"/>
      <c r="D44" s="209"/>
      <c r="E44" s="209"/>
      <c r="F44" s="209"/>
      <c r="G44" s="209"/>
      <c r="H44" s="209"/>
      <c r="I44" s="209"/>
      <c r="J44" s="87"/>
      <c r="K44" s="87"/>
    </row>
    <row r="45" spans="1:11" ht="13.5" thickBot="1" x14ac:dyDescent="0.25">
      <c r="A45" s="175"/>
      <c r="B45" s="209"/>
      <c r="C45" s="209"/>
      <c r="D45" s="209"/>
      <c r="E45" s="209"/>
      <c r="F45" s="209"/>
      <c r="G45" s="102"/>
      <c r="H45" s="102"/>
      <c r="I45" s="209"/>
      <c r="J45" s="210" t="s">
        <v>555</v>
      </c>
      <c r="K45" s="210"/>
    </row>
    <row r="46" spans="1:11" x14ac:dyDescent="0.2">
      <c r="A46" s="175"/>
      <c r="B46" s="209"/>
      <c r="C46" s="209" t="s">
        <v>352</v>
      </c>
      <c r="D46" s="209"/>
      <c r="E46" s="209"/>
      <c r="F46" s="97">
        <v>0</v>
      </c>
      <c r="G46" s="209"/>
      <c r="H46" s="209"/>
      <c r="I46" s="209"/>
      <c r="J46" s="86" t="s">
        <v>362</v>
      </c>
      <c r="K46" s="175"/>
    </row>
    <row r="47" spans="1:11" x14ac:dyDescent="0.2">
      <c r="A47" s="175"/>
      <c r="B47" s="209"/>
      <c r="C47" s="98"/>
      <c r="D47" s="98"/>
      <c r="E47" s="101"/>
      <c r="F47" s="99" t="s">
        <v>340</v>
      </c>
      <c r="G47" s="245"/>
      <c r="H47" s="245"/>
      <c r="I47" s="97">
        <v>9</v>
      </c>
      <c r="J47" s="175"/>
      <c r="K47" s="175"/>
    </row>
    <row r="48" spans="1:11" x14ac:dyDescent="0.2">
      <c r="A48" s="175"/>
      <c r="B48" s="209"/>
      <c r="C48" s="245" t="s">
        <v>340</v>
      </c>
      <c r="D48" s="245"/>
      <c r="E48" s="249"/>
      <c r="F48" s="100">
        <v>13</v>
      </c>
      <c r="G48" s="209"/>
      <c r="H48" s="103"/>
      <c r="I48" s="209"/>
      <c r="J48" s="175"/>
      <c r="K48" s="175"/>
    </row>
    <row r="49" spans="1:11" ht="13.5" thickBot="1" x14ac:dyDescent="0.25">
      <c r="A49" s="175"/>
      <c r="B49" s="209"/>
      <c r="C49" s="209"/>
      <c r="D49" s="209"/>
      <c r="E49" s="209"/>
      <c r="F49" s="102"/>
      <c r="G49" s="209"/>
      <c r="H49" s="103"/>
      <c r="I49" s="209"/>
      <c r="J49" s="175" t="s">
        <v>549</v>
      </c>
      <c r="K49" s="175"/>
    </row>
    <row r="50" spans="1:11" x14ac:dyDescent="0.2">
      <c r="A50" s="175"/>
      <c r="B50" s="209"/>
      <c r="C50" s="209" t="s">
        <v>352</v>
      </c>
      <c r="D50" s="209"/>
      <c r="E50" s="209"/>
      <c r="F50" s="104">
        <v>0</v>
      </c>
      <c r="G50" s="209"/>
      <c r="H50" s="103"/>
      <c r="I50" s="107"/>
      <c r="J50" s="88" t="s">
        <v>363</v>
      </c>
      <c r="K50" s="89"/>
    </row>
    <row r="51" spans="1:11" x14ac:dyDescent="0.2">
      <c r="A51" s="175"/>
      <c r="B51" s="209"/>
      <c r="C51" s="98"/>
      <c r="D51" s="98"/>
      <c r="E51" s="101"/>
      <c r="F51" s="105" t="s">
        <v>549</v>
      </c>
      <c r="G51" s="209"/>
      <c r="H51" s="249"/>
      <c r="I51" s="104">
        <v>13</v>
      </c>
      <c r="J51" s="175"/>
      <c r="K51" s="175"/>
    </row>
    <row r="52" spans="1:11" ht="13.5" thickBot="1" x14ac:dyDescent="0.25">
      <c r="A52" s="175"/>
      <c r="B52" s="209"/>
      <c r="C52" s="245" t="s">
        <v>549</v>
      </c>
      <c r="D52" s="245"/>
      <c r="E52" s="249"/>
      <c r="F52" s="106">
        <v>13</v>
      </c>
      <c r="G52" s="98"/>
      <c r="H52" s="209"/>
      <c r="I52" s="102"/>
      <c r="J52" s="87" t="s">
        <v>340</v>
      </c>
      <c r="K52" s="210"/>
    </row>
    <row r="53" spans="1:11" x14ac:dyDescent="0.2">
      <c r="A53" s="175"/>
      <c r="B53" s="209"/>
      <c r="C53" s="209"/>
      <c r="D53" s="209"/>
      <c r="E53" s="209"/>
      <c r="F53" s="209"/>
      <c r="G53" s="209"/>
      <c r="H53" s="209"/>
      <c r="I53" s="102"/>
      <c r="J53" s="88" t="s">
        <v>364</v>
      </c>
      <c r="K53" s="87"/>
    </row>
    <row r="54" spans="1:11" x14ac:dyDescent="0.2">
      <c r="A54" s="175"/>
      <c r="B54" s="209"/>
      <c r="C54" s="209"/>
      <c r="D54" s="209"/>
      <c r="E54" s="209"/>
      <c r="F54" s="209"/>
      <c r="G54" s="209"/>
      <c r="H54" s="209"/>
      <c r="I54" s="102"/>
      <c r="J54" s="90"/>
      <c r="K54" s="87"/>
    </row>
    <row r="55" spans="1:11" x14ac:dyDescent="0.2">
      <c r="A55" s="85" t="s">
        <v>442</v>
      </c>
      <c r="B55" s="209"/>
      <c r="C55" s="209"/>
      <c r="D55" s="209"/>
      <c r="E55" s="209"/>
      <c r="F55" s="209"/>
      <c r="G55" s="209"/>
      <c r="H55" s="209"/>
      <c r="I55" s="102"/>
      <c r="J55" s="90"/>
      <c r="K55" s="87"/>
    </row>
    <row r="56" spans="1:11" s="528" customFormat="1" x14ac:dyDescent="0.2">
      <c r="A56" s="85"/>
      <c r="B56" s="588"/>
      <c r="C56" s="588"/>
      <c r="D56" s="588"/>
      <c r="E56" s="588"/>
      <c r="F56" s="588"/>
      <c r="G56" s="588"/>
      <c r="H56" s="588"/>
      <c r="I56" s="102"/>
      <c r="J56" s="90"/>
      <c r="K56" s="87"/>
    </row>
    <row r="57" spans="1:11" x14ac:dyDescent="0.2">
      <c r="A57" s="175"/>
      <c r="B57" s="113" t="s">
        <v>403</v>
      </c>
      <c r="C57" s="175" t="s">
        <v>562</v>
      </c>
      <c r="D57" s="175"/>
      <c r="E57" s="175"/>
      <c r="F57" s="260">
        <v>5</v>
      </c>
      <c r="G57" s="175"/>
      <c r="H57" s="175"/>
      <c r="I57" s="175"/>
      <c r="J57" s="175"/>
      <c r="K57" s="175"/>
    </row>
    <row r="58" spans="1:11" x14ac:dyDescent="0.2">
      <c r="A58" s="175"/>
      <c r="B58" s="86"/>
      <c r="C58" s="261"/>
      <c r="D58" s="261"/>
      <c r="E58" s="262"/>
      <c r="F58" s="263" t="s">
        <v>556</v>
      </c>
      <c r="G58" s="264"/>
      <c r="H58" s="264"/>
      <c r="I58" s="260">
        <v>11</v>
      </c>
      <c r="J58" s="175"/>
      <c r="K58" s="175"/>
    </row>
    <row r="59" spans="1:11" x14ac:dyDescent="0.2">
      <c r="A59" s="175"/>
      <c r="B59" s="113" t="s">
        <v>405</v>
      </c>
      <c r="C59" s="264" t="s">
        <v>556</v>
      </c>
      <c r="D59" s="264"/>
      <c r="E59" s="265"/>
      <c r="F59" s="266">
        <v>13</v>
      </c>
      <c r="G59" s="175"/>
      <c r="H59" s="267"/>
      <c r="I59" s="175"/>
      <c r="J59" s="175"/>
      <c r="K59" s="175"/>
    </row>
    <row r="60" spans="1:11" ht="13.5" thickBot="1" x14ac:dyDescent="0.25">
      <c r="A60" s="175"/>
      <c r="B60" s="86"/>
      <c r="C60" s="175"/>
      <c r="D60" s="175"/>
      <c r="E60" s="175"/>
      <c r="F60" s="87"/>
      <c r="G60" s="175"/>
      <c r="H60" s="267"/>
      <c r="I60" s="175"/>
      <c r="J60" s="175" t="s">
        <v>557</v>
      </c>
      <c r="K60" s="175"/>
    </row>
    <row r="61" spans="1:11" x14ac:dyDescent="0.2">
      <c r="A61" s="175"/>
      <c r="B61" s="113" t="s">
        <v>406</v>
      </c>
      <c r="C61" s="175" t="s">
        <v>557</v>
      </c>
      <c r="D61" s="175"/>
      <c r="E61" s="175"/>
      <c r="F61" s="268">
        <v>13</v>
      </c>
      <c r="G61" s="175"/>
      <c r="H61" s="267"/>
      <c r="I61" s="269"/>
      <c r="J61" s="88" t="s">
        <v>369</v>
      </c>
      <c r="K61" s="89"/>
    </row>
    <row r="62" spans="1:11" x14ac:dyDescent="0.2">
      <c r="A62" s="175"/>
      <c r="B62" s="86"/>
      <c r="C62" s="261"/>
      <c r="D62" s="261"/>
      <c r="E62" s="262"/>
      <c r="F62" s="270" t="s">
        <v>557</v>
      </c>
      <c r="G62" s="175"/>
      <c r="H62" s="265"/>
      <c r="I62" s="268">
        <v>13</v>
      </c>
      <c r="J62" s="175"/>
      <c r="K62" s="175"/>
    </row>
    <row r="63" spans="1:11" ht="13.5" thickBot="1" x14ac:dyDescent="0.25">
      <c r="A63" s="175"/>
      <c r="B63" s="113" t="s">
        <v>402</v>
      </c>
      <c r="C63" s="264" t="s">
        <v>560</v>
      </c>
      <c r="D63" s="264"/>
      <c r="E63" s="265"/>
      <c r="F63" s="271">
        <v>6</v>
      </c>
      <c r="G63" s="261"/>
      <c r="H63" s="175"/>
      <c r="I63" s="87"/>
      <c r="J63" s="87" t="s">
        <v>556</v>
      </c>
      <c r="K63" s="210"/>
    </row>
    <row r="64" spans="1:11" x14ac:dyDescent="0.2">
      <c r="A64" s="175"/>
      <c r="B64" s="175"/>
      <c r="C64" s="175"/>
      <c r="D64" s="175"/>
      <c r="E64" s="175"/>
      <c r="F64" s="175"/>
      <c r="G64" s="175"/>
      <c r="H64" s="175"/>
      <c r="I64" s="87"/>
      <c r="J64" s="88" t="s">
        <v>370</v>
      </c>
      <c r="K64" s="87"/>
    </row>
    <row r="65" spans="1:11" x14ac:dyDescent="0.2">
      <c r="A65" s="175"/>
      <c r="B65" s="175"/>
      <c r="C65" s="175"/>
      <c r="D65" s="175"/>
      <c r="E65" s="175"/>
      <c r="F65" s="175"/>
      <c r="G65" s="175"/>
      <c r="H65" s="175"/>
      <c r="I65" s="87"/>
      <c r="J65" s="90"/>
      <c r="K65" s="87"/>
    </row>
    <row r="66" spans="1:11" x14ac:dyDescent="0.2">
      <c r="A66" s="175"/>
      <c r="B66" s="175"/>
      <c r="C66" s="175"/>
      <c r="D66" s="175"/>
      <c r="E66" s="175"/>
      <c r="F66" s="175" t="s">
        <v>562</v>
      </c>
      <c r="G66" s="175"/>
      <c r="H66" s="175"/>
      <c r="I66" s="268">
        <v>9</v>
      </c>
      <c r="J66" s="87"/>
      <c r="K66" s="87"/>
    </row>
    <row r="67" spans="1:11" ht="13.5" thickBot="1" x14ac:dyDescent="0.25">
      <c r="A67" s="175"/>
      <c r="B67" s="175"/>
      <c r="C67" s="175"/>
      <c r="D67" s="175"/>
      <c r="E67" s="175"/>
      <c r="F67" s="261"/>
      <c r="G67" s="261"/>
      <c r="H67" s="262"/>
      <c r="I67" s="210"/>
      <c r="J67" s="210" t="s">
        <v>560</v>
      </c>
      <c r="K67" s="210"/>
    </row>
    <row r="68" spans="1:11" x14ac:dyDescent="0.2">
      <c r="A68" s="175"/>
      <c r="B68" s="175"/>
      <c r="C68" s="175"/>
      <c r="D68" s="175"/>
      <c r="E68" s="175"/>
      <c r="F68" s="264" t="s">
        <v>560</v>
      </c>
      <c r="G68" s="264"/>
      <c r="H68" s="265"/>
      <c r="I68" s="260">
        <v>13</v>
      </c>
      <c r="J68" s="90" t="s">
        <v>374</v>
      </c>
      <c r="K68" s="87"/>
    </row>
    <row r="69" spans="1:11" x14ac:dyDescent="0.2">
      <c r="A69" s="175"/>
      <c r="B69" s="175"/>
      <c r="C69" s="175"/>
      <c r="D69" s="175"/>
      <c r="E69" s="175"/>
      <c r="F69" s="175"/>
      <c r="G69" s="175"/>
      <c r="H69" s="175"/>
      <c r="I69" s="175"/>
      <c r="J69" s="87"/>
      <c r="K69" s="87"/>
    </row>
    <row r="70" spans="1:11" ht="13.5" thickBot="1" x14ac:dyDescent="0.25">
      <c r="A70" s="175"/>
      <c r="B70" s="175"/>
      <c r="C70" s="175"/>
      <c r="D70" s="175"/>
      <c r="E70" s="175"/>
      <c r="F70" s="175"/>
      <c r="G70" s="87"/>
      <c r="H70" s="87"/>
      <c r="I70" s="175"/>
      <c r="J70" s="210" t="s">
        <v>562</v>
      </c>
      <c r="K70" s="210"/>
    </row>
    <row r="71" spans="1:11" x14ac:dyDescent="0.2">
      <c r="A71" s="175"/>
      <c r="B71" s="175"/>
      <c r="C71" s="175"/>
      <c r="D71" s="175"/>
      <c r="E71" s="175"/>
      <c r="F71" s="175"/>
      <c r="G71" s="87"/>
      <c r="H71" s="87"/>
      <c r="I71" s="175"/>
      <c r="J71" s="90" t="s">
        <v>390</v>
      </c>
      <c r="K71" s="175"/>
    </row>
    <row r="72" spans="1:11" x14ac:dyDescent="0.2">
      <c r="A72" s="231"/>
      <c r="B72" s="231"/>
      <c r="C72" s="231"/>
      <c r="D72" s="231"/>
      <c r="E72" s="231"/>
      <c r="F72" s="231"/>
      <c r="G72" s="231"/>
      <c r="H72" s="231"/>
      <c r="I72" s="231"/>
      <c r="J72" s="231"/>
      <c r="K72" s="231"/>
    </row>
    <row r="73" spans="1:11" x14ac:dyDescent="0.2">
      <c r="A73" s="94">
        <v>1</v>
      </c>
      <c r="B73" s="203" t="s">
        <v>558</v>
      </c>
      <c r="C73" s="252"/>
      <c r="D73" s="252"/>
      <c r="E73" s="252"/>
      <c r="F73" s="252"/>
      <c r="G73" s="252"/>
      <c r="H73" s="252"/>
      <c r="I73" s="252"/>
      <c r="J73" s="252"/>
      <c r="K73" s="252"/>
    </row>
    <row r="74" spans="1:11" x14ac:dyDescent="0.2">
      <c r="A74" s="94">
        <v>2</v>
      </c>
      <c r="B74" s="308" t="s">
        <v>561</v>
      </c>
      <c r="C74" s="252"/>
      <c r="D74" s="252"/>
      <c r="E74" s="252"/>
      <c r="F74" s="252"/>
      <c r="G74" s="252"/>
      <c r="H74" s="252"/>
      <c r="I74" s="252"/>
      <c r="J74" s="252"/>
      <c r="K74" s="252"/>
    </row>
    <row r="75" spans="1:11" x14ac:dyDescent="0.2">
      <c r="A75" s="94">
        <v>3</v>
      </c>
      <c r="B75" s="233" t="s">
        <v>559</v>
      </c>
      <c r="C75" s="252"/>
      <c r="D75" s="252"/>
      <c r="E75" s="252"/>
      <c r="F75" s="252"/>
      <c r="G75" s="252"/>
      <c r="H75" s="252"/>
      <c r="I75" s="252"/>
      <c r="J75" s="252"/>
      <c r="K75" s="252"/>
    </row>
    <row r="76" spans="1:11" x14ac:dyDescent="0.2">
      <c r="A76" s="94">
        <v>4</v>
      </c>
      <c r="B76" s="96" t="s">
        <v>555</v>
      </c>
      <c r="C76" s="252"/>
      <c r="D76" s="252"/>
      <c r="E76" s="252"/>
      <c r="F76" s="252"/>
      <c r="G76" s="252"/>
      <c r="H76" s="252"/>
      <c r="I76" s="252"/>
      <c r="J76" s="252"/>
      <c r="K76" s="252"/>
    </row>
    <row r="77" spans="1:11" x14ac:dyDescent="0.2">
      <c r="A77" s="94">
        <v>5</v>
      </c>
      <c r="B77" s="96" t="s">
        <v>549</v>
      </c>
      <c r="C77" s="252"/>
      <c r="D77" s="252"/>
      <c r="E77" s="252"/>
      <c r="F77" s="252"/>
      <c r="G77" s="252"/>
      <c r="H77" s="252"/>
      <c r="I77" s="252"/>
      <c r="J77" s="252"/>
      <c r="K77" s="252"/>
    </row>
    <row r="78" spans="1:11" x14ac:dyDescent="0.2">
      <c r="A78" s="94">
        <v>6</v>
      </c>
      <c r="B78" s="96" t="s">
        <v>340</v>
      </c>
      <c r="C78" s="252"/>
      <c r="D78" s="252"/>
      <c r="E78" s="252"/>
      <c r="F78" s="252"/>
      <c r="G78" s="252"/>
      <c r="H78" s="252"/>
      <c r="I78" s="252"/>
      <c r="J78" s="252"/>
      <c r="K78" s="252"/>
    </row>
    <row r="79" spans="1:11" x14ac:dyDescent="0.2">
      <c r="A79" s="94">
        <v>7</v>
      </c>
      <c r="B79" s="253" t="s">
        <v>557</v>
      </c>
      <c r="C79" s="252"/>
      <c r="D79" s="252"/>
      <c r="E79" s="252"/>
      <c r="F79" s="252"/>
      <c r="G79" s="252"/>
      <c r="H79" s="252"/>
      <c r="I79" s="252"/>
      <c r="J79" s="252"/>
      <c r="K79" s="252"/>
    </row>
    <row r="80" spans="1:11" x14ac:dyDescent="0.2">
      <c r="A80" s="94">
        <v>8</v>
      </c>
      <c r="B80" s="272" t="s">
        <v>556</v>
      </c>
      <c r="C80" s="252"/>
      <c r="D80" s="252"/>
      <c r="E80" s="252"/>
      <c r="F80" s="252"/>
      <c r="G80" s="252"/>
      <c r="H80" s="252"/>
      <c r="I80" s="252"/>
      <c r="J80" s="252"/>
      <c r="K80" s="252"/>
    </row>
    <row r="81" spans="1:11" x14ac:dyDescent="0.2">
      <c r="A81" s="94">
        <v>9</v>
      </c>
      <c r="B81" s="138" t="s">
        <v>560</v>
      </c>
      <c r="C81" s="252"/>
      <c r="D81" s="252"/>
      <c r="E81" s="252"/>
      <c r="F81" s="252"/>
      <c r="G81" s="252"/>
      <c r="H81" s="252"/>
      <c r="I81" s="252"/>
      <c r="J81" s="252"/>
      <c r="K81" s="252"/>
    </row>
    <row r="82" spans="1:11" x14ac:dyDescent="0.2">
      <c r="A82" s="94">
        <v>10</v>
      </c>
      <c r="B82" s="272" t="s">
        <v>562</v>
      </c>
    </row>
  </sheetData>
  <conditionalFormatting sqref="B26:I68">
    <cfRule type="cellIs" dxfId="242" priority="2" stopIfTrue="1" operator="equal">
      <formula>13</formula>
    </cfRule>
  </conditionalFormatting>
  <conditionalFormatting sqref="C7:F22">
    <cfRule type="cellIs" dxfId="241" priority="1" stopIfTrue="1" operator="equal">
      <formula>13</formula>
    </cfRule>
  </conditionalFormatting>
  <pageMargins left="0.78740157480314965" right="0.39370078740157483" top="0.78740157480314965" bottom="0.39370078740157483" header="0.59055118110236227" footer="0"/>
  <pageSetup paperSize="9" fitToHeight="0" orientation="landscape" r:id="rId1"/>
  <headerFooter>
    <oddHeader>&amp;RPage &amp;P of &amp;N</oddHeader>
  </headerFooter>
  <rowBreaks count="2" manualBreakCount="2">
    <brk id="22" max="16383" man="1"/>
    <brk id="5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53"/>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259" customWidth="1"/>
    <col min="2" max="2" width="34" style="259" bestFit="1" customWidth="1"/>
    <col min="3" max="3" width="9.140625" style="259"/>
    <col min="4" max="4" width="15.140625" style="259" customWidth="1"/>
    <col min="5" max="5" width="9.140625" style="259"/>
    <col min="6" max="6" width="34" style="259" bestFit="1" customWidth="1"/>
    <col min="7" max="7" width="5.42578125" style="259" customWidth="1"/>
    <col min="8" max="10" width="9.140625" style="259" customWidth="1"/>
    <col min="11" max="12" width="3.7109375" style="259" customWidth="1"/>
    <col min="13" max="16384" width="9.140625" style="259"/>
  </cols>
  <sheetData>
    <row r="1" spans="1:7" x14ac:dyDescent="0.2">
      <c r="A1" s="314" t="str">
        <f>UPPER((Kalend!E20)&amp;" - "&amp;(Kalend!C20)&amp;" - "&amp;(Kalend!D20))</f>
        <v>8 - EESTI REITINGUVÕISTLUS - DUO</v>
      </c>
      <c r="E1" s="204" t="str">
        <f>HYPERLINK("#Üldreiting!I1","Reiting")</f>
        <v>Reiting</v>
      </c>
      <c r="F1" s="528"/>
      <c r="G1" s="528"/>
    </row>
    <row r="2" spans="1:7" x14ac:dyDescent="0.2">
      <c r="A2" s="309" t="str">
        <f>"Toimumisaeg: "&amp;(Kalend!A20)&amp;" kell "&amp;(Kalend!B20)</f>
        <v>Toimumisaeg: P, 19.06.2016 kell 10:00</v>
      </c>
    </row>
    <row r="3" spans="1:7" x14ac:dyDescent="0.2">
      <c r="A3" s="309" t="str">
        <f>"Toimumiskoht: "&amp;(Kalend!H20)</f>
        <v>Toimumiskoht: Uuskalda (Läänemaa, Kärbla küla)</v>
      </c>
      <c r="F3" s="542" t="s">
        <v>859</v>
      </c>
    </row>
    <row r="4" spans="1:7" x14ac:dyDescent="0.2">
      <c r="A4" s="309" t="str">
        <f>"Korraldaja: "&amp;(Kalend!I20)</f>
        <v>Korraldaja: PK Wicia</v>
      </c>
      <c r="F4" s="542" t="s">
        <v>840</v>
      </c>
    </row>
    <row r="6" spans="1:7" x14ac:dyDescent="0.2">
      <c r="A6" s="338" t="s">
        <v>641</v>
      </c>
      <c r="B6" s="339"/>
      <c r="C6" s="540" t="s">
        <v>834</v>
      </c>
      <c r="D6" s="541" t="s">
        <v>835</v>
      </c>
      <c r="E6" s="540" t="s">
        <v>834</v>
      </c>
      <c r="F6" s="252"/>
    </row>
    <row r="7" spans="1:7" x14ac:dyDescent="0.2">
      <c r="A7" s="313" t="s">
        <v>618</v>
      </c>
      <c r="B7" s="322" t="s">
        <v>400</v>
      </c>
      <c r="C7" s="311"/>
      <c r="D7" s="318" t="s">
        <v>622</v>
      </c>
      <c r="E7" s="311">
        <v>1</v>
      </c>
      <c r="F7" s="322" t="s">
        <v>565</v>
      </c>
      <c r="G7" s="52" t="s">
        <v>619</v>
      </c>
    </row>
    <row r="8" spans="1:7" x14ac:dyDescent="0.2">
      <c r="A8" s="313" t="s">
        <v>626</v>
      </c>
      <c r="B8" s="322" t="s">
        <v>379</v>
      </c>
      <c r="C8" s="311"/>
      <c r="D8" s="318" t="s">
        <v>637</v>
      </c>
      <c r="E8" s="311">
        <v>1</v>
      </c>
      <c r="F8" s="144" t="s">
        <v>569</v>
      </c>
      <c r="G8" s="52" t="s">
        <v>631</v>
      </c>
    </row>
    <row r="9" spans="1:7" x14ac:dyDescent="0.2">
      <c r="A9" s="313" t="s">
        <v>627</v>
      </c>
      <c r="B9" s="322" t="s">
        <v>571</v>
      </c>
      <c r="C9" s="311"/>
      <c r="D9" s="318" t="s">
        <v>645</v>
      </c>
      <c r="E9" s="311"/>
      <c r="F9" s="319" t="s">
        <v>566</v>
      </c>
      <c r="G9" s="52" t="s">
        <v>367</v>
      </c>
    </row>
    <row r="10" spans="1:7" x14ac:dyDescent="0.2">
      <c r="A10" s="313" t="s">
        <v>628</v>
      </c>
      <c r="B10" s="330" t="s">
        <v>661</v>
      </c>
      <c r="C10" s="311">
        <v>1</v>
      </c>
      <c r="D10" s="318" t="s">
        <v>624</v>
      </c>
      <c r="E10" s="311">
        <v>1</v>
      </c>
      <c r="F10" s="322" t="s">
        <v>572</v>
      </c>
      <c r="G10" s="52" t="s">
        <v>632</v>
      </c>
    </row>
    <row r="11" spans="1:7" x14ac:dyDescent="0.2">
      <c r="A11" s="313" t="s">
        <v>621</v>
      </c>
      <c r="B11" s="322" t="s">
        <v>568</v>
      </c>
      <c r="C11" s="311"/>
      <c r="D11" s="318" t="s">
        <v>646</v>
      </c>
      <c r="E11" s="311">
        <v>1</v>
      </c>
      <c r="F11" s="322" t="s">
        <v>385</v>
      </c>
      <c r="G11" s="52" t="s">
        <v>326</v>
      </c>
    </row>
    <row r="12" spans="1:7" x14ac:dyDescent="0.2">
      <c r="A12" s="313" t="s">
        <v>620</v>
      </c>
      <c r="B12" s="322" t="s">
        <v>381</v>
      </c>
      <c r="C12" s="311">
        <v>1</v>
      </c>
      <c r="D12" s="318" t="s">
        <v>624</v>
      </c>
      <c r="E12" s="311"/>
      <c r="F12" s="320" t="s">
        <v>570</v>
      </c>
      <c r="G12" s="52" t="s">
        <v>32</v>
      </c>
    </row>
    <row r="13" spans="1:7" x14ac:dyDescent="0.2">
      <c r="A13" s="313" t="s">
        <v>629</v>
      </c>
      <c r="B13" s="310" t="s">
        <v>662</v>
      </c>
      <c r="C13" s="311">
        <v>1</v>
      </c>
      <c r="D13" s="318" t="s">
        <v>647</v>
      </c>
      <c r="E13" s="311"/>
      <c r="F13" s="322" t="s">
        <v>563</v>
      </c>
      <c r="G13" s="52" t="s">
        <v>337</v>
      </c>
    </row>
    <row r="14" spans="1:7" x14ac:dyDescent="0.2">
      <c r="A14" s="313" t="s">
        <v>630</v>
      </c>
      <c r="B14" s="322" t="s">
        <v>567</v>
      </c>
      <c r="C14" s="311">
        <v>1</v>
      </c>
      <c r="D14" s="318" t="s">
        <v>648</v>
      </c>
      <c r="E14" s="311"/>
      <c r="F14" s="320" t="s">
        <v>573</v>
      </c>
      <c r="G14" s="52" t="s">
        <v>31</v>
      </c>
    </row>
    <row r="15" spans="1:7" x14ac:dyDescent="0.2">
      <c r="A15" s="340" t="s">
        <v>642</v>
      </c>
      <c r="B15" s="343"/>
      <c r="C15" s="540" t="s">
        <v>834</v>
      </c>
      <c r="D15" s="541" t="s">
        <v>835</v>
      </c>
      <c r="E15" s="540" t="s">
        <v>834</v>
      </c>
      <c r="F15" s="252"/>
      <c r="G15" s="52"/>
    </row>
    <row r="16" spans="1:7" x14ac:dyDescent="0.2">
      <c r="A16" s="313" t="s">
        <v>618</v>
      </c>
      <c r="B16" s="322" t="s">
        <v>400</v>
      </c>
      <c r="C16" s="311">
        <v>1</v>
      </c>
      <c r="D16" s="318" t="s">
        <v>623</v>
      </c>
      <c r="E16" s="311"/>
      <c r="F16" s="320" t="s">
        <v>570</v>
      </c>
      <c r="G16" s="52" t="s">
        <v>32</v>
      </c>
    </row>
    <row r="17" spans="1:7" x14ac:dyDescent="0.2">
      <c r="A17" s="313" t="s">
        <v>626</v>
      </c>
      <c r="B17" s="322" t="s">
        <v>379</v>
      </c>
      <c r="C17" s="311"/>
      <c r="D17" s="318" t="s">
        <v>638</v>
      </c>
      <c r="E17" s="311">
        <v>1</v>
      </c>
      <c r="F17" s="322" t="s">
        <v>563</v>
      </c>
      <c r="G17" s="52" t="s">
        <v>337</v>
      </c>
    </row>
    <row r="18" spans="1:7" x14ac:dyDescent="0.2">
      <c r="A18" s="313" t="s">
        <v>627</v>
      </c>
      <c r="B18" s="322" t="s">
        <v>571</v>
      </c>
      <c r="C18" s="311">
        <v>1</v>
      </c>
      <c r="D18" s="318" t="s">
        <v>625</v>
      </c>
      <c r="E18" s="311"/>
      <c r="F18" s="320" t="s">
        <v>573</v>
      </c>
      <c r="G18" s="52" t="s">
        <v>31</v>
      </c>
    </row>
    <row r="19" spans="1:7" x14ac:dyDescent="0.2">
      <c r="A19" s="313" t="s">
        <v>628</v>
      </c>
      <c r="B19" s="310" t="s">
        <v>660</v>
      </c>
      <c r="C19" s="311">
        <v>1</v>
      </c>
      <c r="D19" s="318" t="s">
        <v>649</v>
      </c>
      <c r="E19" s="311"/>
      <c r="F19" s="322" t="s">
        <v>385</v>
      </c>
      <c r="G19" s="52" t="s">
        <v>326</v>
      </c>
    </row>
    <row r="20" spans="1:7" x14ac:dyDescent="0.2">
      <c r="A20" s="313" t="s">
        <v>621</v>
      </c>
      <c r="B20" s="322" t="s">
        <v>568</v>
      </c>
      <c r="C20" s="311">
        <v>1</v>
      </c>
      <c r="D20" s="318" t="s">
        <v>623</v>
      </c>
      <c r="E20" s="311"/>
      <c r="F20" s="322" t="s">
        <v>572</v>
      </c>
      <c r="G20" s="52" t="s">
        <v>632</v>
      </c>
    </row>
    <row r="21" spans="1:7" x14ac:dyDescent="0.2">
      <c r="A21" s="313" t="s">
        <v>620</v>
      </c>
      <c r="B21" s="322" t="s">
        <v>381</v>
      </c>
      <c r="C21" s="311"/>
      <c r="D21" s="318" t="s">
        <v>650</v>
      </c>
      <c r="E21" s="311">
        <v>1</v>
      </c>
      <c r="F21" s="322" t="s">
        <v>565</v>
      </c>
      <c r="G21" s="52" t="s">
        <v>619</v>
      </c>
    </row>
    <row r="22" spans="1:7" x14ac:dyDescent="0.2">
      <c r="A22" s="313" t="s">
        <v>629</v>
      </c>
      <c r="B22" s="342" t="s">
        <v>663</v>
      </c>
      <c r="C22" s="311">
        <v>1</v>
      </c>
      <c r="D22" s="318" t="s">
        <v>651</v>
      </c>
      <c r="E22" s="311"/>
      <c r="F22" s="144" t="s">
        <v>569</v>
      </c>
      <c r="G22" s="52" t="s">
        <v>631</v>
      </c>
    </row>
    <row r="23" spans="1:7" x14ac:dyDescent="0.2">
      <c r="A23" s="313" t="s">
        <v>630</v>
      </c>
      <c r="B23" s="322" t="s">
        <v>567</v>
      </c>
      <c r="C23" s="311">
        <v>1</v>
      </c>
      <c r="D23" s="318" t="s">
        <v>652</v>
      </c>
      <c r="E23" s="311"/>
      <c r="F23" s="319" t="s">
        <v>566</v>
      </c>
      <c r="G23" s="52" t="s">
        <v>367</v>
      </c>
    </row>
    <row r="24" spans="1:7" x14ac:dyDescent="0.2">
      <c r="A24" s="338" t="s">
        <v>643</v>
      </c>
      <c r="B24" s="343"/>
      <c r="C24" s="540" t="s">
        <v>834</v>
      </c>
      <c r="D24" s="541" t="s">
        <v>835</v>
      </c>
      <c r="E24" s="540" t="s">
        <v>834</v>
      </c>
      <c r="F24" s="252"/>
      <c r="G24" s="52"/>
    </row>
    <row r="25" spans="1:7" x14ac:dyDescent="0.2">
      <c r="A25" s="313" t="s">
        <v>618</v>
      </c>
      <c r="B25" s="322" t="s">
        <v>400</v>
      </c>
      <c r="C25" s="311">
        <v>1</v>
      </c>
      <c r="D25" s="318" t="s">
        <v>624</v>
      </c>
      <c r="E25" s="311"/>
      <c r="F25" s="322" t="s">
        <v>381</v>
      </c>
      <c r="G25" s="52" t="s">
        <v>620</v>
      </c>
    </row>
    <row r="26" spans="1:7" x14ac:dyDescent="0.2">
      <c r="A26" s="313" t="s">
        <v>626</v>
      </c>
      <c r="B26" s="322" t="s">
        <v>379</v>
      </c>
      <c r="C26" s="311"/>
      <c r="D26" s="318" t="s">
        <v>639</v>
      </c>
      <c r="E26" s="311">
        <v>11</v>
      </c>
      <c r="F26" s="320" t="s">
        <v>570</v>
      </c>
      <c r="G26" s="52" t="s">
        <v>32</v>
      </c>
    </row>
    <row r="27" spans="1:7" x14ac:dyDescent="0.2">
      <c r="A27" s="313" t="s">
        <v>627</v>
      </c>
      <c r="B27" s="322" t="s">
        <v>571</v>
      </c>
      <c r="C27" s="311"/>
      <c r="D27" s="318" t="s">
        <v>653</v>
      </c>
      <c r="E27" s="311"/>
      <c r="F27" s="322" t="s">
        <v>568</v>
      </c>
      <c r="G27" s="52" t="s">
        <v>621</v>
      </c>
    </row>
    <row r="28" spans="1:7" x14ac:dyDescent="0.2">
      <c r="A28" s="313" t="s">
        <v>628</v>
      </c>
      <c r="B28" s="342" t="s">
        <v>664</v>
      </c>
      <c r="C28" s="311"/>
      <c r="D28" s="318" t="s">
        <v>653</v>
      </c>
      <c r="E28" s="311">
        <v>1</v>
      </c>
      <c r="F28" s="322" t="s">
        <v>567</v>
      </c>
      <c r="G28" s="323" t="s">
        <v>630</v>
      </c>
    </row>
    <row r="29" spans="1:7" x14ac:dyDescent="0.2">
      <c r="A29" s="313" t="s">
        <v>629</v>
      </c>
      <c r="B29" s="342" t="s">
        <v>665</v>
      </c>
      <c r="C29" s="311">
        <v>1</v>
      </c>
      <c r="D29" s="318" t="s">
        <v>654</v>
      </c>
      <c r="E29" s="311"/>
      <c r="F29" s="322" t="s">
        <v>565</v>
      </c>
      <c r="G29" s="52" t="s">
        <v>619</v>
      </c>
    </row>
    <row r="30" spans="1:7" x14ac:dyDescent="0.2">
      <c r="A30" s="313" t="s">
        <v>337</v>
      </c>
      <c r="B30" s="322" t="s">
        <v>563</v>
      </c>
      <c r="C30" s="311">
        <v>1</v>
      </c>
      <c r="D30" s="318" t="s">
        <v>633</v>
      </c>
      <c r="E30" s="311"/>
      <c r="F30" s="144" t="s">
        <v>569</v>
      </c>
      <c r="G30" s="52" t="s">
        <v>631</v>
      </c>
    </row>
    <row r="31" spans="1:7" x14ac:dyDescent="0.2">
      <c r="A31" s="321" t="s">
        <v>367</v>
      </c>
      <c r="B31" s="319" t="s">
        <v>566</v>
      </c>
      <c r="C31" s="311">
        <v>1</v>
      </c>
      <c r="D31" s="318" t="s">
        <v>635</v>
      </c>
      <c r="E31" s="311"/>
      <c r="F31" s="322" t="s">
        <v>385</v>
      </c>
      <c r="G31" s="52" t="s">
        <v>326</v>
      </c>
    </row>
    <row r="32" spans="1:7" x14ac:dyDescent="0.2">
      <c r="A32" s="313" t="s">
        <v>31</v>
      </c>
      <c r="B32" s="320" t="s">
        <v>573</v>
      </c>
      <c r="C32" s="311"/>
      <c r="D32" s="318" t="s">
        <v>655</v>
      </c>
      <c r="E32" s="311">
        <v>1</v>
      </c>
      <c r="F32" s="322" t="s">
        <v>572</v>
      </c>
      <c r="G32" s="52" t="s">
        <v>632</v>
      </c>
    </row>
    <row r="33" spans="1:9" x14ac:dyDescent="0.2">
      <c r="A33" s="338" t="s">
        <v>644</v>
      </c>
      <c r="B33" s="339"/>
      <c r="C33" s="540" t="s">
        <v>834</v>
      </c>
      <c r="D33" s="541" t="s">
        <v>835</v>
      </c>
      <c r="E33" s="540" t="s">
        <v>834</v>
      </c>
      <c r="F33" s="252"/>
      <c r="G33" s="52"/>
    </row>
    <row r="34" spans="1:9" x14ac:dyDescent="0.2">
      <c r="A34" s="313" t="s">
        <v>618</v>
      </c>
      <c r="B34" s="322" t="s">
        <v>400</v>
      </c>
      <c r="C34" s="311">
        <v>1</v>
      </c>
      <c r="D34" s="318" t="s">
        <v>625</v>
      </c>
      <c r="E34" s="311"/>
      <c r="F34" s="322" t="s">
        <v>568</v>
      </c>
      <c r="G34" s="52" t="s">
        <v>621</v>
      </c>
    </row>
    <row r="35" spans="1:9" x14ac:dyDescent="0.2">
      <c r="A35" s="313" t="s">
        <v>626</v>
      </c>
      <c r="B35" s="322" t="s">
        <v>379</v>
      </c>
      <c r="C35" s="311"/>
      <c r="D35" s="318" t="s">
        <v>640</v>
      </c>
      <c r="E35" s="311">
        <v>1</v>
      </c>
      <c r="F35" s="320" t="s">
        <v>573</v>
      </c>
      <c r="G35" s="52" t="s">
        <v>31</v>
      </c>
    </row>
    <row r="36" spans="1:9" x14ac:dyDescent="0.2">
      <c r="A36" s="313" t="s">
        <v>627</v>
      </c>
      <c r="B36" s="322" t="s">
        <v>571</v>
      </c>
      <c r="C36" s="311"/>
      <c r="D36" s="318" t="s">
        <v>656</v>
      </c>
      <c r="E36" s="311">
        <v>1</v>
      </c>
      <c r="F36" s="322" t="s">
        <v>572</v>
      </c>
      <c r="G36" s="52" t="s">
        <v>632</v>
      </c>
    </row>
    <row r="37" spans="1:9" x14ac:dyDescent="0.2">
      <c r="A37" s="313" t="s">
        <v>628</v>
      </c>
      <c r="B37" s="342" t="s">
        <v>664</v>
      </c>
      <c r="C37" s="311">
        <v>1</v>
      </c>
      <c r="D37" s="318" t="s">
        <v>657</v>
      </c>
      <c r="E37" s="311"/>
      <c r="F37" s="322" t="s">
        <v>563</v>
      </c>
      <c r="G37" s="52" t="s">
        <v>337</v>
      </c>
    </row>
    <row r="38" spans="1:9" x14ac:dyDescent="0.2">
      <c r="A38" s="313" t="s">
        <v>620</v>
      </c>
      <c r="B38" s="322" t="s">
        <v>381</v>
      </c>
      <c r="C38" s="311"/>
      <c r="D38" s="318" t="s">
        <v>634</v>
      </c>
      <c r="E38" s="311">
        <v>1</v>
      </c>
      <c r="F38" s="322" t="s">
        <v>385</v>
      </c>
      <c r="G38" s="52" t="s">
        <v>326</v>
      </c>
    </row>
    <row r="39" spans="1:9" x14ac:dyDescent="0.2">
      <c r="A39" s="313" t="s">
        <v>629</v>
      </c>
      <c r="B39" s="342" t="s">
        <v>666</v>
      </c>
      <c r="C39" s="311">
        <v>1</v>
      </c>
      <c r="D39" s="318" t="s">
        <v>654</v>
      </c>
      <c r="E39" s="311"/>
      <c r="F39" s="322" t="s">
        <v>567</v>
      </c>
      <c r="G39" s="323" t="s">
        <v>630</v>
      </c>
    </row>
    <row r="40" spans="1:9" x14ac:dyDescent="0.2">
      <c r="A40" s="321" t="s">
        <v>32</v>
      </c>
      <c r="B40" s="320" t="s">
        <v>570</v>
      </c>
      <c r="C40" s="311">
        <v>1</v>
      </c>
      <c r="D40" s="318" t="s">
        <v>657</v>
      </c>
      <c r="E40" s="311"/>
      <c r="F40" s="144" t="s">
        <v>569</v>
      </c>
      <c r="G40" s="52" t="s">
        <v>631</v>
      </c>
    </row>
    <row r="41" spans="1:9" x14ac:dyDescent="0.2">
      <c r="A41" s="313" t="s">
        <v>367</v>
      </c>
      <c r="B41" s="319" t="s">
        <v>566</v>
      </c>
      <c r="C41" s="311"/>
      <c r="D41" s="318" t="s">
        <v>636</v>
      </c>
      <c r="E41" s="311">
        <v>1</v>
      </c>
      <c r="F41" s="322" t="s">
        <v>565</v>
      </c>
      <c r="G41" s="52" t="s">
        <v>619</v>
      </c>
    </row>
    <row r="42" spans="1:9" s="528" customFormat="1" x14ac:dyDescent="0.2">
      <c r="A42" s="313"/>
      <c r="B42" s="526"/>
      <c r="C42" s="515"/>
      <c r="D42" s="524"/>
      <c r="E42" s="515"/>
      <c r="F42" s="531"/>
      <c r="G42" s="52"/>
      <c r="I42" s="313"/>
    </row>
    <row r="43" spans="1:9" s="528" customFormat="1" x14ac:dyDescent="0.2">
      <c r="A43" s="560" t="s">
        <v>837</v>
      </c>
      <c r="B43" s="526"/>
      <c r="C43" s="515"/>
      <c r="D43" s="524"/>
      <c r="E43" s="515"/>
      <c r="F43" s="531"/>
      <c r="G43" s="52"/>
      <c r="I43" s="313"/>
    </row>
    <row r="44" spans="1:9" s="528" customFormat="1" x14ac:dyDescent="0.2">
      <c r="A44" s="313"/>
      <c r="B44" s="526"/>
      <c r="C44" s="538" t="s">
        <v>337</v>
      </c>
      <c r="D44" s="539" t="s">
        <v>336</v>
      </c>
      <c r="E44" s="538" t="s">
        <v>338</v>
      </c>
      <c r="F44" s="531"/>
      <c r="G44" s="52"/>
      <c r="I44" s="313"/>
    </row>
    <row r="45" spans="1:9" s="528" customFormat="1" x14ac:dyDescent="0.2">
      <c r="A45" s="313"/>
      <c r="B45" s="518"/>
      <c r="C45" s="564" t="s">
        <v>834</v>
      </c>
      <c r="D45" s="535" t="s">
        <v>841</v>
      </c>
      <c r="E45" s="534" t="s">
        <v>835</v>
      </c>
      <c r="F45" s="313"/>
      <c r="G45" s="52"/>
      <c r="I45" s="313"/>
    </row>
    <row r="46" spans="1:9" s="528" customFormat="1" ht="13.5" thickBot="1" x14ac:dyDescent="0.25">
      <c r="A46" s="313">
        <v>1</v>
      </c>
      <c r="B46" s="516" t="s">
        <v>549</v>
      </c>
      <c r="C46" s="568">
        <v>4</v>
      </c>
      <c r="D46" s="537">
        <v>9</v>
      </c>
      <c r="E46" s="561">
        <v>21</v>
      </c>
      <c r="F46" s="573" t="s">
        <v>860</v>
      </c>
      <c r="G46" s="52"/>
      <c r="I46" s="313"/>
    </row>
    <row r="47" spans="1:9" s="528" customFormat="1" x14ac:dyDescent="0.2">
      <c r="A47" s="313">
        <v>2</v>
      </c>
      <c r="B47" s="516" t="s">
        <v>567</v>
      </c>
      <c r="C47" s="563">
        <v>3</v>
      </c>
      <c r="D47" s="558">
        <v>10</v>
      </c>
      <c r="E47" s="559">
        <v>18</v>
      </c>
      <c r="F47" s="573" t="s">
        <v>861</v>
      </c>
      <c r="G47" s="52"/>
      <c r="I47" s="313"/>
    </row>
    <row r="48" spans="1:9" s="528" customFormat="1" x14ac:dyDescent="0.2">
      <c r="A48" s="313">
        <v>3</v>
      </c>
      <c r="B48" s="516" t="s">
        <v>565</v>
      </c>
      <c r="C48" s="561">
        <v>3</v>
      </c>
      <c r="D48" s="558">
        <v>10</v>
      </c>
      <c r="E48" s="559">
        <v>-4</v>
      </c>
      <c r="F48" s="573" t="s">
        <v>862</v>
      </c>
      <c r="G48" s="52"/>
      <c r="I48" s="313"/>
    </row>
    <row r="49" spans="1:9" s="528" customFormat="1" x14ac:dyDescent="0.2">
      <c r="A49" s="313">
        <v>4</v>
      </c>
      <c r="B49" s="516" t="s">
        <v>564</v>
      </c>
      <c r="C49" s="561">
        <v>3</v>
      </c>
      <c r="D49" s="537">
        <v>9</v>
      </c>
      <c r="E49" s="574">
        <v>6</v>
      </c>
      <c r="F49" s="573" t="s">
        <v>863</v>
      </c>
      <c r="G49" s="52"/>
      <c r="I49" s="313"/>
    </row>
    <row r="50" spans="1:9" s="528" customFormat="1" ht="13.5" thickBot="1" x14ac:dyDescent="0.25">
      <c r="A50" s="313">
        <v>5</v>
      </c>
      <c r="B50" s="516" t="s">
        <v>400</v>
      </c>
      <c r="C50" s="562">
        <v>3</v>
      </c>
      <c r="D50" s="537">
        <v>8</v>
      </c>
      <c r="E50" s="561">
        <v>15</v>
      </c>
      <c r="F50" s="573" t="s">
        <v>864</v>
      </c>
      <c r="G50" s="52"/>
      <c r="I50" s="313"/>
    </row>
    <row r="51" spans="1:9" s="528" customFormat="1" x14ac:dyDescent="0.2">
      <c r="A51" s="313">
        <v>6</v>
      </c>
      <c r="B51" s="368" t="s">
        <v>566</v>
      </c>
      <c r="C51" s="563">
        <v>2</v>
      </c>
      <c r="D51" s="537">
        <v>9</v>
      </c>
      <c r="E51" s="561">
        <v>7</v>
      </c>
      <c r="F51" s="573" t="s">
        <v>865</v>
      </c>
      <c r="G51" s="52"/>
      <c r="I51" s="313"/>
    </row>
    <row r="52" spans="1:9" s="528" customFormat="1" x14ac:dyDescent="0.2">
      <c r="A52" s="313">
        <v>7</v>
      </c>
      <c r="B52" s="516" t="s">
        <v>385</v>
      </c>
      <c r="C52" s="561">
        <v>2</v>
      </c>
      <c r="D52" s="545">
        <v>8</v>
      </c>
      <c r="E52" s="546">
        <v>5</v>
      </c>
      <c r="F52" s="573" t="s">
        <v>867</v>
      </c>
      <c r="G52" s="52"/>
      <c r="I52" s="313"/>
    </row>
    <row r="53" spans="1:9" s="528" customFormat="1" x14ac:dyDescent="0.2">
      <c r="A53" s="313">
        <v>8</v>
      </c>
      <c r="B53" s="516" t="s">
        <v>563</v>
      </c>
      <c r="C53" s="561">
        <v>2</v>
      </c>
      <c r="D53" s="545">
        <v>8</v>
      </c>
      <c r="E53" s="546">
        <v>0</v>
      </c>
      <c r="F53" s="573" t="s">
        <v>868</v>
      </c>
      <c r="G53" s="52"/>
      <c r="I53" s="313"/>
    </row>
    <row r="54" spans="1:9" s="528" customFormat="1" x14ac:dyDescent="0.2">
      <c r="A54" s="550"/>
      <c r="B54" s="569"/>
      <c r="C54" s="570"/>
      <c r="D54" s="571"/>
      <c r="E54" s="570"/>
      <c r="F54" s="279"/>
      <c r="G54" s="52"/>
      <c r="I54" s="313"/>
    </row>
    <row r="55" spans="1:9" s="528" customFormat="1" x14ac:dyDescent="0.2">
      <c r="A55" s="313">
        <v>9</v>
      </c>
      <c r="B55" s="516" t="s">
        <v>568</v>
      </c>
      <c r="C55" s="561">
        <v>2</v>
      </c>
      <c r="D55" s="545">
        <v>8</v>
      </c>
      <c r="E55" s="546">
        <v>-3</v>
      </c>
      <c r="F55" s="573" t="s">
        <v>848</v>
      </c>
      <c r="G55" s="52"/>
      <c r="I55" s="313"/>
    </row>
    <row r="56" spans="1:9" s="528" customFormat="1" x14ac:dyDescent="0.2">
      <c r="A56" s="313">
        <v>10</v>
      </c>
      <c r="B56" s="516" t="s">
        <v>572</v>
      </c>
      <c r="C56" s="561">
        <v>2</v>
      </c>
      <c r="D56" s="537">
        <v>7</v>
      </c>
      <c r="E56" s="561">
        <v>8</v>
      </c>
      <c r="F56" s="573" t="s">
        <v>869</v>
      </c>
      <c r="G56" s="52"/>
      <c r="I56" s="313"/>
    </row>
    <row r="57" spans="1:9" s="528" customFormat="1" ht="13.5" thickBot="1" x14ac:dyDescent="0.25">
      <c r="A57" s="313">
        <v>11</v>
      </c>
      <c r="B57" s="518" t="s">
        <v>570</v>
      </c>
      <c r="C57" s="562">
        <v>2</v>
      </c>
      <c r="D57" s="537">
        <v>5</v>
      </c>
      <c r="E57" s="561">
        <v>14</v>
      </c>
      <c r="F57" s="573" t="s">
        <v>845</v>
      </c>
      <c r="G57" s="52"/>
      <c r="I57" s="313"/>
    </row>
    <row r="58" spans="1:9" s="528" customFormat="1" x14ac:dyDescent="0.2">
      <c r="A58" s="313">
        <v>12</v>
      </c>
      <c r="B58" s="516" t="s">
        <v>381</v>
      </c>
      <c r="C58" s="563">
        <v>1</v>
      </c>
      <c r="D58" s="537">
        <v>10</v>
      </c>
      <c r="E58" s="561">
        <v>-8</v>
      </c>
      <c r="F58" s="573" t="s">
        <v>870</v>
      </c>
      <c r="G58" s="52"/>
      <c r="I58" s="313"/>
    </row>
    <row r="59" spans="1:9" s="528" customFormat="1" x14ac:dyDescent="0.2">
      <c r="A59" s="313">
        <v>13</v>
      </c>
      <c r="B59" s="427" t="s">
        <v>569</v>
      </c>
      <c r="C59" s="561">
        <v>1</v>
      </c>
      <c r="D59" s="537">
        <v>8</v>
      </c>
      <c r="E59" s="561">
        <v>-10</v>
      </c>
      <c r="F59" s="573" t="s">
        <v>871</v>
      </c>
      <c r="G59" s="52"/>
      <c r="I59" s="313"/>
    </row>
    <row r="60" spans="1:9" s="528" customFormat="1" x14ac:dyDescent="0.2">
      <c r="A60" s="313">
        <v>14</v>
      </c>
      <c r="B60" s="516" t="s">
        <v>571</v>
      </c>
      <c r="C60" s="561">
        <v>1</v>
      </c>
      <c r="D60" s="537">
        <v>7</v>
      </c>
      <c r="E60" s="561">
        <v>-22</v>
      </c>
      <c r="F60" s="573" t="s">
        <v>872</v>
      </c>
      <c r="G60" s="52"/>
      <c r="I60" s="313"/>
    </row>
    <row r="61" spans="1:9" s="528" customFormat="1" ht="13.5" thickBot="1" x14ac:dyDescent="0.25">
      <c r="A61" s="313">
        <v>15</v>
      </c>
      <c r="B61" s="518" t="s">
        <v>573</v>
      </c>
      <c r="C61" s="562">
        <v>1</v>
      </c>
      <c r="D61" s="537">
        <v>6</v>
      </c>
      <c r="E61" s="561">
        <v>-13</v>
      </c>
      <c r="F61" s="573" t="s">
        <v>873</v>
      </c>
      <c r="G61" s="52"/>
      <c r="I61" s="313"/>
    </row>
    <row r="62" spans="1:9" s="528" customFormat="1" x14ac:dyDescent="0.2">
      <c r="A62" s="313">
        <v>16</v>
      </c>
      <c r="B62" s="516" t="s">
        <v>379</v>
      </c>
      <c r="C62" s="563">
        <v>0</v>
      </c>
      <c r="D62" s="537">
        <v>6</v>
      </c>
      <c r="E62" s="574">
        <v>-31</v>
      </c>
      <c r="F62" s="573" t="s">
        <v>866</v>
      </c>
      <c r="G62" s="52"/>
      <c r="I62" s="313"/>
    </row>
    <row r="64" spans="1:9" x14ac:dyDescent="0.2">
      <c r="A64" s="119" t="s">
        <v>376</v>
      </c>
      <c r="B64" s="239"/>
      <c r="C64" s="239"/>
      <c r="D64" s="239"/>
      <c r="E64" s="239"/>
      <c r="F64" s="239"/>
      <c r="G64" s="239"/>
      <c r="H64" s="239"/>
    </row>
    <row r="65" spans="1:9" x14ac:dyDescent="0.2">
      <c r="A65" s="119"/>
      <c r="B65" s="239"/>
      <c r="C65" s="239"/>
      <c r="D65" s="239"/>
      <c r="E65" s="239"/>
      <c r="F65" s="239"/>
      <c r="G65" s="239"/>
      <c r="H65" s="239"/>
    </row>
    <row r="66" spans="1:9" x14ac:dyDescent="0.2">
      <c r="A66" s="120">
        <v>1</v>
      </c>
      <c r="B66" s="344" t="s">
        <v>663</v>
      </c>
      <c r="C66" s="121">
        <v>13</v>
      </c>
      <c r="D66" s="316"/>
      <c r="E66" s="316"/>
      <c r="F66" s="316"/>
      <c r="G66" s="239"/>
      <c r="H66" s="239"/>
    </row>
    <row r="67" spans="1:9" x14ac:dyDescent="0.2">
      <c r="A67" s="316"/>
      <c r="B67" s="122"/>
      <c r="C67" s="341" t="s">
        <v>665</v>
      </c>
      <c r="D67" s="282"/>
      <c r="E67" s="316"/>
      <c r="F67" s="121">
        <v>13</v>
      </c>
      <c r="G67" s="239"/>
      <c r="H67" s="239"/>
    </row>
    <row r="68" spans="1:9" x14ac:dyDescent="0.2">
      <c r="A68" s="120">
        <v>8</v>
      </c>
      <c r="B68" s="312" t="s">
        <v>563</v>
      </c>
      <c r="C68" s="131">
        <v>4</v>
      </c>
      <c r="D68" s="239"/>
      <c r="E68" s="123"/>
      <c r="F68" s="239"/>
      <c r="G68" s="239"/>
      <c r="H68" s="239"/>
    </row>
    <row r="69" spans="1:9" x14ac:dyDescent="0.2">
      <c r="A69" s="239"/>
      <c r="B69" s="239"/>
      <c r="C69" s="239"/>
      <c r="D69" s="124"/>
      <c r="E69" s="125"/>
      <c r="F69" s="239" t="s">
        <v>549</v>
      </c>
      <c r="G69" s="121">
        <v>12</v>
      </c>
      <c r="H69" s="239"/>
    </row>
    <row r="70" spans="1:9" x14ac:dyDescent="0.2">
      <c r="A70" s="120">
        <v>4</v>
      </c>
      <c r="B70" s="315" t="s">
        <v>564</v>
      </c>
      <c r="C70" s="126">
        <v>10</v>
      </c>
      <c r="D70" s="239"/>
      <c r="E70" s="125"/>
      <c r="F70" s="123"/>
      <c r="G70" s="239"/>
      <c r="H70" s="239"/>
    </row>
    <row r="71" spans="1:9" x14ac:dyDescent="0.2">
      <c r="A71" s="239"/>
      <c r="B71" s="123"/>
      <c r="C71" t="s">
        <v>400</v>
      </c>
      <c r="D71" s="239"/>
      <c r="E71" s="127"/>
      <c r="F71" s="324">
        <v>3</v>
      </c>
      <c r="G71" s="239"/>
      <c r="H71" s="239"/>
    </row>
    <row r="72" spans="1:9" x14ac:dyDescent="0.2">
      <c r="A72" s="120">
        <v>5</v>
      </c>
      <c r="B72" s="312" t="s">
        <v>400</v>
      </c>
      <c r="C72" s="283">
        <v>13</v>
      </c>
      <c r="D72" s="122"/>
      <c r="E72" s="239"/>
      <c r="F72" s="125"/>
      <c r="G72" s="239"/>
      <c r="H72" s="239"/>
    </row>
    <row r="73" spans="1:9" ht="13.5" thickBot="1" x14ac:dyDescent="0.25">
      <c r="A73" s="239"/>
      <c r="B73" s="239"/>
      <c r="C73" s="239"/>
      <c r="D73" s="239"/>
      <c r="E73" s="239"/>
      <c r="F73" s="125"/>
      <c r="G73" s="239"/>
      <c r="H73" s="317" t="s">
        <v>565</v>
      </c>
    </row>
    <row r="74" spans="1:9" x14ac:dyDescent="0.2">
      <c r="A74" s="120">
        <v>3</v>
      </c>
      <c r="B74" s="281" t="s">
        <v>565</v>
      </c>
      <c r="C74" s="121">
        <v>13</v>
      </c>
      <c r="D74" s="239"/>
      <c r="E74" s="239"/>
      <c r="F74" s="125"/>
      <c r="G74" s="130"/>
      <c r="H74" s="129" t="s">
        <v>357</v>
      </c>
      <c r="I74" s="328"/>
    </row>
    <row r="75" spans="1:9" x14ac:dyDescent="0.2">
      <c r="A75" s="239"/>
      <c r="B75" s="122"/>
      <c r="C75" s="151" t="s">
        <v>565</v>
      </c>
      <c r="D75" s="248"/>
      <c r="E75" s="239"/>
      <c r="F75" s="324">
        <v>13</v>
      </c>
      <c r="G75" s="239"/>
      <c r="H75" s="239"/>
      <c r="I75" s="329"/>
    </row>
    <row r="76" spans="1:9" ht="13.5" thickBot="1" x14ac:dyDescent="0.25">
      <c r="A76" s="120">
        <v>6</v>
      </c>
      <c r="B76" s="282" t="s">
        <v>566</v>
      </c>
      <c r="C76" s="131">
        <v>7</v>
      </c>
      <c r="D76" s="239"/>
      <c r="E76" s="123"/>
      <c r="F76" s="125"/>
      <c r="G76" s="239"/>
      <c r="H76" s="247" t="s">
        <v>549</v>
      </c>
      <c r="I76" s="275"/>
    </row>
    <row r="77" spans="1:9" x14ac:dyDescent="0.2">
      <c r="A77" s="239"/>
      <c r="B77" s="239"/>
      <c r="C77" s="239"/>
      <c r="D77" s="124"/>
      <c r="E77" s="125"/>
      <c r="F77" s="127" t="s">
        <v>565</v>
      </c>
      <c r="G77" s="121">
        <v>13</v>
      </c>
      <c r="H77" s="129" t="s">
        <v>359</v>
      </c>
    </row>
    <row r="78" spans="1:9" x14ac:dyDescent="0.2">
      <c r="A78" s="120">
        <v>2</v>
      </c>
      <c r="B78" s="316" t="s">
        <v>567</v>
      </c>
      <c r="C78" s="126">
        <v>9</v>
      </c>
      <c r="D78" s="239"/>
      <c r="E78" s="125"/>
      <c r="F78" s="239"/>
      <c r="G78" s="239"/>
      <c r="H78" s="239"/>
    </row>
    <row r="79" spans="1:9" x14ac:dyDescent="0.2">
      <c r="A79" s="239"/>
      <c r="B79" s="122"/>
      <c r="C79" s="148" t="s">
        <v>385</v>
      </c>
      <c r="D79" s="239"/>
      <c r="E79" s="127"/>
      <c r="F79" s="121">
        <v>6</v>
      </c>
      <c r="G79" s="239"/>
      <c r="H79" s="239"/>
    </row>
    <row r="80" spans="1:9" x14ac:dyDescent="0.2">
      <c r="A80" s="120">
        <v>7</v>
      </c>
      <c r="B80" s="282" t="s">
        <v>385</v>
      </c>
      <c r="C80" s="132">
        <v>13</v>
      </c>
      <c r="D80" s="122"/>
      <c r="E80" s="239"/>
      <c r="F80" s="239"/>
      <c r="G80" s="239"/>
      <c r="H80" s="239"/>
    </row>
    <row r="81" spans="1:9" x14ac:dyDescent="0.2">
      <c r="A81" s="239"/>
      <c r="B81" s="239"/>
      <c r="C81" s="239"/>
      <c r="D81" s="239"/>
      <c r="E81" s="239"/>
      <c r="F81" t="s">
        <v>400</v>
      </c>
      <c r="G81" s="126">
        <v>9</v>
      </c>
      <c r="H81" s="124"/>
    </row>
    <row r="82" spans="1:9" ht="13.5" thickBot="1" x14ac:dyDescent="0.25">
      <c r="A82" s="239"/>
      <c r="B82" s="239"/>
      <c r="C82" s="239"/>
      <c r="D82" s="239"/>
      <c r="E82" s="239"/>
      <c r="F82" s="123"/>
      <c r="G82" s="247"/>
      <c r="H82" s="240" t="s">
        <v>385</v>
      </c>
    </row>
    <row r="83" spans="1:9" x14ac:dyDescent="0.2">
      <c r="A83" s="239"/>
      <c r="B83" s="239"/>
      <c r="C83" s="239"/>
      <c r="D83" s="239"/>
      <c r="E83" s="239"/>
      <c r="F83" s="127" t="s">
        <v>385</v>
      </c>
      <c r="G83" s="121">
        <v>13</v>
      </c>
      <c r="H83" s="129" t="s">
        <v>361</v>
      </c>
      <c r="I83" s="328"/>
    </row>
    <row r="84" spans="1:9" x14ac:dyDescent="0.2">
      <c r="A84" s="239"/>
      <c r="B84" s="239"/>
      <c r="C84" s="239"/>
      <c r="D84" s="239"/>
      <c r="E84" s="239"/>
      <c r="F84" s="239"/>
      <c r="G84" s="239"/>
      <c r="H84" s="124"/>
      <c r="I84" s="329"/>
    </row>
    <row r="85" spans="1:9" ht="13.5" thickBot="1" x14ac:dyDescent="0.25">
      <c r="A85" s="239"/>
      <c r="B85" s="239"/>
      <c r="C85" s="239"/>
      <c r="D85" s="239"/>
      <c r="E85" s="239"/>
      <c r="F85" s="239"/>
      <c r="G85" s="239"/>
      <c r="H85" s="240" t="s">
        <v>400</v>
      </c>
      <c r="I85" s="275"/>
    </row>
    <row r="86" spans="1:9" x14ac:dyDescent="0.2">
      <c r="A86" s="239"/>
      <c r="B86" s="239"/>
      <c r="C86" s="239" t="s">
        <v>563</v>
      </c>
      <c r="D86" s="239"/>
      <c r="E86" s="239"/>
      <c r="F86" s="121">
        <v>11</v>
      </c>
      <c r="G86" s="239"/>
      <c r="H86" s="129" t="s">
        <v>362</v>
      </c>
    </row>
    <row r="87" spans="1:9" x14ac:dyDescent="0.2">
      <c r="A87" s="239"/>
      <c r="B87" s="239"/>
      <c r="C87" s="122"/>
      <c r="D87" s="122"/>
      <c r="E87" s="123"/>
      <c r="F87" s="151" t="s">
        <v>564</v>
      </c>
      <c r="G87" s="121">
        <v>13</v>
      </c>
      <c r="H87" s="239"/>
    </row>
    <row r="88" spans="1:9" x14ac:dyDescent="0.2">
      <c r="A88" s="239"/>
      <c r="B88" s="239"/>
      <c r="C88" s="248" t="s">
        <v>564</v>
      </c>
      <c r="D88" s="248"/>
      <c r="E88" s="127"/>
      <c r="F88" s="325">
        <v>13</v>
      </c>
      <c r="G88" s="239"/>
      <c r="H88" s="239"/>
    </row>
    <row r="89" spans="1:9" ht="13.5" thickBot="1" x14ac:dyDescent="0.25">
      <c r="A89" s="239"/>
      <c r="B89" s="239"/>
      <c r="C89" s="239"/>
      <c r="D89" s="239"/>
      <c r="E89" s="239"/>
      <c r="F89" s="125"/>
      <c r="G89" s="239"/>
      <c r="H89" s="239" t="s">
        <v>564</v>
      </c>
    </row>
    <row r="90" spans="1:9" x14ac:dyDescent="0.2">
      <c r="A90" s="239"/>
      <c r="B90" s="239"/>
      <c r="C90" s="239" t="s">
        <v>566</v>
      </c>
      <c r="D90" s="239"/>
      <c r="E90" s="239"/>
      <c r="F90" s="324">
        <v>9</v>
      </c>
      <c r="G90" s="130"/>
      <c r="H90" s="129" t="s">
        <v>363</v>
      </c>
      <c r="I90" s="328"/>
    </row>
    <row r="91" spans="1:9" x14ac:dyDescent="0.2">
      <c r="A91" s="239"/>
      <c r="B91" s="239"/>
      <c r="C91" s="122"/>
      <c r="D91" s="122"/>
      <c r="E91" s="123"/>
      <c r="F91" s="326" t="s">
        <v>567</v>
      </c>
      <c r="G91" s="126">
        <v>5</v>
      </c>
      <c r="H91" s="239"/>
      <c r="I91" s="329"/>
    </row>
    <row r="92" spans="1:9" ht="13.5" thickBot="1" x14ac:dyDescent="0.25">
      <c r="A92" s="239"/>
      <c r="B92" s="239"/>
      <c r="C92" s="248" t="s">
        <v>567</v>
      </c>
      <c r="D92" s="248"/>
      <c r="E92" s="127"/>
      <c r="F92" s="132">
        <v>13</v>
      </c>
      <c r="G92" s="124"/>
      <c r="H92" s="124" t="s">
        <v>567</v>
      </c>
      <c r="I92" s="275"/>
    </row>
    <row r="93" spans="1:9" ht="13.5" customHeight="1" x14ac:dyDescent="0.2">
      <c r="A93" s="239"/>
      <c r="B93" s="239"/>
      <c r="C93" s="239"/>
      <c r="D93" s="239"/>
      <c r="E93" s="239"/>
      <c r="F93" s="239"/>
      <c r="G93" s="124"/>
      <c r="H93" s="129" t="s">
        <v>364</v>
      </c>
    </row>
    <row r="94" spans="1:9" ht="13.5" customHeight="1" x14ac:dyDescent="0.2">
      <c r="A94" s="239"/>
      <c r="B94" s="239"/>
      <c r="C94" s="239"/>
      <c r="D94" s="239"/>
      <c r="E94" s="239"/>
      <c r="F94" s="239" t="s">
        <v>563</v>
      </c>
      <c r="G94" s="126">
        <v>11</v>
      </c>
      <c r="H94" s="124"/>
    </row>
    <row r="95" spans="1:9" ht="13.5" thickBot="1" x14ac:dyDescent="0.25">
      <c r="A95" s="239"/>
      <c r="B95" s="239"/>
      <c r="C95" s="239"/>
      <c r="D95" s="239"/>
      <c r="E95" s="239"/>
      <c r="F95" s="123"/>
      <c r="G95" s="247"/>
      <c r="H95" s="247" t="s">
        <v>566</v>
      </c>
    </row>
    <row r="96" spans="1:9" x14ac:dyDescent="0.2">
      <c r="A96" s="239"/>
      <c r="B96" s="239"/>
      <c r="C96" s="239"/>
      <c r="D96" s="239"/>
      <c r="E96" s="239"/>
      <c r="F96" s="327" t="s">
        <v>566</v>
      </c>
      <c r="G96" s="121">
        <v>13</v>
      </c>
      <c r="H96" s="133" t="s">
        <v>369</v>
      </c>
      <c r="I96" s="328"/>
    </row>
    <row r="97" spans="1:9" x14ac:dyDescent="0.2">
      <c r="A97" s="239"/>
      <c r="B97" s="239"/>
      <c r="C97" s="239"/>
      <c r="D97" s="239"/>
      <c r="E97" s="239"/>
      <c r="F97" s="239"/>
      <c r="G97" s="239"/>
      <c r="H97" s="124"/>
      <c r="I97" s="329"/>
    </row>
    <row r="98" spans="1:9" ht="13.5" thickBot="1" x14ac:dyDescent="0.25">
      <c r="A98" s="239"/>
      <c r="B98" s="239"/>
      <c r="C98" s="239"/>
      <c r="D98" s="239"/>
      <c r="E98" s="239"/>
      <c r="F98" s="239"/>
      <c r="G98" s="239"/>
      <c r="H98" s="247" t="s">
        <v>563</v>
      </c>
      <c r="I98" s="275"/>
    </row>
    <row r="99" spans="1:9" x14ac:dyDescent="0.2">
      <c r="A99" s="239"/>
      <c r="B99" s="239"/>
      <c r="C99" s="239"/>
      <c r="D99" s="239"/>
      <c r="E99" s="239"/>
      <c r="F99" s="239"/>
      <c r="G99" s="239"/>
      <c r="H99" s="120" t="s">
        <v>370</v>
      </c>
    </row>
    <row r="100" spans="1:9" x14ac:dyDescent="0.2">
      <c r="A100" s="239"/>
      <c r="B100" s="239"/>
      <c r="C100" s="239"/>
      <c r="D100" s="239"/>
      <c r="E100" s="239"/>
      <c r="F100" s="239"/>
      <c r="G100" s="239"/>
      <c r="H100" s="120"/>
    </row>
    <row r="101" spans="1:9" x14ac:dyDescent="0.2">
      <c r="A101" s="119" t="s">
        <v>449</v>
      </c>
      <c r="B101" s="239"/>
      <c r="C101" s="239"/>
      <c r="D101" s="239"/>
      <c r="E101" s="239"/>
      <c r="F101" s="239"/>
      <c r="G101" s="239"/>
      <c r="H101" s="239"/>
    </row>
    <row r="102" spans="1:9" x14ac:dyDescent="0.2">
      <c r="A102" s="119"/>
      <c r="B102" s="239"/>
      <c r="C102" s="239"/>
      <c r="D102" s="239"/>
      <c r="E102" s="239"/>
      <c r="F102" s="239"/>
      <c r="G102" s="239"/>
      <c r="H102" s="239"/>
    </row>
    <row r="103" spans="1:9" x14ac:dyDescent="0.2">
      <c r="A103" s="120">
        <v>9</v>
      </c>
      <c r="B103" s="281" t="s">
        <v>568</v>
      </c>
      <c r="C103" s="121">
        <v>8</v>
      </c>
      <c r="D103" s="239"/>
      <c r="E103" s="239"/>
      <c r="F103" s="239"/>
      <c r="G103" s="239"/>
      <c r="H103" s="239"/>
    </row>
    <row r="104" spans="1:9" x14ac:dyDescent="0.2">
      <c r="A104" s="239"/>
      <c r="B104" s="122"/>
      <c r="C104" s="151" t="s">
        <v>379</v>
      </c>
      <c r="D104" s="248"/>
      <c r="E104" s="239"/>
      <c r="F104" s="121">
        <v>13</v>
      </c>
      <c r="G104" s="239"/>
      <c r="H104" s="239"/>
    </row>
    <row r="105" spans="1:9" x14ac:dyDescent="0.2">
      <c r="A105" s="120">
        <v>16</v>
      </c>
      <c r="B105" s="258" t="s">
        <v>379</v>
      </c>
      <c r="C105" s="131">
        <v>13</v>
      </c>
      <c r="D105" s="239"/>
      <c r="E105" s="123"/>
      <c r="F105" s="239"/>
      <c r="G105" s="239"/>
      <c r="H105" s="239"/>
    </row>
    <row r="106" spans="1:9" x14ac:dyDescent="0.2">
      <c r="A106" s="239"/>
      <c r="B106" s="239"/>
      <c r="C106" s="239"/>
      <c r="D106" s="124"/>
      <c r="E106" s="125"/>
      <c r="F106" s="239" t="s">
        <v>379</v>
      </c>
      <c r="G106" s="121">
        <v>11</v>
      </c>
      <c r="H106" s="239"/>
    </row>
    <row r="107" spans="1:9" x14ac:dyDescent="0.2">
      <c r="A107" s="120">
        <v>12</v>
      </c>
      <c r="B107" s="315" t="s">
        <v>381</v>
      </c>
      <c r="C107" s="126">
        <v>9</v>
      </c>
      <c r="D107" s="239"/>
      <c r="E107" s="125"/>
      <c r="F107" s="123"/>
      <c r="G107" s="239"/>
      <c r="H107" s="239"/>
    </row>
    <row r="108" spans="1:9" x14ac:dyDescent="0.2">
      <c r="A108" s="239"/>
      <c r="B108" s="122"/>
      <c r="C108" s="148" t="s">
        <v>569</v>
      </c>
      <c r="D108" s="239"/>
      <c r="E108" s="127"/>
      <c r="F108" s="324">
        <v>11</v>
      </c>
      <c r="G108" s="239"/>
      <c r="H108" s="239"/>
    </row>
    <row r="109" spans="1:9" x14ac:dyDescent="0.2">
      <c r="A109" s="120">
        <v>13</v>
      </c>
      <c r="B109" s="258" t="s">
        <v>569</v>
      </c>
      <c r="C109" s="132">
        <v>13</v>
      </c>
      <c r="D109" s="122"/>
      <c r="E109" s="239"/>
      <c r="F109" s="125"/>
      <c r="G109" s="239"/>
      <c r="H109" s="239"/>
    </row>
    <row r="110" spans="1:9" ht="13.5" thickBot="1" x14ac:dyDescent="0.25">
      <c r="A110" s="239"/>
      <c r="B110" s="239"/>
      <c r="C110" s="239"/>
      <c r="D110" s="239"/>
      <c r="E110" s="239"/>
      <c r="F110" s="125"/>
      <c r="G110" s="239"/>
      <c r="H110" s="239" t="s">
        <v>570</v>
      </c>
    </row>
    <row r="111" spans="1:9" x14ac:dyDescent="0.2">
      <c r="A111" s="120">
        <v>11</v>
      </c>
      <c r="B111" s="281" t="s">
        <v>570</v>
      </c>
      <c r="C111" s="121">
        <v>13</v>
      </c>
      <c r="D111" s="239"/>
      <c r="E111" s="239"/>
      <c r="F111" s="125"/>
      <c r="G111" s="130"/>
      <c r="H111" s="129" t="s">
        <v>374</v>
      </c>
      <c r="I111" s="328"/>
    </row>
    <row r="112" spans="1:9" x14ac:dyDescent="0.2">
      <c r="A112" s="239"/>
      <c r="B112" s="122"/>
      <c r="C112" s="151" t="s">
        <v>570</v>
      </c>
      <c r="D112" s="248"/>
      <c r="E112" s="239"/>
      <c r="F112" s="324">
        <v>13</v>
      </c>
      <c r="G112" s="239"/>
      <c r="H112" s="239"/>
      <c r="I112" s="329"/>
    </row>
    <row r="113" spans="1:9" ht="13.5" thickBot="1" x14ac:dyDescent="0.25">
      <c r="A113" s="120">
        <v>14</v>
      </c>
      <c r="B113" s="282" t="s">
        <v>571</v>
      </c>
      <c r="C113" s="131">
        <v>8</v>
      </c>
      <c r="D113" s="239"/>
      <c r="E113" s="123"/>
      <c r="F113" s="125"/>
      <c r="G113" s="239"/>
      <c r="H113" s="247" t="s">
        <v>379</v>
      </c>
      <c r="I113" s="275"/>
    </row>
    <row r="114" spans="1:9" x14ac:dyDescent="0.2">
      <c r="A114" s="239"/>
      <c r="B114" s="239"/>
      <c r="C114" s="239"/>
      <c r="D114" s="124"/>
      <c r="E114" s="125"/>
      <c r="F114" s="127" t="s">
        <v>570</v>
      </c>
      <c r="G114" s="121">
        <v>13</v>
      </c>
      <c r="H114" s="129" t="s">
        <v>390</v>
      </c>
    </row>
    <row r="115" spans="1:9" x14ac:dyDescent="0.2">
      <c r="A115" s="120">
        <v>10</v>
      </c>
      <c r="B115" s="281" t="s">
        <v>572</v>
      </c>
      <c r="C115" s="126">
        <v>4</v>
      </c>
      <c r="D115" s="239"/>
      <c r="E115" s="125"/>
      <c r="F115" s="239"/>
      <c r="G115" s="239"/>
      <c r="H115" s="239"/>
    </row>
    <row r="116" spans="1:9" x14ac:dyDescent="0.2">
      <c r="A116" s="239"/>
      <c r="B116" s="122"/>
      <c r="C116" s="148" t="s">
        <v>573</v>
      </c>
      <c r="D116" s="239"/>
      <c r="E116" s="127"/>
      <c r="F116" s="121">
        <v>7</v>
      </c>
      <c r="G116" s="239"/>
      <c r="H116" s="239"/>
    </row>
    <row r="117" spans="1:9" x14ac:dyDescent="0.2">
      <c r="A117" s="120">
        <v>15</v>
      </c>
      <c r="B117" s="282" t="s">
        <v>573</v>
      </c>
      <c r="C117" s="132">
        <v>13</v>
      </c>
      <c r="D117" s="122"/>
      <c r="E117" s="239"/>
      <c r="F117" s="239"/>
      <c r="G117" s="239"/>
      <c r="H117" s="239"/>
    </row>
    <row r="118" spans="1:9" x14ac:dyDescent="0.2">
      <c r="A118" s="239"/>
      <c r="B118" s="239"/>
      <c r="C118" s="239"/>
      <c r="D118" s="239"/>
      <c r="E118" s="239"/>
      <c r="F118" s="239" t="s">
        <v>569</v>
      </c>
      <c r="G118" s="126">
        <v>13</v>
      </c>
      <c r="H118" s="124"/>
    </row>
    <row r="119" spans="1:9" ht="13.5" thickBot="1" x14ac:dyDescent="0.25">
      <c r="A119" s="239"/>
      <c r="B119" s="239"/>
      <c r="C119" s="239"/>
      <c r="D119" s="239"/>
      <c r="E119" s="239"/>
      <c r="F119" s="123"/>
      <c r="G119" s="247"/>
      <c r="H119" s="247" t="s">
        <v>569</v>
      </c>
    </row>
    <row r="120" spans="1:9" x14ac:dyDescent="0.2">
      <c r="A120" s="239"/>
      <c r="B120" s="239"/>
      <c r="C120" s="239"/>
      <c r="D120" s="239"/>
      <c r="E120" s="239"/>
      <c r="F120" s="127" t="s">
        <v>573</v>
      </c>
      <c r="G120" s="121">
        <v>7</v>
      </c>
      <c r="H120" s="133" t="s">
        <v>391</v>
      </c>
      <c r="I120" s="328"/>
    </row>
    <row r="121" spans="1:9" x14ac:dyDescent="0.2">
      <c r="A121" s="239"/>
      <c r="B121" s="239"/>
      <c r="C121" s="239"/>
      <c r="D121" s="239"/>
      <c r="E121" s="239"/>
      <c r="F121" s="239"/>
      <c r="G121" s="239"/>
      <c r="H121" s="124"/>
      <c r="I121" s="329"/>
    </row>
    <row r="122" spans="1:9" ht="13.5" thickBot="1" x14ac:dyDescent="0.25">
      <c r="A122" s="239"/>
      <c r="B122" s="239"/>
      <c r="C122" s="239"/>
      <c r="D122" s="239"/>
      <c r="E122" s="239"/>
      <c r="F122" s="239"/>
      <c r="G122" s="239"/>
      <c r="H122" s="247" t="s">
        <v>573</v>
      </c>
      <c r="I122" s="275"/>
    </row>
    <row r="123" spans="1:9" x14ac:dyDescent="0.2">
      <c r="A123" s="239"/>
      <c r="B123" s="239"/>
      <c r="C123" s="239" t="s">
        <v>568</v>
      </c>
      <c r="D123" s="239"/>
      <c r="E123" s="239"/>
      <c r="F123" s="121">
        <v>13</v>
      </c>
      <c r="G123" s="239"/>
      <c r="H123" s="120" t="s">
        <v>392</v>
      </c>
    </row>
    <row r="124" spans="1:9" x14ac:dyDescent="0.2">
      <c r="A124" s="239"/>
      <c r="B124" s="239"/>
      <c r="C124" s="122"/>
      <c r="D124" s="122"/>
      <c r="E124" s="123"/>
      <c r="F124" s="151" t="s">
        <v>568</v>
      </c>
      <c r="G124" s="121">
        <v>6</v>
      </c>
      <c r="H124" s="239"/>
    </row>
    <row r="125" spans="1:9" x14ac:dyDescent="0.2">
      <c r="A125" s="239"/>
      <c r="B125" s="239"/>
      <c r="C125" s="248" t="s">
        <v>381</v>
      </c>
      <c r="D125" s="248"/>
      <c r="E125" s="127"/>
      <c r="F125" s="325">
        <v>9</v>
      </c>
      <c r="G125" s="239"/>
      <c r="H125" s="239"/>
    </row>
    <row r="126" spans="1:9" ht="13.5" thickBot="1" x14ac:dyDescent="0.25">
      <c r="A126" s="239"/>
      <c r="B126" s="239"/>
      <c r="C126" s="239"/>
      <c r="D126" s="239"/>
      <c r="E126" s="239"/>
      <c r="F126" s="125"/>
      <c r="G126" s="239"/>
      <c r="H126" s="239" t="s">
        <v>571</v>
      </c>
    </row>
    <row r="127" spans="1:9" x14ac:dyDescent="0.2">
      <c r="A127" s="239"/>
      <c r="B127" s="239"/>
      <c r="C127" s="239" t="s">
        <v>571</v>
      </c>
      <c r="D127" s="239"/>
      <c r="E127" s="239"/>
      <c r="F127" s="324">
        <v>13</v>
      </c>
      <c r="G127" s="130"/>
      <c r="H127" s="129" t="s">
        <v>393</v>
      </c>
      <c r="I127" s="328"/>
    </row>
    <row r="128" spans="1:9" x14ac:dyDescent="0.2">
      <c r="A128" s="239"/>
      <c r="B128" s="239"/>
      <c r="C128" s="122"/>
      <c r="D128" s="122"/>
      <c r="E128" s="123"/>
      <c r="F128" s="326" t="s">
        <v>571</v>
      </c>
      <c r="G128" s="126">
        <v>13</v>
      </c>
      <c r="H128" s="239"/>
      <c r="I128" s="329"/>
    </row>
    <row r="129" spans="1:9" ht="13.5" thickBot="1" x14ac:dyDescent="0.25">
      <c r="A129" s="239"/>
      <c r="B129" s="239"/>
      <c r="C129" s="248" t="s">
        <v>572</v>
      </c>
      <c r="D129" s="248"/>
      <c r="E129" s="127"/>
      <c r="F129" s="284">
        <v>11</v>
      </c>
      <c r="G129" s="124"/>
      <c r="H129" s="124" t="s">
        <v>568</v>
      </c>
      <c r="I129" s="275"/>
    </row>
    <row r="130" spans="1:9" x14ac:dyDescent="0.2">
      <c r="A130" s="239"/>
      <c r="B130" s="239"/>
      <c r="C130" s="239"/>
      <c r="D130" s="239"/>
      <c r="E130" s="239"/>
      <c r="F130" s="239"/>
      <c r="G130" s="124"/>
      <c r="H130" s="129" t="s">
        <v>394</v>
      </c>
    </row>
    <row r="131" spans="1:9" x14ac:dyDescent="0.2">
      <c r="A131" s="239"/>
      <c r="B131" s="239"/>
      <c r="C131" s="239"/>
      <c r="D131" s="239"/>
      <c r="E131" s="239"/>
      <c r="F131" s="239" t="s">
        <v>381</v>
      </c>
      <c r="G131" s="126">
        <v>13</v>
      </c>
      <c r="H131" s="124"/>
    </row>
    <row r="132" spans="1:9" ht="13.5" thickBot="1" x14ac:dyDescent="0.25">
      <c r="A132" s="239"/>
      <c r="B132" s="239"/>
      <c r="C132" s="239"/>
      <c r="D132" s="239"/>
      <c r="E132" s="239"/>
      <c r="F132" s="123"/>
      <c r="G132" s="247"/>
      <c r="H132" s="247" t="s">
        <v>381</v>
      </c>
    </row>
    <row r="133" spans="1:9" x14ac:dyDescent="0.2">
      <c r="A133" s="239"/>
      <c r="B133" s="239"/>
      <c r="C133" s="239"/>
      <c r="D133" s="239"/>
      <c r="E133" s="239"/>
      <c r="F133" s="127" t="s">
        <v>572</v>
      </c>
      <c r="G133" s="121">
        <v>8</v>
      </c>
      <c r="H133" s="133" t="s">
        <v>395</v>
      </c>
      <c r="I133" s="328"/>
    </row>
    <row r="134" spans="1:9" x14ac:dyDescent="0.2">
      <c r="A134" s="239"/>
      <c r="B134" s="239"/>
      <c r="C134" s="239"/>
      <c r="D134" s="239"/>
      <c r="E134" s="239"/>
      <c r="F134" s="239"/>
      <c r="G134" s="239"/>
      <c r="H134" s="124"/>
      <c r="I134" s="329"/>
    </row>
    <row r="135" spans="1:9" ht="13.5" thickBot="1" x14ac:dyDescent="0.25">
      <c r="A135" s="239"/>
      <c r="B135" s="239"/>
      <c r="C135" s="239"/>
      <c r="D135" s="239"/>
      <c r="E135" s="239"/>
      <c r="F135" s="239"/>
      <c r="G135" s="239"/>
      <c r="H135" s="247" t="s">
        <v>572</v>
      </c>
      <c r="I135" s="275"/>
    </row>
    <row r="136" spans="1:9" x14ac:dyDescent="0.2">
      <c r="A136" s="239"/>
      <c r="B136" s="239"/>
      <c r="C136" s="239"/>
      <c r="D136" s="239"/>
      <c r="E136" s="239"/>
      <c r="F136" s="239"/>
      <c r="G136" s="239"/>
      <c r="H136" s="120" t="s">
        <v>396</v>
      </c>
    </row>
    <row r="137" spans="1:9" x14ac:dyDescent="0.2">
      <c r="A137" s="239"/>
      <c r="B137" s="239"/>
      <c r="C137" s="239"/>
      <c r="D137" s="239"/>
      <c r="E137" s="239"/>
      <c r="F137" s="239"/>
      <c r="G137" s="239"/>
      <c r="H137" s="239"/>
    </row>
    <row r="138" spans="1:9" x14ac:dyDescent="0.2">
      <c r="A138" s="134">
        <v>1</v>
      </c>
      <c r="B138" s="135" t="s">
        <v>565</v>
      </c>
      <c r="C138" s="252"/>
      <c r="D138" s="252"/>
      <c r="E138" s="252"/>
      <c r="F138" s="252"/>
      <c r="G138" s="252"/>
      <c r="H138" s="252"/>
    </row>
    <row r="139" spans="1:9" x14ac:dyDescent="0.2">
      <c r="A139" s="134">
        <v>2</v>
      </c>
      <c r="B139" s="136" t="s">
        <v>549</v>
      </c>
      <c r="C139" s="252"/>
      <c r="D139" s="252"/>
      <c r="E139" s="252"/>
      <c r="F139" s="252"/>
      <c r="G139" s="252"/>
      <c r="H139" s="252"/>
    </row>
    <row r="140" spans="1:9" x14ac:dyDescent="0.2">
      <c r="A140" s="134">
        <v>3</v>
      </c>
      <c r="B140" s="307" t="s">
        <v>385</v>
      </c>
      <c r="C140" s="252"/>
      <c r="D140" s="252"/>
      <c r="E140" s="252"/>
      <c r="F140" s="252"/>
      <c r="G140" s="252"/>
      <c r="H140" s="252"/>
    </row>
    <row r="141" spans="1:9" x14ac:dyDescent="0.2">
      <c r="A141" s="134">
        <v>4</v>
      </c>
      <c r="B141" s="27" t="s">
        <v>400</v>
      </c>
      <c r="C141" s="252"/>
      <c r="D141" s="252"/>
      <c r="E141" s="252"/>
      <c r="F141" s="252"/>
      <c r="G141" s="252"/>
      <c r="H141" s="252"/>
    </row>
    <row r="142" spans="1:9" x14ac:dyDescent="0.2">
      <c r="A142" s="134">
        <v>5</v>
      </c>
      <c r="B142" s="137" t="s">
        <v>564</v>
      </c>
      <c r="C142" s="252"/>
      <c r="D142" s="252"/>
      <c r="E142" s="252"/>
      <c r="F142" s="252"/>
      <c r="G142" s="252"/>
      <c r="H142" s="252"/>
    </row>
    <row r="143" spans="1:9" x14ac:dyDescent="0.2">
      <c r="A143" s="134">
        <v>6</v>
      </c>
      <c r="B143" s="137" t="s">
        <v>567</v>
      </c>
      <c r="C143" s="252"/>
      <c r="D143" s="252"/>
      <c r="E143" s="252"/>
      <c r="F143" s="252"/>
      <c r="G143" s="252"/>
      <c r="H143" s="252"/>
    </row>
    <row r="144" spans="1:9" x14ac:dyDescent="0.2">
      <c r="A144" s="134">
        <v>7</v>
      </c>
      <c r="B144" s="137" t="s">
        <v>566</v>
      </c>
      <c r="C144" s="252"/>
      <c r="D144" s="252"/>
      <c r="E144" s="252"/>
      <c r="F144" s="252"/>
      <c r="G144" s="252"/>
      <c r="H144" s="252"/>
    </row>
    <row r="145" spans="1:8" x14ac:dyDescent="0.2">
      <c r="A145" s="134">
        <v>8</v>
      </c>
      <c r="B145" s="137" t="s">
        <v>563</v>
      </c>
      <c r="C145" s="252"/>
      <c r="D145" s="252"/>
      <c r="E145" s="252"/>
      <c r="F145" s="252"/>
      <c r="G145" s="252"/>
      <c r="H145" s="252"/>
    </row>
    <row r="146" spans="1:8" x14ac:dyDescent="0.2">
      <c r="A146" s="134">
        <v>9</v>
      </c>
      <c r="B146" s="142" t="s">
        <v>570</v>
      </c>
      <c r="C146" s="252"/>
      <c r="D146" s="252"/>
      <c r="E146" s="252"/>
      <c r="F146" s="252"/>
      <c r="G146" s="252"/>
      <c r="H146" s="252"/>
    </row>
    <row r="147" spans="1:8" x14ac:dyDescent="0.2">
      <c r="A147" s="134">
        <v>10</v>
      </c>
      <c r="B147" s="142" t="s">
        <v>379</v>
      </c>
      <c r="C147" s="252"/>
      <c r="D147" s="252"/>
      <c r="E147" s="252"/>
      <c r="F147" s="252"/>
      <c r="G147" s="252"/>
      <c r="H147" s="252"/>
    </row>
    <row r="148" spans="1:8" x14ac:dyDescent="0.2">
      <c r="A148" s="134">
        <v>11</v>
      </c>
      <c r="B148" s="144" t="s">
        <v>569</v>
      </c>
      <c r="C148" s="252"/>
      <c r="D148" s="252"/>
      <c r="E148" s="252"/>
      <c r="F148" s="252"/>
      <c r="G148" s="252"/>
      <c r="H148" s="252"/>
    </row>
    <row r="149" spans="1:8" x14ac:dyDescent="0.2">
      <c r="A149" s="134">
        <v>12</v>
      </c>
      <c r="B149" s="142" t="s">
        <v>573</v>
      </c>
      <c r="C149" s="252"/>
      <c r="D149" s="252"/>
      <c r="E149" s="252"/>
      <c r="F149" s="252"/>
      <c r="G149" s="252"/>
      <c r="H149" s="252"/>
    </row>
    <row r="150" spans="1:8" x14ac:dyDescent="0.2">
      <c r="A150" s="134">
        <v>13</v>
      </c>
      <c r="B150" s="138" t="s">
        <v>571</v>
      </c>
      <c r="C150" s="252"/>
      <c r="D150" s="252"/>
      <c r="E150" s="252"/>
      <c r="F150" s="252"/>
      <c r="G150" s="252"/>
      <c r="H150" s="252"/>
    </row>
    <row r="151" spans="1:8" x14ac:dyDescent="0.2">
      <c r="A151" s="134">
        <v>14</v>
      </c>
      <c r="B151" s="144" t="s">
        <v>568</v>
      </c>
    </row>
    <row r="152" spans="1:8" x14ac:dyDescent="0.2">
      <c r="A152" s="134">
        <v>15</v>
      </c>
      <c r="B152" s="142" t="s">
        <v>381</v>
      </c>
    </row>
    <row r="153" spans="1:8" x14ac:dyDescent="0.2">
      <c r="A153" s="134">
        <v>16</v>
      </c>
      <c r="B153" s="138" t="s">
        <v>572</v>
      </c>
    </row>
  </sheetData>
  <conditionalFormatting sqref="B71 B81:E81 B66:F70 B72:F80 D71:F71 B82:F96 G66:G96 B103:G133">
    <cfRule type="cellIs" dxfId="240" priority="4" stopIfTrue="1" operator="equal">
      <formula>13</formula>
    </cfRule>
  </conditionalFormatting>
  <conditionalFormatting sqref="D7:D14 D16:D23 D25:D32 D34:D41">
    <cfRule type="cellIs" dxfId="239" priority="2" stopIfTrue="1" operator="equal">
      <formula>13</formula>
    </cfRule>
  </conditionalFormatting>
  <conditionalFormatting sqref="D42:D62">
    <cfRule type="cellIs" dxfId="238" priority="1" stopIfTrue="1"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3" manualBreakCount="3">
    <brk id="62" max="16383" man="1"/>
    <brk id="99" max="16383" man="1"/>
    <brk id="136" max="1638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customWidth="1"/>
    <col min="2" max="2" width="42.42578125" bestFit="1" customWidth="1"/>
    <col min="3" max="3" width="7.28515625" bestFit="1" customWidth="1"/>
    <col min="4" max="4" width="7.42578125" bestFit="1" customWidth="1"/>
    <col min="6" max="6" width="6.7109375" bestFit="1" customWidth="1"/>
    <col min="7" max="7" width="5.140625" bestFit="1" customWidth="1"/>
    <col min="14" max="15" width="2.7109375" customWidth="1"/>
  </cols>
  <sheetData>
    <row r="1" spans="1:11" x14ac:dyDescent="0.2">
      <c r="A1" s="314" t="str">
        <f>UPPER((Kalend!E23)&amp;" - "&amp;(Kalend!C23)&amp;" - "&amp;(Kalend!D23))</f>
        <v>9 - 19. EESTI MV - SEGADUO</v>
      </c>
      <c r="E1" s="204" t="str">
        <f>HYPERLINK("#Üldreiting!I1","Reiting")</f>
        <v>Reiting</v>
      </c>
      <c r="F1" s="528"/>
      <c r="G1" s="528"/>
    </row>
    <row r="2" spans="1:11" x14ac:dyDescent="0.2">
      <c r="A2" s="309" t="str">
        <f>"Toimumisaeg: "&amp;(Kalend!A23)&amp;" kell "&amp;(Kalend!B23)</f>
        <v>Toimumisaeg: L, 09.07.2016 kell 11:00</v>
      </c>
    </row>
    <row r="3" spans="1:11" x14ac:dyDescent="0.2">
      <c r="A3" s="309" t="str">
        <f>"Toimumiskoht: "&amp;(Kalend!H23)</f>
        <v>Toimumiskoht: Valga, Metsa</v>
      </c>
    </row>
    <row r="4" spans="1:11" x14ac:dyDescent="0.2">
      <c r="A4" s="309" t="str">
        <f>"Korraldaja: "&amp;(Kalend!I23)</f>
        <v>Korraldaja: PK Valga</v>
      </c>
    </row>
    <row r="6" spans="1:11" x14ac:dyDescent="0.2">
      <c r="A6" s="855" t="s">
        <v>331</v>
      </c>
      <c r="B6" s="856"/>
      <c r="C6" s="77" t="s">
        <v>332</v>
      </c>
      <c r="D6" s="77" t="s">
        <v>333</v>
      </c>
      <c r="E6" s="77" t="s">
        <v>334</v>
      </c>
      <c r="F6" s="77" t="s">
        <v>335</v>
      </c>
      <c r="G6" s="77" t="s">
        <v>28</v>
      </c>
    </row>
    <row r="7" spans="1:11" x14ac:dyDescent="0.2">
      <c r="A7" s="76">
        <v>1</v>
      </c>
      <c r="B7" s="350" t="s">
        <v>696</v>
      </c>
      <c r="C7" s="79">
        <v>5</v>
      </c>
      <c r="D7" s="79"/>
      <c r="E7" s="79">
        <v>13</v>
      </c>
      <c r="F7" s="79">
        <v>10</v>
      </c>
      <c r="G7" s="351" t="s">
        <v>338</v>
      </c>
    </row>
    <row r="8" spans="1:11" x14ac:dyDescent="0.2">
      <c r="A8" s="76">
        <v>2</v>
      </c>
      <c r="B8" s="350" t="s">
        <v>697</v>
      </c>
      <c r="C8" s="79">
        <v>4</v>
      </c>
      <c r="D8" s="79"/>
      <c r="E8" s="79">
        <v>9</v>
      </c>
      <c r="F8" s="79"/>
      <c r="G8" s="351" t="s">
        <v>398</v>
      </c>
      <c r="K8" s="44"/>
    </row>
    <row r="9" spans="1:11" x14ac:dyDescent="0.2">
      <c r="A9" s="76">
        <v>3</v>
      </c>
      <c r="B9" s="350" t="s">
        <v>698</v>
      </c>
      <c r="C9" s="79">
        <v>13</v>
      </c>
      <c r="D9" s="79">
        <v>7</v>
      </c>
      <c r="E9" s="79"/>
      <c r="F9" s="79">
        <v>13</v>
      </c>
      <c r="G9" s="351" t="s">
        <v>336</v>
      </c>
    </row>
    <row r="10" spans="1:11" x14ac:dyDescent="0.2">
      <c r="A10" s="76">
        <v>4</v>
      </c>
      <c r="B10" s="356" t="s">
        <v>699</v>
      </c>
      <c r="C10" s="79">
        <v>13</v>
      </c>
      <c r="D10" s="79">
        <v>13</v>
      </c>
      <c r="E10" s="79"/>
      <c r="F10" s="79"/>
      <c r="G10" s="351" t="s">
        <v>337</v>
      </c>
    </row>
    <row r="11" spans="1:11" x14ac:dyDescent="0.2">
      <c r="A11" s="80"/>
      <c r="B11" s="81"/>
      <c r="C11" s="82"/>
      <c r="D11" s="82"/>
      <c r="E11" s="82"/>
      <c r="F11" s="83"/>
      <c r="G11" s="84"/>
    </row>
    <row r="12" spans="1:11" x14ac:dyDescent="0.2">
      <c r="A12" s="855" t="s">
        <v>339</v>
      </c>
      <c r="B12" s="856"/>
      <c r="C12" s="77" t="s">
        <v>332</v>
      </c>
      <c r="D12" s="77" t="s">
        <v>333</v>
      </c>
      <c r="E12" s="77" t="s">
        <v>334</v>
      </c>
      <c r="F12" s="77" t="s">
        <v>335</v>
      </c>
      <c r="G12" s="77" t="s">
        <v>28</v>
      </c>
    </row>
    <row r="13" spans="1:11" x14ac:dyDescent="0.2">
      <c r="A13" s="76">
        <v>1</v>
      </c>
      <c r="B13" s="350" t="s">
        <v>485</v>
      </c>
      <c r="C13" s="79">
        <v>13</v>
      </c>
      <c r="D13" s="79">
        <v>7</v>
      </c>
      <c r="E13" s="79"/>
      <c r="F13" s="79">
        <v>13</v>
      </c>
      <c r="G13" s="351" t="s">
        <v>336</v>
      </c>
    </row>
    <row r="14" spans="1:11" x14ac:dyDescent="0.2">
      <c r="A14" s="76">
        <v>2</v>
      </c>
      <c r="B14" s="350" t="s">
        <v>700</v>
      </c>
      <c r="C14" s="79">
        <v>10</v>
      </c>
      <c r="D14" s="79"/>
      <c r="E14" s="79">
        <v>13</v>
      </c>
      <c r="F14" s="79">
        <v>7</v>
      </c>
      <c r="G14" s="351" t="s">
        <v>338</v>
      </c>
    </row>
    <row r="15" spans="1:11" x14ac:dyDescent="0.2">
      <c r="A15" s="76">
        <v>3</v>
      </c>
      <c r="B15" s="350" t="s">
        <v>701</v>
      </c>
      <c r="C15" s="79">
        <v>13</v>
      </c>
      <c r="D15" s="79">
        <v>13</v>
      </c>
      <c r="E15" s="79"/>
      <c r="F15" s="79"/>
      <c r="G15" s="351" t="s">
        <v>337</v>
      </c>
    </row>
    <row r="16" spans="1:11" x14ac:dyDescent="0.2">
      <c r="A16" s="76">
        <v>4</v>
      </c>
      <c r="B16" s="272" t="s">
        <v>702</v>
      </c>
      <c r="C16" s="79">
        <v>12</v>
      </c>
      <c r="D16" s="79"/>
      <c r="E16" s="79">
        <v>4</v>
      </c>
      <c r="F16" s="79"/>
      <c r="G16" s="351" t="s">
        <v>398</v>
      </c>
    </row>
    <row r="17" spans="1:9" x14ac:dyDescent="0.2">
      <c r="A17" s="80"/>
      <c r="B17" s="81"/>
      <c r="C17" s="82"/>
      <c r="D17" s="82"/>
      <c r="E17" s="82"/>
      <c r="F17" s="83"/>
      <c r="G17" s="84"/>
    </row>
    <row r="18" spans="1:9" x14ac:dyDescent="0.2">
      <c r="A18" s="855" t="s">
        <v>341</v>
      </c>
      <c r="B18" s="856"/>
      <c r="C18" s="77" t="s">
        <v>332</v>
      </c>
      <c r="D18" s="77" t="s">
        <v>333</v>
      </c>
      <c r="E18" s="77" t="s">
        <v>334</v>
      </c>
      <c r="F18" s="77" t="s">
        <v>335</v>
      </c>
      <c r="G18" s="77" t="s">
        <v>28</v>
      </c>
    </row>
    <row r="19" spans="1:9" x14ac:dyDescent="0.2">
      <c r="A19" s="76">
        <v>1</v>
      </c>
      <c r="B19" s="359" t="s">
        <v>703</v>
      </c>
      <c r="C19" s="79">
        <v>13</v>
      </c>
      <c r="D19" s="79">
        <v>11</v>
      </c>
      <c r="E19" s="79"/>
      <c r="F19" s="79">
        <v>3</v>
      </c>
      <c r="G19" s="351" t="s">
        <v>338</v>
      </c>
    </row>
    <row r="20" spans="1:9" x14ac:dyDescent="0.2">
      <c r="A20" s="76">
        <v>2</v>
      </c>
      <c r="B20" s="350" t="s">
        <v>704</v>
      </c>
      <c r="C20" s="79">
        <v>13</v>
      </c>
      <c r="D20" s="79">
        <v>13</v>
      </c>
      <c r="E20" s="79"/>
      <c r="F20" s="79"/>
      <c r="G20" s="351" t="s">
        <v>337</v>
      </c>
    </row>
    <row r="21" spans="1:9" x14ac:dyDescent="0.2">
      <c r="A21" s="76">
        <v>3</v>
      </c>
      <c r="B21" s="361" t="s">
        <v>493</v>
      </c>
      <c r="C21" s="79">
        <v>4</v>
      </c>
      <c r="D21" s="79"/>
      <c r="E21" s="79">
        <v>12</v>
      </c>
      <c r="F21" s="79"/>
      <c r="G21" s="351" t="s">
        <v>398</v>
      </c>
    </row>
    <row r="22" spans="1:9" x14ac:dyDescent="0.2">
      <c r="A22" s="76">
        <v>4</v>
      </c>
      <c r="B22" s="356" t="s">
        <v>705</v>
      </c>
      <c r="C22" s="79">
        <v>12</v>
      </c>
      <c r="D22" s="79"/>
      <c r="E22" s="79">
        <v>13</v>
      </c>
      <c r="F22" s="79">
        <v>13</v>
      </c>
      <c r="G22" s="351" t="s">
        <v>336</v>
      </c>
    </row>
    <row r="23" spans="1:9" x14ac:dyDescent="0.2">
      <c r="A23" s="80"/>
      <c r="B23" s="81"/>
      <c r="C23" s="82"/>
      <c r="D23" s="82"/>
      <c r="E23" s="82"/>
      <c r="F23" s="83"/>
      <c r="G23" s="84"/>
    </row>
    <row r="24" spans="1:9" x14ac:dyDescent="0.2">
      <c r="A24" s="855" t="s">
        <v>375</v>
      </c>
      <c r="B24" s="856"/>
      <c r="C24" s="77" t="s">
        <v>332</v>
      </c>
      <c r="D24" s="77" t="s">
        <v>333</v>
      </c>
      <c r="E24" s="77" t="s">
        <v>334</v>
      </c>
      <c r="F24" s="77" t="s">
        <v>335</v>
      </c>
      <c r="G24" s="77" t="s">
        <v>28</v>
      </c>
    </row>
    <row r="25" spans="1:9" x14ac:dyDescent="0.2">
      <c r="A25" s="76">
        <v>1</v>
      </c>
      <c r="B25" s="359" t="s">
        <v>706</v>
      </c>
      <c r="C25" s="79">
        <v>13</v>
      </c>
      <c r="D25" s="79">
        <v>10</v>
      </c>
      <c r="E25" s="79"/>
      <c r="F25" s="79">
        <v>11</v>
      </c>
      <c r="G25" s="351" t="s">
        <v>338</v>
      </c>
    </row>
    <row r="26" spans="1:9" x14ac:dyDescent="0.2">
      <c r="A26" s="76">
        <v>2</v>
      </c>
      <c r="B26" s="350" t="s">
        <v>707</v>
      </c>
      <c r="C26" s="79">
        <v>13</v>
      </c>
      <c r="D26" s="79">
        <v>13</v>
      </c>
      <c r="E26" s="79"/>
      <c r="F26" s="79"/>
      <c r="G26" s="351" t="s">
        <v>337</v>
      </c>
    </row>
    <row r="27" spans="1:9" x14ac:dyDescent="0.2">
      <c r="A27" s="76">
        <v>3</v>
      </c>
      <c r="B27" s="350" t="s">
        <v>708</v>
      </c>
      <c r="C27" s="79">
        <v>9</v>
      </c>
      <c r="D27" s="79"/>
      <c r="E27" s="79">
        <v>13</v>
      </c>
      <c r="F27" s="79">
        <v>13</v>
      </c>
      <c r="G27" s="351" t="s">
        <v>336</v>
      </c>
    </row>
    <row r="28" spans="1:9" x14ac:dyDescent="0.2">
      <c r="A28" s="76">
        <v>4</v>
      </c>
      <c r="B28" s="254"/>
      <c r="C28" s="79">
        <v>0</v>
      </c>
      <c r="D28" s="79"/>
      <c r="E28" s="79">
        <v>0</v>
      </c>
      <c r="F28" s="79"/>
      <c r="G28" s="236"/>
    </row>
    <row r="30" spans="1:9" x14ac:dyDescent="0.2">
      <c r="A30" s="119" t="s">
        <v>376</v>
      </c>
      <c r="B30" s="344"/>
      <c r="C30" s="344"/>
      <c r="D30" s="344"/>
      <c r="E30" s="344"/>
      <c r="F30" s="344"/>
      <c r="G30" s="344"/>
      <c r="H30" s="344"/>
      <c r="I30" s="259"/>
    </row>
    <row r="31" spans="1:9" x14ac:dyDescent="0.2">
      <c r="A31" s="119"/>
      <c r="B31" s="344"/>
      <c r="C31" s="344"/>
      <c r="D31" s="344"/>
      <c r="E31" s="344"/>
      <c r="F31" s="344"/>
      <c r="G31" s="344"/>
      <c r="H31" s="344"/>
      <c r="I31" s="259"/>
    </row>
    <row r="32" spans="1:9" x14ac:dyDescent="0.2">
      <c r="A32" s="120" t="s">
        <v>360</v>
      </c>
      <c r="B32" s="344" t="s">
        <v>699</v>
      </c>
      <c r="C32" s="121">
        <v>5</v>
      </c>
      <c r="D32" s="344"/>
      <c r="E32" s="344"/>
      <c r="F32" s="344"/>
      <c r="G32" s="344"/>
      <c r="H32" s="344"/>
      <c r="I32" s="259"/>
    </row>
    <row r="33" spans="1:11" x14ac:dyDescent="0.2">
      <c r="A33" s="344"/>
      <c r="B33" s="122"/>
      <c r="C33" s="341" t="s">
        <v>485</v>
      </c>
      <c r="D33" s="282"/>
      <c r="E33" s="344"/>
      <c r="F33" s="121">
        <v>8</v>
      </c>
      <c r="G33" s="344"/>
      <c r="H33" s="344"/>
      <c r="I33" s="259"/>
    </row>
    <row r="34" spans="1:11" x14ac:dyDescent="0.2">
      <c r="A34" s="120" t="s">
        <v>355</v>
      </c>
      <c r="B34" s="312" t="s">
        <v>485</v>
      </c>
      <c r="C34" s="131">
        <v>13</v>
      </c>
      <c r="D34" s="344"/>
      <c r="E34" s="123"/>
      <c r="F34" s="344"/>
      <c r="G34" s="344"/>
      <c r="H34" s="344"/>
      <c r="I34" s="259"/>
    </row>
    <row r="35" spans="1:11" x14ac:dyDescent="0.2">
      <c r="A35" s="344"/>
      <c r="B35" s="344"/>
      <c r="C35" s="344"/>
      <c r="D35" s="124"/>
      <c r="E35" s="125"/>
      <c r="F35" t="s">
        <v>708</v>
      </c>
      <c r="H35" s="344"/>
      <c r="I35" s="121">
        <v>13</v>
      </c>
      <c r="J35" s="344"/>
      <c r="K35" s="259"/>
    </row>
    <row r="36" spans="1:11" x14ac:dyDescent="0.2">
      <c r="A36" s="120" t="s">
        <v>353</v>
      </c>
      <c r="B36" s="315" t="s">
        <v>704</v>
      </c>
      <c r="C36" s="126">
        <v>11</v>
      </c>
      <c r="D36" s="344"/>
      <c r="E36" s="125"/>
      <c r="F36" s="346"/>
      <c r="G36" s="346"/>
      <c r="H36" s="123"/>
      <c r="I36" s="344"/>
      <c r="J36" s="344"/>
      <c r="K36" s="259"/>
    </row>
    <row r="37" spans="1:11" x14ac:dyDescent="0.2">
      <c r="A37" s="344"/>
      <c r="B37" s="123"/>
      <c r="C37" t="s">
        <v>708</v>
      </c>
      <c r="D37" s="344"/>
      <c r="E37" s="327"/>
      <c r="F37" s="352">
        <v>13</v>
      </c>
      <c r="G37" s="306"/>
      <c r="H37" s="324"/>
      <c r="I37" s="344"/>
      <c r="J37" s="344"/>
      <c r="K37" s="259"/>
    </row>
    <row r="38" spans="1:11" x14ac:dyDescent="0.2">
      <c r="A38" s="120" t="s">
        <v>401</v>
      </c>
      <c r="B38" s="312" t="s">
        <v>708</v>
      </c>
      <c r="C38" s="283">
        <v>13</v>
      </c>
      <c r="D38" s="122"/>
      <c r="E38" s="344"/>
      <c r="F38" s="306"/>
      <c r="G38" s="306"/>
      <c r="H38" s="125"/>
      <c r="I38" s="344"/>
      <c r="J38" s="344"/>
      <c r="K38" s="259"/>
    </row>
    <row r="39" spans="1:11" ht="13.5" thickBot="1" x14ac:dyDescent="0.25">
      <c r="A39" s="344"/>
      <c r="B39" s="344"/>
      <c r="C39" s="344"/>
      <c r="D39" s="344"/>
      <c r="E39" s="344"/>
      <c r="F39" s="306"/>
      <c r="G39" s="306"/>
      <c r="H39" s="125"/>
      <c r="I39" s="344"/>
      <c r="J39" s="317" t="s">
        <v>708</v>
      </c>
      <c r="K39" s="259"/>
    </row>
    <row r="40" spans="1:11" x14ac:dyDescent="0.2">
      <c r="A40" s="120" t="s">
        <v>356</v>
      </c>
      <c r="B40" s="344" t="s">
        <v>701</v>
      </c>
      <c r="C40" s="121">
        <v>13</v>
      </c>
      <c r="D40" s="344"/>
      <c r="E40" s="344"/>
      <c r="F40" s="306"/>
      <c r="G40" s="306"/>
      <c r="H40" s="125"/>
      <c r="I40" s="130"/>
      <c r="J40" s="129" t="s">
        <v>357</v>
      </c>
      <c r="K40" s="328"/>
    </row>
    <row r="41" spans="1:11" x14ac:dyDescent="0.2">
      <c r="A41" s="344"/>
      <c r="B41" s="122"/>
      <c r="C41" s="341" t="s">
        <v>701</v>
      </c>
      <c r="D41" s="282"/>
      <c r="E41" s="344"/>
      <c r="F41" s="352">
        <v>13</v>
      </c>
      <c r="G41" s="306"/>
      <c r="H41" s="324"/>
      <c r="I41" s="344"/>
      <c r="J41" s="344"/>
      <c r="K41" s="329"/>
    </row>
    <row r="42" spans="1:11" ht="13.5" thickBot="1" x14ac:dyDescent="0.25">
      <c r="A42" s="120" t="s">
        <v>358</v>
      </c>
      <c r="B42" s="282" t="s">
        <v>698</v>
      </c>
      <c r="C42" s="131">
        <v>3</v>
      </c>
      <c r="D42" s="344"/>
      <c r="E42" s="123"/>
      <c r="F42" s="306"/>
      <c r="G42" s="306"/>
      <c r="H42" s="125"/>
      <c r="I42" s="344"/>
      <c r="J42" s="247" t="s">
        <v>701</v>
      </c>
      <c r="K42" s="275"/>
    </row>
    <row r="43" spans="1:11" x14ac:dyDescent="0.2">
      <c r="A43" s="344"/>
      <c r="B43" s="344"/>
      <c r="C43" s="344"/>
      <c r="D43" s="124"/>
      <c r="E43" s="125"/>
      <c r="F43" s="347" t="s">
        <v>701</v>
      </c>
      <c r="G43" s="347"/>
      <c r="H43" s="327"/>
      <c r="I43" s="121">
        <v>6</v>
      </c>
      <c r="J43" s="129" t="s">
        <v>359</v>
      </c>
      <c r="K43" s="259"/>
    </row>
    <row r="44" spans="1:11" x14ac:dyDescent="0.2">
      <c r="A44" s="120" t="s">
        <v>399</v>
      </c>
      <c r="B44" s="344" t="s">
        <v>707</v>
      </c>
      <c r="C44" s="126">
        <v>2</v>
      </c>
      <c r="D44" s="344"/>
      <c r="E44" s="125"/>
      <c r="H44" s="344"/>
      <c r="I44" s="344"/>
      <c r="J44" s="344"/>
      <c r="K44" s="259"/>
    </row>
    <row r="45" spans="1:11" x14ac:dyDescent="0.2">
      <c r="A45" s="344"/>
      <c r="B45" s="122"/>
      <c r="C45" s="148" t="s">
        <v>705</v>
      </c>
      <c r="D45" s="344"/>
      <c r="E45" s="327"/>
      <c r="F45" s="354">
        <v>4</v>
      </c>
      <c r="H45" s="121"/>
      <c r="I45" s="344"/>
      <c r="J45" s="344"/>
      <c r="K45" s="259"/>
    </row>
    <row r="46" spans="1:11" x14ac:dyDescent="0.2">
      <c r="A46" s="120" t="s">
        <v>354</v>
      </c>
      <c r="B46" s="282" t="s">
        <v>705</v>
      </c>
      <c r="C46" s="132">
        <v>13</v>
      </c>
      <c r="D46" s="122"/>
      <c r="E46" s="344"/>
      <c r="H46" s="344"/>
      <c r="I46" s="344"/>
      <c r="J46" s="344"/>
      <c r="K46" s="259"/>
    </row>
    <row r="47" spans="1:11" x14ac:dyDescent="0.2">
      <c r="A47" s="344"/>
      <c r="B47" s="344"/>
      <c r="C47" s="344"/>
      <c r="D47" s="344"/>
      <c r="E47" s="344"/>
      <c r="F47" t="s">
        <v>485</v>
      </c>
      <c r="I47" s="126">
        <v>5</v>
      </c>
      <c r="J47" s="124"/>
      <c r="K47" s="259"/>
    </row>
    <row r="48" spans="1:11" ht="13.5" thickBot="1" x14ac:dyDescent="0.25">
      <c r="A48" s="344"/>
      <c r="B48" s="344"/>
      <c r="C48" s="344"/>
      <c r="D48" s="344"/>
      <c r="E48" s="344"/>
      <c r="F48" s="346"/>
      <c r="G48" s="346"/>
      <c r="H48" s="123"/>
      <c r="I48" s="247"/>
      <c r="J48" s="240" t="s">
        <v>705</v>
      </c>
      <c r="K48" s="259"/>
    </row>
    <row r="49" spans="1:11" x14ac:dyDescent="0.2">
      <c r="A49" s="344"/>
      <c r="B49" s="344"/>
      <c r="C49" s="344"/>
      <c r="D49" s="344"/>
      <c r="E49" s="344"/>
      <c r="F49" s="347" t="s">
        <v>705</v>
      </c>
      <c r="G49" s="347"/>
      <c r="H49" s="327"/>
      <c r="I49" s="121">
        <v>13</v>
      </c>
      <c r="J49" s="129" t="s">
        <v>361</v>
      </c>
      <c r="K49" s="328"/>
    </row>
    <row r="50" spans="1:11" x14ac:dyDescent="0.2">
      <c r="A50" s="344"/>
      <c r="B50" s="344"/>
      <c r="C50" s="344"/>
      <c r="D50" s="344"/>
      <c r="E50" s="344"/>
      <c r="H50" s="344"/>
      <c r="I50" s="344"/>
      <c r="J50" s="124"/>
      <c r="K50" s="329"/>
    </row>
    <row r="51" spans="1:11" ht="13.5" thickBot="1" x14ac:dyDescent="0.25">
      <c r="A51" s="344"/>
      <c r="B51" s="344"/>
      <c r="C51" s="344"/>
      <c r="D51" s="344"/>
      <c r="E51" s="344"/>
      <c r="H51" s="344"/>
      <c r="I51" s="344"/>
      <c r="J51" s="240" t="s">
        <v>485</v>
      </c>
      <c r="K51" s="275"/>
    </row>
    <row r="52" spans="1:11" x14ac:dyDescent="0.2">
      <c r="A52" s="344"/>
      <c r="B52" s="344"/>
      <c r="C52" s="344" t="s">
        <v>699</v>
      </c>
      <c r="D52" s="344"/>
      <c r="E52" s="344"/>
      <c r="F52" s="354">
        <v>12</v>
      </c>
      <c r="H52" s="121"/>
      <c r="I52" s="344"/>
      <c r="J52" s="129" t="s">
        <v>362</v>
      </c>
      <c r="K52" s="259"/>
    </row>
    <row r="53" spans="1:11" x14ac:dyDescent="0.2">
      <c r="A53" s="344"/>
      <c r="B53" s="344"/>
      <c r="C53" s="122"/>
      <c r="D53" s="122"/>
      <c r="E53" s="123"/>
      <c r="F53" s="349" t="s">
        <v>704</v>
      </c>
      <c r="G53" s="347"/>
      <c r="H53" s="282"/>
      <c r="I53" s="121">
        <v>13</v>
      </c>
      <c r="J53" s="344"/>
      <c r="K53" s="259"/>
    </row>
    <row r="54" spans="1:11" x14ac:dyDescent="0.2">
      <c r="A54" s="344"/>
      <c r="B54" s="344"/>
      <c r="C54" s="282" t="s">
        <v>704</v>
      </c>
      <c r="D54" s="282"/>
      <c r="E54" s="327"/>
      <c r="F54" s="355">
        <v>13</v>
      </c>
      <c r="G54" s="346"/>
      <c r="H54" s="348"/>
      <c r="I54" s="344"/>
      <c r="J54" s="344"/>
      <c r="K54" s="259"/>
    </row>
    <row r="55" spans="1:11" ht="13.5" thickBot="1" x14ac:dyDescent="0.25">
      <c r="A55" s="344"/>
      <c r="B55" s="344"/>
      <c r="C55" s="344"/>
      <c r="D55" s="344"/>
      <c r="E55" s="344"/>
      <c r="H55" s="125"/>
      <c r="I55" s="344"/>
      <c r="J55" s="344" t="s">
        <v>704</v>
      </c>
      <c r="K55" s="259"/>
    </row>
    <row r="56" spans="1:11" x14ac:dyDescent="0.2">
      <c r="A56" s="344"/>
      <c r="B56" s="344"/>
      <c r="C56" s="344" t="s">
        <v>698</v>
      </c>
      <c r="D56" s="344"/>
      <c r="E56" s="344"/>
      <c r="F56" s="354">
        <v>13</v>
      </c>
      <c r="H56" s="324"/>
      <c r="I56" s="130"/>
      <c r="J56" s="129" t="s">
        <v>363</v>
      </c>
      <c r="K56" s="328"/>
    </row>
    <row r="57" spans="1:11" x14ac:dyDescent="0.2">
      <c r="A57" s="344"/>
      <c r="B57" s="344"/>
      <c r="C57" s="122"/>
      <c r="D57" s="122"/>
      <c r="E57" s="123"/>
      <c r="F57" s="349" t="s">
        <v>698</v>
      </c>
      <c r="G57" s="347"/>
      <c r="H57" s="327"/>
      <c r="I57" s="126">
        <v>11</v>
      </c>
      <c r="J57" s="344"/>
      <c r="K57" s="329"/>
    </row>
    <row r="58" spans="1:11" ht="13.5" thickBot="1" x14ac:dyDescent="0.25">
      <c r="A58" s="344"/>
      <c r="B58" s="344"/>
      <c r="C58" s="282" t="s">
        <v>707</v>
      </c>
      <c r="D58" s="282"/>
      <c r="E58" s="327"/>
      <c r="F58" s="355">
        <v>9</v>
      </c>
      <c r="G58" s="346"/>
      <c r="H58" s="283"/>
      <c r="I58" s="124"/>
      <c r="J58" s="124" t="s">
        <v>698</v>
      </c>
      <c r="K58" s="275"/>
    </row>
    <row r="59" spans="1:11" x14ac:dyDescent="0.2">
      <c r="A59" s="344"/>
      <c r="B59" s="344"/>
      <c r="C59" s="344"/>
      <c r="D59" s="344"/>
      <c r="E59" s="344"/>
      <c r="H59" s="344"/>
      <c r="I59" s="124"/>
      <c r="J59" s="129" t="s">
        <v>364</v>
      </c>
      <c r="K59" s="259"/>
    </row>
    <row r="60" spans="1:11" x14ac:dyDescent="0.2">
      <c r="A60" s="344"/>
      <c r="B60" s="344"/>
      <c r="C60" s="344"/>
      <c r="D60" s="344"/>
      <c r="E60" s="344"/>
      <c r="F60" t="s">
        <v>699</v>
      </c>
      <c r="H60" s="344"/>
      <c r="I60" s="126">
        <v>13</v>
      </c>
      <c r="J60" s="124"/>
      <c r="K60" s="259"/>
    </row>
    <row r="61" spans="1:11" ht="13.5" thickBot="1" x14ac:dyDescent="0.25">
      <c r="A61" s="344"/>
      <c r="B61" s="344"/>
      <c r="C61" s="344"/>
      <c r="D61" s="344"/>
      <c r="E61" s="344"/>
      <c r="F61" s="346"/>
      <c r="G61" s="346"/>
      <c r="H61" s="123"/>
      <c r="I61" s="247"/>
      <c r="J61" s="247" t="s">
        <v>699</v>
      </c>
      <c r="K61" s="259"/>
    </row>
    <row r="62" spans="1:11" x14ac:dyDescent="0.2">
      <c r="A62" s="344"/>
      <c r="B62" s="344"/>
      <c r="C62" s="344"/>
      <c r="D62" s="344"/>
      <c r="E62" s="344"/>
      <c r="F62" s="347" t="s">
        <v>707</v>
      </c>
      <c r="G62" s="347"/>
      <c r="H62" s="327"/>
      <c r="I62" s="121">
        <v>4</v>
      </c>
      <c r="J62" s="133" t="s">
        <v>369</v>
      </c>
      <c r="K62" s="328"/>
    </row>
    <row r="63" spans="1:11" x14ac:dyDescent="0.2">
      <c r="A63" s="344"/>
      <c r="B63" s="344"/>
      <c r="C63" s="344"/>
      <c r="D63" s="344"/>
      <c r="E63" s="344"/>
      <c r="H63" s="344"/>
      <c r="I63" s="344"/>
      <c r="J63" s="124"/>
      <c r="K63" s="329"/>
    </row>
    <row r="64" spans="1:11" ht="13.5" thickBot="1" x14ac:dyDescent="0.25">
      <c r="A64" s="344"/>
      <c r="B64" s="344"/>
      <c r="C64" s="344"/>
      <c r="D64" s="344"/>
      <c r="E64" s="344"/>
      <c r="H64" s="344"/>
      <c r="I64" s="344"/>
      <c r="J64" s="247" t="s">
        <v>707</v>
      </c>
      <c r="K64" s="275"/>
    </row>
    <row r="65" spans="1:11" x14ac:dyDescent="0.2">
      <c r="A65" s="344"/>
      <c r="B65" s="344"/>
      <c r="C65" s="344"/>
      <c r="D65" s="344"/>
      <c r="E65" s="344"/>
      <c r="H65" s="344"/>
      <c r="I65" s="344"/>
      <c r="J65" s="120" t="s">
        <v>370</v>
      </c>
      <c r="K65" s="259"/>
    </row>
    <row r="66" spans="1:11" x14ac:dyDescent="0.2">
      <c r="A66" s="344"/>
      <c r="B66" s="344"/>
      <c r="C66" s="344"/>
      <c r="D66" s="344"/>
      <c r="E66" s="344"/>
      <c r="H66" s="344"/>
      <c r="I66" s="344"/>
      <c r="J66" s="120"/>
      <c r="K66" s="259"/>
    </row>
    <row r="67" spans="1:11" x14ac:dyDescent="0.2">
      <c r="A67" s="119" t="s">
        <v>709</v>
      </c>
      <c r="B67" s="344"/>
      <c r="C67" s="344"/>
      <c r="D67" s="344"/>
      <c r="E67" s="344"/>
      <c r="H67" s="344"/>
      <c r="I67" s="344"/>
      <c r="J67" s="344"/>
      <c r="K67" s="259"/>
    </row>
    <row r="68" spans="1:11" x14ac:dyDescent="0.2">
      <c r="A68" s="119"/>
      <c r="B68" s="344"/>
      <c r="C68" s="344"/>
      <c r="D68" s="344"/>
      <c r="E68" s="344"/>
      <c r="H68" s="344"/>
      <c r="I68" s="344"/>
      <c r="J68" s="344"/>
      <c r="K68" s="259"/>
    </row>
    <row r="69" spans="1:11" x14ac:dyDescent="0.2">
      <c r="A69" s="120" t="s">
        <v>405</v>
      </c>
      <c r="B69" s="344" t="s">
        <v>696</v>
      </c>
      <c r="C69" s="121">
        <v>13</v>
      </c>
      <c r="D69" s="344"/>
      <c r="E69" s="344"/>
      <c r="F69" s="344"/>
      <c r="G69" s="344"/>
      <c r="H69" s="344"/>
      <c r="I69" s="259"/>
    </row>
    <row r="70" spans="1:11" x14ac:dyDescent="0.2">
      <c r="A70" s="344"/>
      <c r="B70" s="122"/>
      <c r="C70" s="341" t="s">
        <v>696</v>
      </c>
      <c r="D70" s="282"/>
      <c r="E70" s="344"/>
      <c r="F70" s="121">
        <v>13</v>
      </c>
      <c r="G70" s="344"/>
      <c r="H70" s="344"/>
      <c r="I70" s="259"/>
    </row>
    <row r="71" spans="1:11" x14ac:dyDescent="0.2">
      <c r="A71" s="120" t="s">
        <v>403</v>
      </c>
      <c r="B71" s="312" t="s">
        <v>702</v>
      </c>
      <c r="C71" s="131">
        <v>7</v>
      </c>
      <c r="D71" s="344"/>
      <c r="E71" s="123"/>
      <c r="F71" s="344"/>
      <c r="G71" s="344"/>
      <c r="H71" s="344"/>
      <c r="I71" s="259"/>
    </row>
    <row r="72" spans="1:11" x14ac:dyDescent="0.2">
      <c r="A72" s="344"/>
      <c r="B72" s="344"/>
      <c r="C72" s="344"/>
      <c r="D72" s="124"/>
      <c r="E72" s="125"/>
      <c r="F72" t="s">
        <v>696</v>
      </c>
      <c r="H72" s="344"/>
      <c r="I72" s="121">
        <v>13</v>
      </c>
      <c r="J72" s="344"/>
      <c r="K72" s="259"/>
    </row>
    <row r="73" spans="1:11" x14ac:dyDescent="0.2">
      <c r="A73" s="120" t="s">
        <v>402</v>
      </c>
      <c r="B73" s="315" t="s">
        <v>703</v>
      </c>
      <c r="C73" s="126">
        <v>13</v>
      </c>
      <c r="D73" s="344"/>
      <c r="E73" s="125"/>
      <c r="F73" s="346"/>
      <c r="G73" s="346"/>
      <c r="H73" s="123"/>
      <c r="I73" s="344"/>
      <c r="J73" s="344"/>
      <c r="K73" s="259"/>
    </row>
    <row r="74" spans="1:11" x14ac:dyDescent="0.2">
      <c r="A74" s="344"/>
      <c r="B74" s="123"/>
      <c r="C74" t="s">
        <v>703</v>
      </c>
      <c r="D74" s="344"/>
      <c r="E74" s="327"/>
      <c r="F74" s="352">
        <v>7</v>
      </c>
      <c r="G74" s="306"/>
      <c r="H74" s="324"/>
      <c r="I74" s="344"/>
      <c r="J74" s="344"/>
      <c r="K74" s="259"/>
    </row>
    <row r="75" spans="1:11" x14ac:dyDescent="0.2">
      <c r="A75" s="120"/>
      <c r="B75" s="360" t="s">
        <v>352</v>
      </c>
      <c r="C75" s="283">
        <v>0</v>
      </c>
      <c r="D75" s="122"/>
      <c r="E75" s="344"/>
      <c r="F75" s="306"/>
      <c r="G75" s="306"/>
      <c r="H75" s="125"/>
      <c r="I75" s="344"/>
      <c r="J75" s="344"/>
      <c r="K75" s="259"/>
    </row>
    <row r="76" spans="1:11" ht="13.5" thickBot="1" x14ac:dyDescent="0.25">
      <c r="A76" s="344"/>
      <c r="B76" s="344"/>
      <c r="C76" s="344"/>
      <c r="D76" s="344"/>
      <c r="E76" s="344"/>
      <c r="F76" s="306"/>
      <c r="G76" s="306"/>
      <c r="H76" s="125"/>
      <c r="I76" s="344"/>
      <c r="J76" s="353" t="s">
        <v>696</v>
      </c>
      <c r="K76" s="259"/>
    </row>
    <row r="77" spans="1:11" x14ac:dyDescent="0.2">
      <c r="A77" s="120" t="s">
        <v>406</v>
      </c>
      <c r="B77" s="344" t="s">
        <v>700</v>
      </c>
      <c r="C77" s="121">
        <v>0</v>
      </c>
      <c r="D77" s="344"/>
      <c r="E77" s="344"/>
      <c r="F77" s="306"/>
      <c r="G77" s="306"/>
      <c r="H77" s="125"/>
      <c r="I77" s="130"/>
      <c r="J77" s="129" t="s">
        <v>374</v>
      </c>
      <c r="K77" s="328"/>
    </row>
    <row r="78" spans="1:11" x14ac:dyDescent="0.2">
      <c r="A78" s="344"/>
      <c r="B78" s="122"/>
      <c r="C78" s="341" t="s">
        <v>697</v>
      </c>
      <c r="D78" s="282"/>
      <c r="E78" s="344"/>
      <c r="F78" s="352">
        <v>7</v>
      </c>
      <c r="G78" s="306"/>
      <c r="H78" s="324"/>
      <c r="I78" s="344"/>
      <c r="J78" s="344"/>
      <c r="K78" s="329"/>
    </row>
    <row r="79" spans="1:11" ht="13.5" thickBot="1" x14ac:dyDescent="0.25">
      <c r="A79" s="120" t="s">
        <v>407</v>
      </c>
      <c r="B79" s="282" t="s">
        <v>697</v>
      </c>
      <c r="C79" s="131">
        <v>13</v>
      </c>
      <c r="D79" s="344"/>
      <c r="E79" s="123"/>
      <c r="F79" s="306"/>
      <c r="G79" s="306"/>
      <c r="H79" s="125"/>
      <c r="I79" s="344"/>
      <c r="J79" s="247" t="s">
        <v>706</v>
      </c>
      <c r="K79" s="275"/>
    </row>
    <row r="80" spans="1:11" x14ac:dyDescent="0.2">
      <c r="A80" s="344"/>
      <c r="B80" s="344"/>
      <c r="C80" s="344"/>
      <c r="D80" s="124"/>
      <c r="E80" s="125"/>
      <c r="F80" s="347" t="s">
        <v>706</v>
      </c>
      <c r="G80" s="347"/>
      <c r="H80" s="327"/>
      <c r="I80" s="121">
        <v>9</v>
      </c>
      <c r="J80" s="129" t="s">
        <v>390</v>
      </c>
      <c r="K80" s="259"/>
    </row>
    <row r="81" spans="1:11" x14ac:dyDescent="0.2">
      <c r="A81" s="120" t="s">
        <v>404</v>
      </c>
      <c r="B81" s="344" t="s">
        <v>706</v>
      </c>
      <c r="C81" s="126">
        <v>13</v>
      </c>
      <c r="D81" s="344"/>
      <c r="E81" s="125"/>
      <c r="H81" s="344"/>
      <c r="I81" s="344"/>
      <c r="J81" s="344"/>
      <c r="K81" s="259"/>
    </row>
    <row r="82" spans="1:11" x14ac:dyDescent="0.2">
      <c r="A82" s="344"/>
      <c r="B82" s="122"/>
      <c r="C82" s="148" t="s">
        <v>706</v>
      </c>
      <c r="D82" s="344"/>
      <c r="E82" s="327"/>
      <c r="F82" s="354">
        <v>13</v>
      </c>
      <c r="H82" s="121"/>
      <c r="I82" s="344"/>
      <c r="J82" s="344"/>
      <c r="K82" s="259"/>
    </row>
    <row r="83" spans="1:11" x14ac:dyDescent="0.2">
      <c r="A83" s="120" t="s">
        <v>409</v>
      </c>
      <c r="B83" s="282" t="s">
        <v>493</v>
      </c>
      <c r="C83" s="132">
        <v>6</v>
      </c>
      <c r="D83" s="122"/>
      <c r="E83" s="344"/>
      <c r="H83" s="344"/>
      <c r="I83" s="344"/>
      <c r="J83" s="344"/>
      <c r="K83" s="259"/>
    </row>
    <row r="84" spans="1:11" x14ac:dyDescent="0.2">
      <c r="A84" s="344"/>
      <c r="B84" s="344"/>
      <c r="C84" s="344"/>
      <c r="D84" s="344"/>
      <c r="E84" s="344"/>
      <c r="F84" t="s">
        <v>703</v>
      </c>
      <c r="I84" s="126">
        <v>13</v>
      </c>
      <c r="J84" s="124"/>
      <c r="K84" s="259"/>
    </row>
    <row r="85" spans="1:11" ht="13.5" thickBot="1" x14ac:dyDescent="0.25">
      <c r="A85" s="344"/>
      <c r="B85" s="344"/>
      <c r="C85" s="344"/>
      <c r="D85" s="344"/>
      <c r="E85" s="344"/>
      <c r="F85" s="346"/>
      <c r="G85" s="346"/>
      <c r="H85" s="123"/>
      <c r="I85" s="247"/>
      <c r="J85" s="362" t="s">
        <v>703</v>
      </c>
      <c r="K85" s="259"/>
    </row>
    <row r="86" spans="1:11" x14ac:dyDescent="0.2">
      <c r="A86" s="344"/>
      <c r="B86" s="344"/>
      <c r="C86" s="344"/>
      <c r="D86" s="344"/>
      <c r="E86" s="344"/>
      <c r="F86" s="347" t="s">
        <v>697</v>
      </c>
      <c r="G86" s="347"/>
      <c r="H86" s="327"/>
      <c r="I86" s="121">
        <v>9</v>
      </c>
      <c r="J86" s="133" t="s">
        <v>391</v>
      </c>
      <c r="K86" s="328"/>
    </row>
    <row r="87" spans="1:11" x14ac:dyDescent="0.2">
      <c r="A87" s="344"/>
      <c r="B87" s="344"/>
      <c r="C87" s="344"/>
      <c r="D87" s="344"/>
      <c r="E87" s="344"/>
      <c r="H87" s="344"/>
      <c r="I87" s="344"/>
      <c r="J87" s="124"/>
      <c r="K87" s="329"/>
    </row>
    <row r="88" spans="1:11" ht="13.5" thickBot="1" x14ac:dyDescent="0.25">
      <c r="A88" s="344"/>
      <c r="B88" s="344"/>
      <c r="C88" s="344"/>
      <c r="D88" s="344"/>
      <c r="E88" s="344"/>
      <c r="H88" s="344"/>
      <c r="I88" s="344"/>
      <c r="J88" s="247" t="s">
        <v>697</v>
      </c>
      <c r="K88" s="275"/>
    </row>
    <row r="89" spans="1:11" x14ac:dyDescent="0.2">
      <c r="A89" s="344"/>
      <c r="B89" s="344"/>
      <c r="C89" s="344" t="s">
        <v>702</v>
      </c>
      <c r="D89" s="344"/>
      <c r="E89" s="344"/>
      <c r="F89" s="354">
        <v>13</v>
      </c>
      <c r="H89" s="121"/>
      <c r="I89" s="344"/>
      <c r="J89" s="120" t="s">
        <v>392</v>
      </c>
      <c r="K89" s="259"/>
    </row>
    <row r="90" spans="1:11" x14ac:dyDescent="0.2">
      <c r="A90" s="344"/>
      <c r="B90" s="344"/>
      <c r="C90" s="122"/>
      <c r="D90" s="122"/>
      <c r="E90" s="123"/>
      <c r="F90" s="349" t="s">
        <v>702</v>
      </c>
      <c r="G90" s="347"/>
      <c r="H90" s="282"/>
      <c r="I90" s="121">
        <v>13</v>
      </c>
      <c r="J90" s="344"/>
      <c r="K90" s="259"/>
    </row>
    <row r="91" spans="1:11" x14ac:dyDescent="0.2">
      <c r="A91" s="344"/>
      <c r="B91" s="344"/>
      <c r="C91" s="358" t="s">
        <v>352</v>
      </c>
      <c r="D91" s="282"/>
      <c r="E91" s="327"/>
      <c r="F91" s="355">
        <v>0</v>
      </c>
      <c r="G91" s="346"/>
      <c r="H91" s="348"/>
      <c r="I91" s="344"/>
      <c r="J91" s="344"/>
      <c r="K91" s="259"/>
    </row>
    <row r="92" spans="1:11" ht="13.5" thickBot="1" x14ac:dyDescent="0.25">
      <c r="A92" s="344"/>
      <c r="B92" s="344"/>
      <c r="C92" s="344"/>
      <c r="D92" s="344"/>
      <c r="E92" s="344"/>
      <c r="H92" s="125"/>
      <c r="I92" s="344"/>
      <c r="J92" s="344" t="s">
        <v>702</v>
      </c>
      <c r="K92" s="259"/>
    </row>
    <row r="93" spans="1:11" x14ac:dyDescent="0.2">
      <c r="A93" s="344"/>
      <c r="B93" s="344"/>
      <c r="C93" s="344" t="s">
        <v>700</v>
      </c>
      <c r="D93" s="344"/>
      <c r="E93" s="344"/>
      <c r="F93" s="354">
        <v>0</v>
      </c>
      <c r="H93" s="324"/>
      <c r="I93" s="130"/>
      <c r="J93" s="129" t="s">
        <v>393</v>
      </c>
      <c r="K93" s="328"/>
    </row>
    <row r="94" spans="1:11" x14ac:dyDescent="0.2">
      <c r="A94" s="344"/>
      <c r="B94" s="344"/>
      <c r="C94" s="122"/>
      <c r="D94" s="122"/>
      <c r="E94" s="123"/>
      <c r="F94" s="349" t="s">
        <v>493</v>
      </c>
      <c r="G94" s="347"/>
      <c r="H94" s="327"/>
      <c r="I94" s="126">
        <v>4</v>
      </c>
      <c r="J94" s="344"/>
      <c r="K94" s="329"/>
    </row>
    <row r="95" spans="1:11" ht="13.5" thickBot="1" x14ac:dyDescent="0.25">
      <c r="A95" s="344"/>
      <c r="B95" s="344"/>
      <c r="C95" s="282" t="s">
        <v>493</v>
      </c>
      <c r="D95" s="282"/>
      <c r="E95" s="327"/>
      <c r="F95" s="355">
        <v>13</v>
      </c>
      <c r="G95" s="346"/>
      <c r="H95" s="283"/>
      <c r="I95" s="124"/>
      <c r="J95" s="124" t="s">
        <v>493</v>
      </c>
      <c r="K95" s="275"/>
    </row>
    <row r="96" spans="1:11" x14ac:dyDescent="0.2">
      <c r="A96" s="344"/>
      <c r="B96" s="344"/>
      <c r="C96" s="344"/>
      <c r="D96" s="344"/>
      <c r="E96" s="344"/>
      <c r="H96" s="344"/>
      <c r="I96" s="124"/>
      <c r="J96" s="129" t="s">
        <v>394</v>
      </c>
      <c r="K96" s="259"/>
    </row>
    <row r="97" spans="1:11" x14ac:dyDescent="0.2">
      <c r="A97" s="344"/>
      <c r="B97" s="344"/>
      <c r="C97" s="344"/>
      <c r="D97" s="344"/>
      <c r="E97" s="344"/>
      <c r="F97" t="s">
        <v>352</v>
      </c>
      <c r="H97" s="344"/>
      <c r="I97" s="126"/>
      <c r="J97" s="124"/>
      <c r="K97" s="259"/>
    </row>
    <row r="98" spans="1:11" ht="13.5" thickBot="1" x14ac:dyDescent="0.25">
      <c r="A98" s="344"/>
      <c r="B98" s="344"/>
      <c r="C98" s="344"/>
      <c r="D98" s="344"/>
      <c r="E98" s="344"/>
      <c r="F98" s="346"/>
      <c r="G98" s="346"/>
      <c r="H98" s="123"/>
      <c r="I98" s="247"/>
      <c r="J98" s="362" t="s">
        <v>700</v>
      </c>
      <c r="K98" s="259"/>
    </row>
    <row r="99" spans="1:11" x14ac:dyDescent="0.2">
      <c r="A99" s="344"/>
      <c r="B99" s="344"/>
      <c r="C99" s="344"/>
      <c r="D99" s="344"/>
      <c r="E99" s="344"/>
      <c r="F99" s="347" t="s">
        <v>700</v>
      </c>
      <c r="G99" s="347"/>
      <c r="H99" s="327"/>
      <c r="I99" s="357" t="s">
        <v>8</v>
      </c>
      <c r="J99" s="133" t="s">
        <v>395</v>
      </c>
      <c r="K99" s="328"/>
    </row>
    <row r="100" spans="1:11" x14ac:dyDescent="0.2">
      <c r="A100" s="344"/>
      <c r="B100" s="344"/>
      <c r="C100" s="344"/>
      <c r="D100" s="344"/>
      <c r="E100" s="344"/>
      <c r="H100" s="344"/>
      <c r="I100" s="344"/>
      <c r="J100" s="344"/>
      <c r="K100" s="259"/>
    </row>
    <row r="101" spans="1:11" x14ac:dyDescent="0.2">
      <c r="A101" s="134">
        <v>1</v>
      </c>
      <c r="B101" s="397" t="s">
        <v>708</v>
      </c>
      <c r="C101" s="252"/>
      <c r="D101" s="252"/>
      <c r="E101" s="252"/>
      <c r="F101" s="252"/>
      <c r="G101" s="252"/>
      <c r="H101" s="252"/>
      <c r="I101" s="259"/>
    </row>
    <row r="102" spans="1:11" x14ac:dyDescent="0.2">
      <c r="A102" s="134">
        <v>2</v>
      </c>
      <c r="B102" s="136" t="s">
        <v>701</v>
      </c>
      <c r="C102" s="252"/>
      <c r="D102" s="252"/>
      <c r="E102" s="252"/>
      <c r="F102" s="252"/>
      <c r="G102" s="252"/>
      <c r="H102" s="252"/>
      <c r="I102" s="259"/>
    </row>
    <row r="103" spans="1:11" x14ac:dyDescent="0.2">
      <c r="A103" s="134">
        <v>3</v>
      </c>
      <c r="B103" s="307" t="s">
        <v>705</v>
      </c>
      <c r="C103" s="252"/>
      <c r="D103" s="252"/>
      <c r="E103" s="252"/>
      <c r="F103" s="252"/>
      <c r="G103" s="252"/>
      <c r="H103" s="252"/>
      <c r="I103" s="259"/>
    </row>
    <row r="104" spans="1:11" x14ac:dyDescent="0.2">
      <c r="A104" s="134">
        <v>4</v>
      </c>
      <c r="B104" s="27" t="s">
        <v>485</v>
      </c>
      <c r="C104" s="252"/>
      <c r="D104" s="252"/>
      <c r="E104" s="252"/>
      <c r="F104" s="252"/>
      <c r="G104" s="252"/>
      <c r="H104" s="252"/>
      <c r="I104" s="259"/>
    </row>
    <row r="105" spans="1:11" x14ac:dyDescent="0.2">
      <c r="A105" s="134">
        <v>5</v>
      </c>
      <c r="B105" s="319" t="s">
        <v>704</v>
      </c>
      <c r="C105" s="252"/>
      <c r="D105" s="252"/>
      <c r="E105" s="252"/>
      <c r="F105" s="252"/>
      <c r="G105" s="252"/>
      <c r="H105" s="252"/>
      <c r="I105" s="259"/>
    </row>
    <row r="106" spans="1:11" x14ac:dyDescent="0.2">
      <c r="A106" s="134">
        <v>6</v>
      </c>
      <c r="B106" s="319" t="s">
        <v>698</v>
      </c>
      <c r="C106" s="252"/>
      <c r="D106" s="252"/>
      <c r="E106" s="252"/>
      <c r="F106" s="252"/>
      <c r="G106" s="252"/>
      <c r="H106" s="252"/>
      <c r="I106" s="259"/>
    </row>
    <row r="107" spans="1:11" x14ac:dyDescent="0.2">
      <c r="A107" s="134">
        <v>7</v>
      </c>
      <c r="B107" s="319" t="s">
        <v>699</v>
      </c>
      <c r="C107" s="252"/>
      <c r="D107" s="252"/>
      <c r="E107" s="252"/>
      <c r="F107" s="252"/>
      <c r="G107" s="252"/>
      <c r="H107" s="252"/>
      <c r="I107" s="259"/>
    </row>
    <row r="108" spans="1:11" x14ac:dyDescent="0.2">
      <c r="A108" s="134">
        <v>8</v>
      </c>
      <c r="B108" s="319" t="s">
        <v>707</v>
      </c>
      <c r="C108" s="252"/>
      <c r="D108" s="252"/>
      <c r="E108" s="252"/>
      <c r="F108" s="252"/>
      <c r="G108" s="252"/>
      <c r="H108" s="252"/>
      <c r="I108" s="259"/>
    </row>
    <row r="109" spans="1:11" x14ac:dyDescent="0.2">
      <c r="A109" s="134">
        <v>9</v>
      </c>
      <c r="B109" s="320" t="s">
        <v>696</v>
      </c>
      <c r="C109" s="252"/>
      <c r="D109" s="252"/>
      <c r="E109" s="252"/>
      <c r="F109" s="252"/>
      <c r="G109" s="252"/>
      <c r="H109" s="252"/>
      <c r="I109" s="259"/>
    </row>
    <row r="110" spans="1:11" x14ac:dyDescent="0.2">
      <c r="A110" s="134">
        <v>10</v>
      </c>
      <c r="B110" s="320" t="s">
        <v>706</v>
      </c>
      <c r="C110" s="252"/>
      <c r="D110" s="252"/>
      <c r="E110" s="252"/>
      <c r="F110" s="252"/>
      <c r="G110" s="252"/>
      <c r="H110" s="252"/>
      <c r="I110" s="259"/>
    </row>
    <row r="111" spans="1:11" x14ac:dyDescent="0.2">
      <c r="A111" s="134">
        <v>11</v>
      </c>
      <c r="B111" s="144" t="s">
        <v>703</v>
      </c>
      <c r="C111" s="252"/>
      <c r="D111" s="252"/>
      <c r="E111" s="252"/>
      <c r="F111" s="252"/>
      <c r="G111" s="252"/>
      <c r="H111" s="252"/>
      <c r="I111" s="259"/>
    </row>
    <row r="112" spans="1:11" x14ac:dyDescent="0.2">
      <c r="A112" s="134">
        <v>12</v>
      </c>
      <c r="B112" s="320" t="s">
        <v>697</v>
      </c>
      <c r="C112" s="252"/>
      <c r="D112" s="252"/>
      <c r="E112" s="252"/>
      <c r="F112" s="252"/>
      <c r="G112" s="252"/>
      <c r="H112" s="252"/>
      <c r="I112" s="259"/>
    </row>
    <row r="113" spans="1:9" x14ac:dyDescent="0.2">
      <c r="A113" s="134">
        <v>13</v>
      </c>
      <c r="B113" s="342" t="s">
        <v>702</v>
      </c>
      <c r="C113" s="252"/>
      <c r="D113" s="252"/>
      <c r="E113" s="252"/>
      <c r="F113" s="252"/>
      <c r="G113" s="252"/>
      <c r="H113" s="252"/>
      <c r="I113" s="259"/>
    </row>
    <row r="114" spans="1:9" x14ac:dyDescent="0.2">
      <c r="A114" s="134">
        <v>14</v>
      </c>
      <c r="B114" s="144" t="s">
        <v>493</v>
      </c>
      <c r="C114" s="259"/>
      <c r="D114" s="259"/>
      <c r="E114" s="259"/>
      <c r="F114" s="259"/>
      <c r="G114" s="259"/>
      <c r="H114" s="259"/>
      <c r="I114" s="259"/>
    </row>
    <row r="115" spans="1:9" x14ac:dyDescent="0.2">
      <c r="A115" s="134">
        <v>15</v>
      </c>
      <c r="B115" s="320" t="s">
        <v>700</v>
      </c>
      <c r="C115" s="259"/>
      <c r="D115" s="259"/>
      <c r="E115" s="259"/>
      <c r="F115" s="259"/>
      <c r="G115" s="259"/>
      <c r="H115" s="259"/>
      <c r="I115" s="259"/>
    </row>
  </sheetData>
  <conditionalFormatting sqref="B37 B35:E36 D37:E37 H35:H46 B38:E62 H48:H62 B32:G34 I35:I62 B77:E99 I77:I99">
    <cfRule type="cellIs" dxfId="237" priority="5" stopIfTrue="1" operator="equal">
      <formula>13</formula>
    </cfRule>
  </conditionalFormatting>
  <conditionalFormatting sqref="H77:H83 H85:H99">
    <cfRule type="cellIs" dxfId="236" priority="4" stopIfTrue="1" operator="equal">
      <formula>13</formula>
    </cfRule>
  </conditionalFormatting>
  <conditionalFormatting sqref="C7:F10 C13:F16 C19:F22 C25:F28">
    <cfRule type="cellIs" dxfId="235" priority="3" stopIfTrue="1" operator="equal">
      <formula>13</formula>
    </cfRule>
  </conditionalFormatting>
  <conditionalFormatting sqref="B74 B72:E73 D74:E74 B75:E76 B69:G71 H72:I76">
    <cfRule type="cellIs" dxfId="234" priority="2" stopIfTrue="1" operator="equal">
      <formula>13</formula>
    </cfRule>
  </conditionalFormatting>
  <conditionalFormatting sqref="B32:I99">
    <cfRule type="cellIs" dxfId="233" priority="1" stopIfTrue="1" operator="equal">
      <formula>13</formula>
    </cfRule>
  </conditionalFormatting>
  <pageMargins left="0.39370078740157483" right="0.39370078740157483" top="0.78740157480314965" bottom="0.31496062992125984" header="0.59055118110236227" footer="0"/>
  <pageSetup paperSize="9" fitToHeight="0" orientation="landscape" r:id="rId1"/>
  <headerFooter>
    <oddHeader>&amp;RPage &amp;P of &amp;N</oddHeader>
  </headerFooter>
  <rowBreaks count="3" manualBreakCount="3">
    <brk id="28" max="16383" man="1"/>
    <brk id="65" max="16383" man="1"/>
    <brk id="99"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53"/>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244" customWidth="1"/>
    <col min="2" max="2" width="48.7109375" style="244" customWidth="1"/>
    <col min="3" max="3" width="7.28515625" style="244" customWidth="1"/>
    <col min="4" max="4" width="6.28515625" style="244" bestFit="1" customWidth="1"/>
    <col min="5" max="5" width="6.7109375" style="244" bestFit="1" customWidth="1"/>
    <col min="6" max="6" width="41.140625" style="244" customWidth="1"/>
    <col min="7" max="7" width="3.7109375" style="244" customWidth="1"/>
    <col min="8" max="9" width="9.140625" style="244"/>
    <col min="10" max="10" width="5.140625" style="244" customWidth="1"/>
    <col min="11" max="11" width="0.85546875" style="244" customWidth="1"/>
    <col min="12" max="16384" width="9.140625" style="244"/>
  </cols>
  <sheetData>
    <row r="1" spans="1:9" x14ac:dyDescent="0.2">
      <c r="A1" s="314" t="str">
        <f>UPPER((Kalend!E24)&amp;" - "&amp;(Kalend!C24)&amp;" - "&amp;(Kalend!D24))</f>
        <v>10 - EESTI REITINGUVÕISTLUS - TRIO</v>
      </c>
      <c r="D1" s="204" t="str">
        <f>HYPERLINK("#Üldreiting!I1","Reiting")</f>
        <v>Reiting</v>
      </c>
      <c r="E1" s="528"/>
      <c r="F1" s="528"/>
    </row>
    <row r="2" spans="1:9" x14ac:dyDescent="0.2">
      <c r="A2" s="309" t="str">
        <f>"Toimumisaeg: "&amp;(Kalend!A24)&amp;" kell "&amp;(Kalend!B24)</f>
        <v>Toimumisaeg: P, 10.07.2016 kell 10:00</v>
      </c>
    </row>
    <row r="3" spans="1:9" x14ac:dyDescent="0.2">
      <c r="A3" s="309" t="str">
        <f>"Toimumiskoht: "&amp;(Kalend!H24)</f>
        <v>Toimumiskoht: Valga, Metsa</v>
      </c>
      <c r="F3" s="542" t="s">
        <v>859</v>
      </c>
    </row>
    <row r="4" spans="1:9" x14ac:dyDescent="0.2">
      <c r="A4" s="309" t="str">
        <f>"Korraldaja: "&amp;(Kalend!I24)</f>
        <v>Korraldaja: PK Valga</v>
      </c>
      <c r="F4" s="542" t="s">
        <v>840</v>
      </c>
    </row>
    <row r="5" spans="1:9" s="259" customFormat="1" x14ac:dyDescent="0.2"/>
    <row r="6" spans="1:9" s="259" customFormat="1" x14ac:dyDescent="0.2">
      <c r="A6" s="338" t="s">
        <v>641</v>
      </c>
      <c r="B6" s="343"/>
      <c r="C6" s="540" t="s">
        <v>834</v>
      </c>
      <c r="D6" s="541" t="s">
        <v>835</v>
      </c>
      <c r="E6" s="540" t="s">
        <v>834</v>
      </c>
      <c r="F6" s="363"/>
    </row>
    <row r="7" spans="1:9" s="259" customFormat="1" x14ac:dyDescent="0.2">
      <c r="A7" s="313" t="s">
        <v>618</v>
      </c>
      <c r="B7" s="364" t="s">
        <v>717</v>
      </c>
      <c r="C7" s="365">
        <v>1</v>
      </c>
      <c r="D7" s="366" t="s">
        <v>635</v>
      </c>
      <c r="E7" s="365"/>
      <c r="F7" s="364" t="s">
        <v>718</v>
      </c>
      <c r="G7" s="52" t="s">
        <v>32</v>
      </c>
    </row>
    <row r="8" spans="1:9" s="259" customFormat="1" x14ac:dyDescent="0.2">
      <c r="A8" s="313" t="s">
        <v>626</v>
      </c>
      <c r="B8" s="364" t="s">
        <v>719</v>
      </c>
      <c r="C8" s="365">
        <v>1</v>
      </c>
      <c r="D8" s="366" t="s">
        <v>657</v>
      </c>
      <c r="E8" s="365"/>
      <c r="F8" s="367" t="s">
        <v>720</v>
      </c>
      <c r="G8" s="52" t="s">
        <v>326</v>
      </c>
    </row>
    <row r="9" spans="1:9" s="259" customFormat="1" x14ac:dyDescent="0.2">
      <c r="A9" s="313" t="s">
        <v>627</v>
      </c>
      <c r="B9" s="364" t="s">
        <v>721</v>
      </c>
      <c r="C9" s="365"/>
      <c r="D9" s="366" t="s">
        <v>722</v>
      </c>
      <c r="E9" s="365">
        <v>1</v>
      </c>
      <c r="F9" s="368" t="s">
        <v>723</v>
      </c>
      <c r="G9" s="52" t="s">
        <v>578</v>
      </c>
    </row>
    <row r="10" spans="1:9" s="259" customFormat="1" x14ac:dyDescent="0.2">
      <c r="A10" s="313" t="s">
        <v>628</v>
      </c>
      <c r="B10" s="369" t="s">
        <v>724</v>
      </c>
      <c r="C10" s="365">
        <v>1</v>
      </c>
      <c r="D10" s="366" t="s">
        <v>657</v>
      </c>
      <c r="E10" s="365"/>
      <c r="F10" s="369" t="s">
        <v>725</v>
      </c>
      <c r="G10" s="399" t="s">
        <v>619</v>
      </c>
    </row>
    <row r="11" spans="1:9" s="259" customFormat="1" x14ac:dyDescent="0.2">
      <c r="A11" s="313" t="s">
        <v>621</v>
      </c>
      <c r="B11" s="364" t="s">
        <v>726</v>
      </c>
      <c r="C11" s="365">
        <v>1</v>
      </c>
      <c r="D11" s="366" t="s">
        <v>648</v>
      </c>
      <c r="E11" s="365"/>
      <c r="F11" s="369" t="s">
        <v>728</v>
      </c>
      <c r="G11" s="399" t="s">
        <v>31</v>
      </c>
    </row>
    <row r="12" spans="1:9" s="259" customFormat="1" x14ac:dyDescent="0.2">
      <c r="A12" s="313" t="s">
        <v>620</v>
      </c>
      <c r="B12" s="364" t="s">
        <v>727</v>
      </c>
      <c r="C12" s="365"/>
      <c r="D12" s="366" t="s">
        <v>650</v>
      </c>
      <c r="E12" s="365">
        <v>1</v>
      </c>
      <c r="F12" s="527" t="s">
        <v>832</v>
      </c>
      <c r="G12" s="399" t="s">
        <v>337</v>
      </c>
    </row>
    <row r="13" spans="1:9" s="259" customFormat="1" x14ac:dyDescent="0.2">
      <c r="A13" s="313" t="s">
        <v>629</v>
      </c>
      <c r="B13" s="364" t="s">
        <v>729</v>
      </c>
      <c r="C13" s="365">
        <v>1</v>
      </c>
      <c r="D13" s="366" t="s">
        <v>635</v>
      </c>
      <c r="E13" s="365"/>
      <c r="F13" s="369" t="s">
        <v>730</v>
      </c>
      <c r="G13" s="399" t="s">
        <v>632</v>
      </c>
    </row>
    <row r="14" spans="1:9" s="259" customFormat="1" x14ac:dyDescent="0.2">
      <c r="A14" s="313" t="s">
        <v>630</v>
      </c>
      <c r="B14" s="364" t="s">
        <v>731</v>
      </c>
      <c r="C14" s="365"/>
      <c r="D14" s="366" t="s">
        <v>732</v>
      </c>
      <c r="E14" s="365">
        <v>1</v>
      </c>
      <c r="F14" s="400" t="s">
        <v>733</v>
      </c>
      <c r="G14" s="399" t="s">
        <v>367</v>
      </c>
    </row>
    <row r="15" spans="1:9" s="259" customFormat="1" x14ac:dyDescent="0.2">
      <c r="A15" s="340" t="s">
        <v>642</v>
      </c>
      <c r="B15" s="343"/>
      <c r="C15" s="540" t="s">
        <v>834</v>
      </c>
      <c r="D15" s="541" t="s">
        <v>835</v>
      </c>
      <c r="E15" s="540" t="s">
        <v>834</v>
      </c>
      <c r="F15" s="363"/>
      <c r="G15" s="52"/>
    </row>
    <row r="16" spans="1:9" s="259" customFormat="1" x14ac:dyDescent="0.2">
      <c r="A16" s="313" t="s">
        <v>618</v>
      </c>
      <c r="B16" s="364" t="s">
        <v>717</v>
      </c>
      <c r="C16" s="365">
        <v>1</v>
      </c>
      <c r="D16" s="366" t="s">
        <v>654</v>
      </c>
      <c r="E16" s="365"/>
      <c r="F16" s="27" t="s">
        <v>733</v>
      </c>
      <c r="G16" s="52" t="s">
        <v>367</v>
      </c>
      <c r="I16" s="52"/>
    </row>
    <row r="17" spans="1:9" s="259" customFormat="1" x14ac:dyDescent="0.2">
      <c r="A17" s="313" t="s">
        <v>626</v>
      </c>
      <c r="B17" s="364" t="s">
        <v>719</v>
      </c>
      <c r="C17" s="365">
        <v>1</v>
      </c>
      <c r="D17" s="366" t="s">
        <v>647</v>
      </c>
      <c r="E17" s="365"/>
      <c r="F17" s="364" t="s">
        <v>726</v>
      </c>
      <c r="G17" s="52" t="s">
        <v>621</v>
      </c>
      <c r="I17" s="52"/>
    </row>
    <row r="18" spans="1:9" s="259" customFormat="1" x14ac:dyDescent="0.2">
      <c r="A18" s="313" t="s">
        <v>627</v>
      </c>
      <c r="B18" s="364" t="s">
        <v>721</v>
      </c>
      <c r="C18" s="365"/>
      <c r="D18" s="366" t="s">
        <v>653</v>
      </c>
      <c r="E18" s="365">
        <v>1</v>
      </c>
      <c r="F18" s="364" t="s">
        <v>727</v>
      </c>
      <c r="G18" s="52" t="s">
        <v>620</v>
      </c>
    </row>
    <row r="19" spans="1:9" s="259" customFormat="1" x14ac:dyDescent="0.2">
      <c r="A19" s="313" t="s">
        <v>628</v>
      </c>
      <c r="B19" s="369" t="s">
        <v>724</v>
      </c>
      <c r="C19" s="365"/>
      <c r="D19" s="366" t="s">
        <v>638</v>
      </c>
      <c r="E19" s="365">
        <v>1</v>
      </c>
      <c r="F19" s="27" t="s">
        <v>831</v>
      </c>
      <c r="G19" s="52" t="s">
        <v>337</v>
      </c>
    </row>
    <row r="20" spans="1:9" s="259" customFormat="1" x14ac:dyDescent="0.2">
      <c r="A20" s="313" t="s">
        <v>629</v>
      </c>
      <c r="B20" s="364" t="s">
        <v>729</v>
      </c>
      <c r="C20" s="365">
        <v>1</v>
      </c>
      <c r="D20" s="366" t="s">
        <v>624</v>
      </c>
      <c r="E20" s="365"/>
      <c r="F20" s="368" t="s">
        <v>723</v>
      </c>
      <c r="G20" s="52" t="s">
        <v>578</v>
      </c>
    </row>
    <row r="21" spans="1:9" s="259" customFormat="1" x14ac:dyDescent="0.2">
      <c r="A21" s="313" t="s">
        <v>630</v>
      </c>
      <c r="B21" s="364" t="s">
        <v>731</v>
      </c>
      <c r="C21" s="365"/>
      <c r="D21" s="366" t="s">
        <v>650</v>
      </c>
      <c r="E21" s="365">
        <v>1</v>
      </c>
      <c r="F21" s="364" t="s">
        <v>725</v>
      </c>
      <c r="G21" s="52" t="s">
        <v>619</v>
      </c>
    </row>
    <row r="22" spans="1:9" s="259" customFormat="1" x14ac:dyDescent="0.2">
      <c r="A22" s="321" t="s">
        <v>32</v>
      </c>
      <c r="B22" s="364" t="s">
        <v>718</v>
      </c>
      <c r="C22" s="365">
        <v>1</v>
      </c>
      <c r="D22" s="366" t="s">
        <v>735</v>
      </c>
      <c r="E22" s="365"/>
      <c r="F22" s="364" t="s">
        <v>730</v>
      </c>
      <c r="G22" s="52" t="s">
        <v>632</v>
      </c>
    </row>
    <row r="23" spans="1:9" s="259" customFormat="1" x14ac:dyDescent="0.2">
      <c r="A23" s="321" t="s">
        <v>326</v>
      </c>
      <c r="B23" s="367" t="s">
        <v>720</v>
      </c>
      <c r="C23" s="365"/>
      <c r="D23" s="366" t="s">
        <v>645</v>
      </c>
      <c r="E23" s="365">
        <v>1</v>
      </c>
      <c r="F23" s="364" t="s">
        <v>728</v>
      </c>
      <c r="G23" s="52" t="s">
        <v>31</v>
      </c>
    </row>
    <row r="24" spans="1:9" s="259" customFormat="1" x14ac:dyDescent="0.2">
      <c r="A24" s="338" t="s">
        <v>643</v>
      </c>
      <c r="B24" s="343"/>
      <c r="C24" s="540" t="s">
        <v>834</v>
      </c>
      <c r="D24" s="541" t="s">
        <v>835</v>
      </c>
      <c r="E24" s="540" t="s">
        <v>834</v>
      </c>
      <c r="F24" s="363"/>
      <c r="G24" s="52"/>
    </row>
    <row r="25" spans="1:9" s="259" customFormat="1" x14ac:dyDescent="0.2">
      <c r="A25" s="313" t="s">
        <v>618</v>
      </c>
      <c r="B25" s="364" t="s">
        <v>717</v>
      </c>
      <c r="C25" s="365">
        <v>1</v>
      </c>
      <c r="D25" s="366" t="s">
        <v>652</v>
      </c>
      <c r="E25" s="365"/>
      <c r="F25" s="27" t="s">
        <v>831</v>
      </c>
      <c r="G25" s="52" t="s">
        <v>337</v>
      </c>
    </row>
    <row r="26" spans="1:9" s="259" customFormat="1" x14ac:dyDescent="0.2">
      <c r="A26" s="313" t="s">
        <v>626</v>
      </c>
      <c r="B26" s="364" t="s">
        <v>719</v>
      </c>
      <c r="C26" s="365">
        <v>1</v>
      </c>
      <c r="D26" s="366" t="s">
        <v>734</v>
      </c>
      <c r="E26" s="365"/>
      <c r="F26" s="364" t="s">
        <v>729</v>
      </c>
      <c r="G26" s="52" t="s">
        <v>629</v>
      </c>
      <c r="I26" s="52"/>
    </row>
    <row r="27" spans="1:9" s="259" customFormat="1" x14ac:dyDescent="0.2">
      <c r="A27" s="313" t="s">
        <v>627</v>
      </c>
      <c r="B27" s="364" t="s">
        <v>721</v>
      </c>
      <c r="C27" s="365"/>
      <c r="D27" s="366" t="s">
        <v>638</v>
      </c>
      <c r="E27" s="365">
        <v>1</v>
      </c>
      <c r="F27" s="364" t="s">
        <v>731</v>
      </c>
      <c r="G27" s="52" t="s">
        <v>630</v>
      </c>
    </row>
    <row r="28" spans="1:9" s="259" customFormat="1" x14ac:dyDescent="0.2">
      <c r="A28" s="313" t="s">
        <v>628</v>
      </c>
      <c r="B28" s="369" t="s">
        <v>724</v>
      </c>
      <c r="C28" s="365"/>
      <c r="D28" s="366" t="s">
        <v>640</v>
      </c>
      <c r="E28" s="365">
        <v>1</v>
      </c>
      <c r="F28" s="364" t="s">
        <v>726</v>
      </c>
      <c r="G28" s="323" t="s">
        <v>621</v>
      </c>
    </row>
    <row r="29" spans="1:9" s="259" customFormat="1" x14ac:dyDescent="0.2">
      <c r="A29" s="313" t="s">
        <v>620</v>
      </c>
      <c r="B29" s="364" t="s">
        <v>727</v>
      </c>
      <c r="C29" s="365">
        <v>1</v>
      </c>
      <c r="D29" s="366" t="s">
        <v>654</v>
      </c>
      <c r="E29" s="365"/>
      <c r="F29" s="364" t="s">
        <v>718</v>
      </c>
      <c r="G29" s="52" t="s">
        <v>32</v>
      </c>
    </row>
    <row r="30" spans="1:9" s="259" customFormat="1" x14ac:dyDescent="0.2">
      <c r="A30" s="321" t="s">
        <v>367</v>
      </c>
      <c r="B30" s="27" t="s">
        <v>733</v>
      </c>
      <c r="C30" s="401">
        <v>1</v>
      </c>
      <c r="D30" s="366" t="s">
        <v>657</v>
      </c>
      <c r="E30" s="272"/>
      <c r="F30" s="368" t="s">
        <v>723</v>
      </c>
      <c r="G30" s="52" t="s">
        <v>578</v>
      </c>
    </row>
    <row r="31" spans="1:9" s="259" customFormat="1" x14ac:dyDescent="0.2">
      <c r="A31" s="321" t="s">
        <v>619</v>
      </c>
      <c r="B31" s="364" t="s">
        <v>725</v>
      </c>
      <c r="C31" s="365">
        <v>1</v>
      </c>
      <c r="D31" s="366" t="s">
        <v>651</v>
      </c>
      <c r="E31" s="365"/>
      <c r="F31" s="364" t="s">
        <v>728</v>
      </c>
      <c r="G31" s="52" t="s">
        <v>31</v>
      </c>
    </row>
    <row r="32" spans="1:9" s="259" customFormat="1" x14ac:dyDescent="0.2">
      <c r="A32" s="313" t="s">
        <v>326</v>
      </c>
      <c r="B32" s="367" t="s">
        <v>720</v>
      </c>
      <c r="C32" s="365">
        <v>1</v>
      </c>
      <c r="D32" s="366" t="s">
        <v>624</v>
      </c>
      <c r="E32" s="365"/>
      <c r="F32" s="364" t="s">
        <v>730</v>
      </c>
      <c r="G32" s="52" t="s">
        <v>632</v>
      </c>
    </row>
    <row r="33" spans="1:9" s="259" customFormat="1" x14ac:dyDescent="0.2">
      <c r="A33" s="338" t="s">
        <v>644</v>
      </c>
      <c r="B33" s="343"/>
      <c r="C33" s="540" t="s">
        <v>834</v>
      </c>
      <c r="D33" s="541" t="s">
        <v>835</v>
      </c>
      <c r="E33" s="540" t="s">
        <v>834</v>
      </c>
      <c r="F33" s="363"/>
      <c r="G33" s="52"/>
    </row>
    <row r="34" spans="1:9" s="259" customFormat="1" x14ac:dyDescent="0.2">
      <c r="A34" s="313" t="s">
        <v>618</v>
      </c>
      <c r="B34" s="364" t="s">
        <v>717</v>
      </c>
      <c r="C34" s="365"/>
      <c r="D34" s="366" t="s">
        <v>655</v>
      </c>
      <c r="E34" s="365">
        <v>1</v>
      </c>
      <c r="F34" s="364" t="s">
        <v>719</v>
      </c>
      <c r="G34" s="52" t="s">
        <v>626</v>
      </c>
    </row>
    <row r="35" spans="1:9" s="259" customFormat="1" x14ac:dyDescent="0.2">
      <c r="A35" s="313" t="s">
        <v>627</v>
      </c>
      <c r="B35" s="364" t="s">
        <v>721</v>
      </c>
      <c r="C35" s="365"/>
      <c r="D35" s="366" t="s">
        <v>722</v>
      </c>
      <c r="E35" s="365">
        <v>1</v>
      </c>
      <c r="F35" s="364" t="s">
        <v>730</v>
      </c>
      <c r="G35" s="52" t="s">
        <v>632</v>
      </c>
      <c r="I35" s="52"/>
    </row>
    <row r="36" spans="1:9" s="259" customFormat="1" x14ac:dyDescent="0.2">
      <c r="A36" s="313" t="s">
        <v>628</v>
      </c>
      <c r="B36" s="369" t="s">
        <v>724</v>
      </c>
      <c r="C36" s="365">
        <v>1</v>
      </c>
      <c r="D36" s="366" t="s">
        <v>647</v>
      </c>
      <c r="E36" s="365"/>
      <c r="F36" s="364" t="s">
        <v>718</v>
      </c>
      <c r="G36" s="52" t="s">
        <v>32</v>
      </c>
    </row>
    <row r="37" spans="1:9" s="259" customFormat="1" x14ac:dyDescent="0.2">
      <c r="A37" s="313" t="s">
        <v>621</v>
      </c>
      <c r="B37" s="364" t="s">
        <v>726</v>
      </c>
      <c r="C37" s="365">
        <v>1</v>
      </c>
      <c r="D37" s="366" t="s">
        <v>735</v>
      </c>
      <c r="E37" s="365"/>
      <c r="F37" s="27" t="s">
        <v>831</v>
      </c>
      <c r="G37" s="52" t="s">
        <v>337</v>
      </c>
    </row>
    <row r="38" spans="1:9" s="259" customFormat="1" x14ac:dyDescent="0.2">
      <c r="A38" s="313" t="s">
        <v>620</v>
      </c>
      <c r="B38" s="364" t="s">
        <v>727</v>
      </c>
      <c r="C38" s="365"/>
      <c r="D38" s="366" t="s">
        <v>650</v>
      </c>
      <c r="E38" s="365">
        <v>1</v>
      </c>
      <c r="F38" s="364" t="s">
        <v>725</v>
      </c>
      <c r="G38" s="52" t="s">
        <v>619</v>
      </c>
    </row>
    <row r="39" spans="1:9" s="259" customFormat="1" x14ac:dyDescent="0.2">
      <c r="A39" s="313" t="s">
        <v>629</v>
      </c>
      <c r="B39" s="364" t="s">
        <v>729</v>
      </c>
      <c r="C39" s="365">
        <v>1</v>
      </c>
      <c r="D39" s="366" t="s">
        <v>736</v>
      </c>
      <c r="E39" s="365"/>
      <c r="F39" s="27" t="s">
        <v>733</v>
      </c>
      <c r="G39" s="52" t="s">
        <v>367</v>
      </c>
    </row>
    <row r="40" spans="1:9" s="259" customFormat="1" x14ac:dyDescent="0.2">
      <c r="A40" s="313" t="s">
        <v>630</v>
      </c>
      <c r="B40" s="364" t="s">
        <v>731</v>
      </c>
      <c r="C40" s="365"/>
      <c r="D40" s="366" t="s">
        <v>639</v>
      </c>
      <c r="E40" s="365">
        <v>1</v>
      </c>
      <c r="F40" s="364" t="s">
        <v>728</v>
      </c>
      <c r="G40" s="52" t="s">
        <v>31</v>
      </c>
    </row>
    <row r="41" spans="1:9" s="259" customFormat="1" x14ac:dyDescent="0.2">
      <c r="A41" s="321" t="s">
        <v>326</v>
      </c>
      <c r="B41" s="367" t="s">
        <v>720</v>
      </c>
      <c r="C41" s="365">
        <v>1</v>
      </c>
      <c r="D41" s="366" t="s">
        <v>734</v>
      </c>
      <c r="E41" s="365"/>
      <c r="F41" s="368" t="s">
        <v>723</v>
      </c>
      <c r="G41" s="52" t="s">
        <v>578</v>
      </c>
    </row>
    <row r="42" spans="1:9" s="528" customFormat="1" x14ac:dyDescent="0.2">
      <c r="A42" s="313"/>
      <c r="B42" s="526"/>
      <c r="C42" s="515"/>
      <c r="D42" s="524"/>
      <c r="E42" s="515"/>
      <c r="F42" s="531"/>
      <c r="G42" s="52"/>
      <c r="I42" s="313"/>
    </row>
    <row r="43" spans="1:9" s="528" customFormat="1" x14ac:dyDescent="0.2">
      <c r="A43" s="560" t="s">
        <v>837</v>
      </c>
      <c r="B43" s="526"/>
      <c r="C43" s="515"/>
      <c r="D43" s="524"/>
      <c r="E43" s="515"/>
      <c r="F43" s="531"/>
      <c r="G43" s="52"/>
      <c r="I43" s="313"/>
    </row>
    <row r="44" spans="1:9" s="528" customFormat="1" x14ac:dyDescent="0.2">
      <c r="A44" s="313"/>
      <c r="B44" s="526"/>
      <c r="C44" s="538" t="s">
        <v>337</v>
      </c>
      <c r="D44" s="539" t="s">
        <v>336</v>
      </c>
      <c r="E44" s="538" t="s">
        <v>338</v>
      </c>
      <c r="F44" s="531"/>
      <c r="G44" s="52"/>
      <c r="I44" s="313"/>
    </row>
    <row r="45" spans="1:9" s="528" customFormat="1" x14ac:dyDescent="0.2">
      <c r="A45" s="313"/>
      <c r="B45" s="518"/>
      <c r="C45" s="564" t="s">
        <v>834</v>
      </c>
      <c r="D45" s="535" t="s">
        <v>842</v>
      </c>
      <c r="E45" s="534" t="s">
        <v>835</v>
      </c>
      <c r="F45" s="313"/>
      <c r="G45" s="52"/>
      <c r="I45" s="313"/>
    </row>
    <row r="46" spans="1:9" s="528" customFormat="1" ht="13.5" thickBot="1" x14ac:dyDescent="0.25">
      <c r="A46" s="313">
        <v>1</v>
      </c>
      <c r="B46" s="516" t="s">
        <v>719</v>
      </c>
      <c r="C46" s="568">
        <v>4</v>
      </c>
      <c r="D46" s="537">
        <v>11</v>
      </c>
      <c r="E46" s="561">
        <v>20</v>
      </c>
      <c r="F46" s="567" t="s">
        <v>843</v>
      </c>
      <c r="G46" s="52"/>
      <c r="I46" s="313"/>
    </row>
    <row r="47" spans="1:9" s="528" customFormat="1" x14ac:dyDescent="0.2">
      <c r="A47" s="313">
        <v>2</v>
      </c>
      <c r="B47" s="516" t="s">
        <v>726</v>
      </c>
      <c r="C47" s="572">
        <v>3</v>
      </c>
      <c r="D47" s="544">
        <v>10</v>
      </c>
      <c r="E47" s="561">
        <v>28</v>
      </c>
      <c r="F47" s="567" t="s">
        <v>844</v>
      </c>
      <c r="G47" s="52"/>
      <c r="I47" s="313"/>
    </row>
    <row r="48" spans="1:9" s="528" customFormat="1" x14ac:dyDescent="0.2">
      <c r="A48" s="313">
        <v>3</v>
      </c>
      <c r="B48" s="516" t="s">
        <v>717</v>
      </c>
      <c r="C48" s="543">
        <v>3</v>
      </c>
      <c r="D48" s="544">
        <v>9</v>
      </c>
      <c r="E48" s="561">
        <v>14</v>
      </c>
      <c r="F48" s="567" t="s">
        <v>845</v>
      </c>
      <c r="G48" s="52"/>
      <c r="I48" s="313"/>
    </row>
    <row r="49" spans="1:9" s="528" customFormat="1" x14ac:dyDescent="0.2">
      <c r="A49" s="313">
        <v>4</v>
      </c>
      <c r="B49" s="516" t="s">
        <v>729</v>
      </c>
      <c r="C49" s="543">
        <v>3</v>
      </c>
      <c r="D49" s="544">
        <v>8</v>
      </c>
      <c r="E49" s="561">
        <v>0</v>
      </c>
      <c r="F49" s="567" t="s">
        <v>846</v>
      </c>
      <c r="G49" s="52"/>
      <c r="I49" s="313"/>
    </row>
    <row r="50" spans="1:9" s="528" customFormat="1" ht="13.5" thickBot="1" x14ac:dyDescent="0.25">
      <c r="A50" s="313">
        <v>5</v>
      </c>
      <c r="B50" s="516" t="s">
        <v>725</v>
      </c>
      <c r="C50" s="547">
        <v>3</v>
      </c>
      <c r="D50" s="544">
        <v>7</v>
      </c>
      <c r="E50" s="561">
        <v>-5</v>
      </c>
      <c r="F50" s="567" t="s">
        <v>847</v>
      </c>
      <c r="G50" s="52"/>
      <c r="I50" s="313"/>
    </row>
    <row r="51" spans="1:9" s="528" customFormat="1" x14ac:dyDescent="0.2">
      <c r="A51" s="313">
        <v>6</v>
      </c>
      <c r="B51" s="27" t="s">
        <v>831</v>
      </c>
      <c r="C51" s="563">
        <v>2</v>
      </c>
      <c r="D51" s="537">
        <v>10</v>
      </c>
      <c r="E51" s="561">
        <v>-3</v>
      </c>
      <c r="F51" s="567" t="s">
        <v>848</v>
      </c>
      <c r="G51" s="52"/>
      <c r="I51" s="313"/>
    </row>
    <row r="52" spans="1:9" s="528" customFormat="1" x14ac:dyDescent="0.2">
      <c r="A52" s="313">
        <v>7</v>
      </c>
      <c r="B52" s="516" t="s">
        <v>728</v>
      </c>
      <c r="C52" s="561">
        <v>2</v>
      </c>
      <c r="D52" s="558">
        <v>9</v>
      </c>
      <c r="E52" s="559">
        <v>9</v>
      </c>
      <c r="F52" s="567" t="s">
        <v>849</v>
      </c>
      <c r="G52" s="52"/>
      <c r="I52" s="313"/>
    </row>
    <row r="53" spans="1:9" s="528" customFormat="1" x14ac:dyDescent="0.2">
      <c r="A53" s="313">
        <v>8</v>
      </c>
      <c r="B53" s="369" t="s">
        <v>724</v>
      </c>
      <c r="C53" s="561">
        <v>2</v>
      </c>
      <c r="D53" s="558">
        <v>9</v>
      </c>
      <c r="E53" s="559">
        <v>3</v>
      </c>
      <c r="F53" s="567" t="s">
        <v>850</v>
      </c>
      <c r="G53" s="52"/>
      <c r="I53" s="313"/>
    </row>
    <row r="54" spans="1:9" s="528" customFormat="1" x14ac:dyDescent="0.2">
      <c r="A54" s="550"/>
      <c r="B54" s="569"/>
      <c r="C54" s="570"/>
      <c r="D54" s="571"/>
      <c r="E54" s="570"/>
      <c r="G54" s="52"/>
      <c r="I54" s="313"/>
    </row>
    <row r="55" spans="1:9" s="528" customFormat="1" x14ac:dyDescent="0.2">
      <c r="A55" s="313">
        <v>9</v>
      </c>
      <c r="B55" s="27" t="s">
        <v>733</v>
      </c>
      <c r="C55" s="561">
        <v>2</v>
      </c>
      <c r="D55" s="545">
        <v>8</v>
      </c>
      <c r="E55" s="546">
        <v>2</v>
      </c>
      <c r="F55" s="567" t="s">
        <v>851</v>
      </c>
      <c r="G55" s="52"/>
      <c r="I55" s="313"/>
    </row>
    <row r="56" spans="1:9" s="528" customFormat="1" x14ac:dyDescent="0.2">
      <c r="A56" s="313">
        <v>10</v>
      </c>
      <c r="B56" s="427" t="s">
        <v>720</v>
      </c>
      <c r="C56" s="561">
        <v>2</v>
      </c>
      <c r="D56" s="545">
        <v>8</v>
      </c>
      <c r="E56" s="546">
        <v>-16</v>
      </c>
      <c r="F56" s="567" t="s">
        <v>852</v>
      </c>
      <c r="G56" s="52"/>
      <c r="I56" s="313"/>
    </row>
    <row r="57" spans="1:9" s="528" customFormat="1" ht="13.5" thickBot="1" x14ac:dyDescent="0.25">
      <c r="A57" s="313">
        <v>11</v>
      </c>
      <c r="B57" s="516" t="s">
        <v>727</v>
      </c>
      <c r="C57" s="562">
        <v>2</v>
      </c>
      <c r="D57" s="537">
        <v>6</v>
      </c>
      <c r="E57" s="561">
        <v>12</v>
      </c>
      <c r="F57" s="567" t="s">
        <v>853</v>
      </c>
      <c r="G57" s="52"/>
      <c r="I57" s="313"/>
    </row>
    <row r="58" spans="1:9" s="528" customFormat="1" x14ac:dyDescent="0.2">
      <c r="A58" s="313">
        <v>12</v>
      </c>
      <c r="B58" s="516" t="s">
        <v>718</v>
      </c>
      <c r="C58" s="563">
        <v>1</v>
      </c>
      <c r="D58" s="537">
        <v>8</v>
      </c>
      <c r="E58" s="561">
        <v>-4</v>
      </c>
      <c r="F58" s="567" t="s">
        <v>854</v>
      </c>
      <c r="G58" s="52"/>
      <c r="I58" s="313"/>
    </row>
    <row r="59" spans="1:9" s="528" customFormat="1" x14ac:dyDescent="0.2">
      <c r="A59" s="313">
        <v>13</v>
      </c>
      <c r="B59" s="516" t="s">
        <v>731</v>
      </c>
      <c r="C59" s="561">
        <v>1</v>
      </c>
      <c r="D59" s="558">
        <v>7</v>
      </c>
      <c r="E59" s="559">
        <v>-3</v>
      </c>
      <c r="F59" s="567" t="s">
        <v>855</v>
      </c>
      <c r="G59" s="52"/>
      <c r="I59" s="313"/>
    </row>
    <row r="60" spans="1:9" s="528" customFormat="1" x14ac:dyDescent="0.2">
      <c r="A60" s="313">
        <v>14</v>
      </c>
      <c r="B60" s="368" t="s">
        <v>723</v>
      </c>
      <c r="C60" s="561">
        <v>1</v>
      </c>
      <c r="D60" s="558">
        <v>7</v>
      </c>
      <c r="E60" s="559">
        <v>-16</v>
      </c>
      <c r="F60" s="567" t="s">
        <v>856</v>
      </c>
      <c r="G60" s="52"/>
      <c r="I60" s="313"/>
    </row>
    <row r="61" spans="1:9" s="528" customFormat="1" ht="13.5" thickBot="1" x14ac:dyDescent="0.25">
      <c r="A61" s="313">
        <v>15</v>
      </c>
      <c r="B61" s="516" t="s">
        <v>730</v>
      </c>
      <c r="C61" s="562">
        <v>1</v>
      </c>
      <c r="D61" s="537">
        <v>6</v>
      </c>
      <c r="E61" s="561">
        <v>-11</v>
      </c>
      <c r="F61" s="567" t="s">
        <v>857</v>
      </c>
      <c r="G61" s="52"/>
      <c r="I61" s="313"/>
    </row>
    <row r="62" spans="1:9" s="528" customFormat="1" x14ac:dyDescent="0.2">
      <c r="A62" s="313">
        <v>16</v>
      </c>
      <c r="B62" s="516" t="s">
        <v>721</v>
      </c>
      <c r="C62" s="563">
        <v>0</v>
      </c>
      <c r="D62" s="537">
        <v>5</v>
      </c>
      <c r="E62" s="561">
        <v>-20</v>
      </c>
      <c r="F62" s="567" t="s">
        <v>858</v>
      </c>
      <c r="G62" s="52"/>
      <c r="I62" s="313"/>
    </row>
    <row r="63" spans="1:9" s="259" customFormat="1" x14ac:dyDescent="0.2"/>
    <row r="64" spans="1:9" s="259" customFormat="1" x14ac:dyDescent="0.2">
      <c r="A64" s="119" t="s">
        <v>376</v>
      </c>
      <c r="B64" s="371"/>
      <c r="C64" s="371"/>
      <c r="D64" s="371"/>
      <c r="E64" s="371"/>
      <c r="F64" s="371"/>
      <c r="G64" s="371"/>
      <c r="H64" s="371"/>
    </row>
    <row r="65" spans="1:11" s="259" customFormat="1" x14ac:dyDescent="0.2">
      <c r="A65" s="119"/>
      <c r="B65" s="371"/>
      <c r="C65" s="371"/>
      <c r="D65" s="371"/>
      <c r="E65" s="371"/>
      <c r="F65" s="371"/>
      <c r="G65" s="371"/>
      <c r="H65" s="371"/>
    </row>
    <row r="66" spans="1:11" s="259" customFormat="1" x14ac:dyDescent="0.2">
      <c r="A66" s="120">
        <v>1</v>
      </c>
      <c r="B66" s="371" t="s">
        <v>719</v>
      </c>
      <c r="C66" s="372">
        <v>4</v>
      </c>
      <c r="D66" s="371"/>
      <c r="E66" s="371"/>
      <c r="F66" s="371"/>
      <c r="G66" s="371"/>
      <c r="H66" s="371"/>
    </row>
    <row r="67" spans="1:11" s="259" customFormat="1" x14ac:dyDescent="0.2">
      <c r="A67" s="371"/>
      <c r="B67" s="373"/>
      <c r="C67" s="374" t="s">
        <v>724</v>
      </c>
      <c r="D67" s="375"/>
      <c r="E67" s="371"/>
      <c r="F67" s="372">
        <v>5</v>
      </c>
      <c r="G67" s="371"/>
      <c r="H67" s="371"/>
    </row>
    <row r="68" spans="1:11" s="259" customFormat="1" x14ac:dyDescent="0.2">
      <c r="A68" s="120">
        <v>8</v>
      </c>
      <c r="B68" s="376" t="s">
        <v>724</v>
      </c>
      <c r="C68" s="377">
        <v>13</v>
      </c>
      <c r="D68" s="371"/>
      <c r="E68" s="378"/>
      <c r="F68" s="371"/>
      <c r="G68" s="371"/>
      <c r="H68" s="371"/>
    </row>
    <row r="69" spans="1:11" s="259" customFormat="1" x14ac:dyDescent="0.2">
      <c r="A69" s="371"/>
      <c r="B69" s="371"/>
      <c r="C69" s="371"/>
      <c r="D69" s="379"/>
      <c r="E69" s="380"/>
      <c r="F69" s="371" t="s">
        <v>729</v>
      </c>
      <c r="G69" s="396">
        <v>11</v>
      </c>
      <c r="H69" s="371"/>
    </row>
    <row r="70" spans="1:11" s="259" customFormat="1" x14ac:dyDescent="0.2">
      <c r="A70" s="120">
        <v>4</v>
      </c>
      <c r="B70" s="381" t="s">
        <v>729</v>
      </c>
      <c r="C70" s="382">
        <v>13</v>
      </c>
      <c r="D70" s="371"/>
      <c r="E70" s="380"/>
      <c r="F70" s="378"/>
      <c r="G70" s="371"/>
      <c r="H70" s="371"/>
    </row>
    <row r="71" spans="1:11" s="259" customFormat="1" x14ac:dyDescent="0.2">
      <c r="A71" s="371"/>
      <c r="B71" s="378"/>
      <c r="C71" s="259" t="s">
        <v>729</v>
      </c>
      <c r="D71" s="371"/>
      <c r="E71" s="383"/>
      <c r="F71" s="384">
        <v>13</v>
      </c>
      <c r="G71" s="371"/>
      <c r="H71" s="371"/>
    </row>
    <row r="72" spans="1:11" s="259" customFormat="1" x14ac:dyDescent="0.2">
      <c r="A72" s="120">
        <v>5</v>
      </c>
      <c r="B72" s="376" t="s">
        <v>725</v>
      </c>
      <c r="C72" s="385">
        <v>12</v>
      </c>
      <c r="D72" s="373"/>
      <c r="E72" s="371"/>
      <c r="F72" s="380"/>
      <c r="G72" s="371"/>
      <c r="H72" s="371"/>
    </row>
    <row r="73" spans="1:11" s="259" customFormat="1" ht="13.5" thickBot="1" x14ac:dyDescent="0.25">
      <c r="A73" s="371"/>
      <c r="B73" s="371"/>
      <c r="C73" s="371"/>
      <c r="D73" s="371"/>
      <c r="E73" s="371"/>
      <c r="F73" s="380"/>
      <c r="G73" s="371"/>
      <c r="H73" s="386" t="s">
        <v>726</v>
      </c>
      <c r="K73" s="259" t="s">
        <v>8</v>
      </c>
    </row>
    <row r="74" spans="1:11" s="259" customFormat="1" x14ac:dyDescent="0.2">
      <c r="A74" s="120">
        <v>3</v>
      </c>
      <c r="B74" s="371" t="s">
        <v>717</v>
      </c>
      <c r="C74" s="372">
        <v>8</v>
      </c>
      <c r="D74" s="371"/>
      <c r="E74" s="371"/>
      <c r="F74" s="380"/>
      <c r="G74" s="387"/>
      <c r="H74" s="129" t="s">
        <v>357</v>
      </c>
      <c r="I74" s="328"/>
    </row>
    <row r="75" spans="1:11" s="259" customFormat="1" x14ac:dyDescent="0.2">
      <c r="A75" s="371"/>
      <c r="B75" s="373"/>
      <c r="C75" s="402" t="s">
        <v>831</v>
      </c>
      <c r="D75" s="375"/>
      <c r="E75" s="371"/>
      <c r="F75" s="384">
        <v>12</v>
      </c>
      <c r="G75" s="371"/>
      <c r="H75" s="371"/>
      <c r="I75" s="329"/>
    </row>
    <row r="76" spans="1:11" s="259" customFormat="1" ht="13.5" thickBot="1" x14ac:dyDescent="0.25">
      <c r="A76" s="120">
        <v>6</v>
      </c>
      <c r="B76" s="403" t="s">
        <v>831</v>
      </c>
      <c r="C76" s="377">
        <v>13</v>
      </c>
      <c r="D76" s="371"/>
      <c r="E76" s="378"/>
      <c r="F76" s="380"/>
      <c r="G76" s="371"/>
      <c r="H76" s="388" t="s">
        <v>729</v>
      </c>
      <c r="I76" s="275"/>
      <c r="K76" s="259" t="s">
        <v>8</v>
      </c>
    </row>
    <row r="77" spans="1:11" s="259" customFormat="1" x14ac:dyDescent="0.2">
      <c r="A77" s="371"/>
      <c r="B77" s="371"/>
      <c r="C77" s="371"/>
      <c r="D77" s="379"/>
      <c r="E77" s="380"/>
      <c r="F77" s="383" t="s">
        <v>726</v>
      </c>
      <c r="G77" s="372">
        <v>13</v>
      </c>
      <c r="H77" s="129" t="s">
        <v>359</v>
      </c>
    </row>
    <row r="78" spans="1:11" s="259" customFormat="1" x14ac:dyDescent="0.2">
      <c r="A78" s="120">
        <v>2</v>
      </c>
      <c r="B78" s="371" t="s">
        <v>726</v>
      </c>
      <c r="C78" s="382">
        <v>13</v>
      </c>
      <c r="D78" s="371"/>
      <c r="E78" s="380"/>
      <c r="F78" s="371"/>
      <c r="G78" s="371"/>
      <c r="H78" s="371"/>
    </row>
    <row r="79" spans="1:11" s="259" customFormat="1" x14ac:dyDescent="0.2">
      <c r="A79" s="371"/>
      <c r="B79" s="373"/>
      <c r="C79" s="389" t="s">
        <v>726</v>
      </c>
      <c r="D79" s="371"/>
      <c r="E79" s="383"/>
      <c r="F79" s="372">
        <v>13</v>
      </c>
      <c r="G79" s="371"/>
      <c r="H79" s="371"/>
    </row>
    <row r="80" spans="1:11" s="259" customFormat="1" x14ac:dyDescent="0.2">
      <c r="A80" s="120">
        <v>7</v>
      </c>
      <c r="B80" s="375" t="s">
        <v>728</v>
      </c>
      <c r="C80" s="390">
        <v>9</v>
      </c>
      <c r="D80" s="373"/>
      <c r="E80" s="371"/>
      <c r="F80" s="371"/>
      <c r="G80" s="371"/>
      <c r="H80" s="371"/>
    </row>
    <row r="81" spans="1:11" s="259" customFormat="1" x14ac:dyDescent="0.2">
      <c r="A81" s="371"/>
      <c r="B81" s="371"/>
      <c r="C81" s="371"/>
      <c r="D81" s="371"/>
      <c r="E81" s="371"/>
      <c r="F81" s="259" t="s">
        <v>724</v>
      </c>
      <c r="G81" s="382">
        <v>13</v>
      </c>
      <c r="H81" s="379"/>
    </row>
    <row r="82" spans="1:11" s="259" customFormat="1" ht="13.5" thickBot="1" x14ac:dyDescent="0.25">
      <c r="A82" s="371"/>
      <c r="B82" s="371"/>
      <c r="C82" s="371"/>
      <c r="D82" s="371"/>
      <c r="E82" s="371"/>
      <c r="F82" s="378"/>
      <c r="G82" s="388"/>
      <c r="H82" s="275" t="s">
        <v>724</v>
      </c>
      <c r="K82" s="259" t="s">
        <v>8</v>
      </c>
    </row>
    <row r="83" spans="1:11" s="259" customFormat="1" x14ac:dyDescent="0.2">
      <c r="A83" s="371"/>
      <c r="B83" s="371"/>
      <c r="C83" s="371"/>
      <c r="D83" s="371"/>
      <c r="E83" s="371"/>
      <c r="F83" s="404" t="s">
        <v>831</v>
      </c>
      <c r="G83" s="372">
        <v>4</v>
      </c>
      <c r="H83" s="129" t="s">
        <v>361</v>
      </c>
      <c r="I83" s="328"/>
    </row>
    <row r="84" spans="1:11" s="259" customFormat="1" x14ac:dyDescent="0.2">
      <c r="A84" s="371"/>
      <c r="B84" s="371"/>
      <c r="C84" s="371"/>
      <c r="D84" s="371"/>
      <c r="E84" s="371"/>
      <c r="F84" s="371"/>
      <c r="G84" s="371"/>
      <c r="H84" s="379"/>
      <c r="I84" s="329"/>
    </row>
    <row r="85" spans="1:11" s="259" customFormat="1" ht="13.5" thickBot="1" x14ac:dyDescent="0.25">
      <c r="A85" s="371"/>
      <c r="B85" s="371"/>
      <c r="C85" s="371"/>
      <c r="D85" s="371"/>
      <c r="E85" s="371"/>
      <c r="F85" s="371"/>
      <c r="G85" s="371"/>
      <c r="H85" s="275" t="s">
        <v>831</v>
      </c>
      <c r="I85" s="275"/>
      <c r="K85" s="259" t="s">
        <v>8</v>
      </c>
    </row>
    <row r="86" spans="1:11" s="259" customFormat="1" x14ac:dyDescent="0.2">
      <c r="A86" s="371"/>
      <c r="B86" s="371"/>
      <c r="C86" s="371" t="s">
        <v>719</v>
      </c>
      <c r="D86" s="371"/>
      <c r="E86" s="371"/>
      <c r="F86" s="372">
        <v>13</v>
      </c>
      <c r="G86" s="371"/>
      <c r="H86" s="129" t="s">
        <v>362</v>
      </c>
    </row>
    <row r="87" spans="1:11" s="259" customFormat="1" x14ac:dyDescent="0.2">
      <c r="A87" s="371"/>
      <c r="B87" s="371"/>
      <c r="C87" s="373"/>
      <c r="D87" s="373"/>
      <c r="E87" s="378"/>
      <c r="F87" s="374" t="s">
        <v>719</v>
      </c>
      <c r="G87" s="372">
        <v>0</v>
      </c>
      <c r="H87" s="371"/>
    </row>
    <row r="88" spans="1:11" s="259" customFormat="1" x14ac:dyDescent="0.2">
      <c r="A88" s="371"/>
      <c r="B88" s="371"/>
      <c r="C88" s="375" t="s">
        <v>725</v>
      </c>
      <c r="D88" s="375"/>
      <c r="E88" s="383"/>
      <c r="F88" s="391">
        <v>9</v>
      </c>
      <c r="G88" s="371"/>
      <c r="H88" s="371"/>
    </row>
    <row r="89" spans="1:11" s="259" customFormat="1" ht="13.5" thickBot="1" x14ac:dyDescent="0.25">
      <c r="A89" s="371"/>
      <c r="B89" s="371"/>
      <c r="C89" s="371"/>
      <c r="D89" s="371"/>
      <c r="E89" s="371"/>
      <c r="F89" s="380"/>
      <c r="G89" s="371"/>
      <c r="H89" s="371" t="s">
        <v>717</v>
      </c>
      <c r="K89" s="259" t="s">
        <v>8</v>
      </c>
    </row>
    <row r="90" spans="1:11" s="259" customFormat="1" x14ac:dyDescent="0.2">
      <c r="A90" s="371"/>
      <c r="B90" s="371"/>
      <c r="C90" s="371" t="s">
        <v>717</v>
      </c>
      <c r="D90" s="371"/>
      <c r="E90" s="371"/>
      <c r="F90" s="384">
        <v>13</v>
      </c>
      <c r="G90" s="387"/>
      <c r="H90" s="129" t="s">
        <v>363</v>
      </c>
      <c r="I90" s="328"/>
    </row>
    <row r="91" spans="1:11" s="259" customFormat="1" x14ac:dyDescent="0.2">
      <c r="A91" s="371"/>
      <c r="B91" s="371"/>
      <c r="C91" s="373"/>
      <c r="D91" s="373"/>
      <c r="E91" s="378"/>
      <c r="F91" s="392" t="s">
        <v>717</v>
      </c>
      <c r="G91" s="382">
        <v>13</v>
      </c>
      <c r="H91" s="371"/>
      <c r="I91" s="329"/>
    </row>
    <row r="92" spans="1:11" s="259" customFormat="1" ht="13.5" thickBot="1" x14ac:dyDescent="0.25">
      <c r="A92" s="371"/>
      <c r="B92" s="371"/>
      <c r="C92" s="375" t="s">
        <v>728</v>
      </c>
      <c r="D92" s="375"/>
      <c r="E92" s="383"/>
      <c r="F92" s="390">
        <v>5</v>
      </c>
      <c r="G92" s="379"/>
      <c r="H92" s="379" t="s">
        <v>719</v>
      </c>
      <c r="I92" s="275"/>
      <c r="K92" s="259" t="s">
        <v>8</v>
      </c>
    </row>
    <row r="93" spans="1:11" s="259" customFormat="1" ht="13.5" customHeight="1" x14ac:dyDescent="0.2">
      <c r="A93" s="371"/>
      <c r="B93" s="371"/>
      <c r="C93" s="371"/>
      <c r="D93" s="371"/>
      <c r="E93" s="371"/>
      <c r="F93" s="371"/>
      <c r="G93" s="379"/>
      <c r="H93" s="129" t="s">
        <v>364</v>
      </c>
    </row>
    <row r="94" spans="1:11" s="259" customFormat="1" ht="13.5" customHeight="1" x14ac:dyDescent="0.2">
      <c r="A94" s="371"/>
      <c r="B94" s="371"/>
      <c r="C94" s="371"/>
      <c r="D94" s="371"/>
      <c r="E94" s="371"/>
      <c r="F94" s="371" t="s">
        <v>725</v>
      </c>
      <c r="G94" s="382">
        <v>7</v>
      </c>
      <c r="H94" s="379"/>
    </row>
    <row r="95" spans="1:11" s="259" customFormat="1" ht="13.5" thickBot="1" x14ac:dyDescent="0.25">
      <c r="A95" s="371"/>
      <c r="B95" s="371"/>
      <c r="C95" s="371"/>
      <c r="D95" s="371"/>
      <c r="E95" s="371"/>
      <c r="F95" s="378"/>
      <c r="G95" s="388"/>
      <c r="H95" s="388" t="s">
        <v>728</v>
      </c>
      <c r="K95" s="259" t="s">
        <v>8</v>
      </c>
    </row>
    <row r="96" spans="1:11" s="259" customFormat="1" x14ac:dyDescent="0.2">
      <c r="A96" s="371"/>
      <c r="B96" s="371"/>
      <c r="C96" s="371"/>
      <c r="D96" s="371"/>
      <c r="E96" s="371"/>
      <c r="F96" s="383" t="s">
        <v>728</v>
      </c>
      <c r="G96" s="372">
        <v>13</v>
      </c>
      <c r="H96" s="133" t="s">
        <v>369</v>
      </c>
      <c r="I96" s="328"/>
    </row>
    <row r="97" spans="1:11" s="259" customFormat="1" x14ac:dyDescent="0.2">
      <c r="A97" s="371"/>
      <c r="B97" s="371"/>
      <c r="C97" s="371"/>
      <c r="D97" s="371"/>
      <c r="E97" s="371"/>
      <c r="F97" s="371"/>
      <c r="G97" s="371"/>
      <c r="H97" s="379"/>
      <c r="I97" s="329"/>
    </row>
    <row r="98" spans="1:11" s="259" customFormat="1" ht="13.5" thickBot="1" x14ac:dyDescent="0.25">
      <c r="A98" s="371"/>
      <c r="B98" s="371"/>
      <c r="C98" s="371"/>
      <c r="D98" s="371"/>
      <c r="E98" s="371"/>
      <c r="F98" s="371"/>
      <c r="G98" s="371"/>
      <c r="H98" s="388" t="s">
        <v>725</v>
      </c>
      <c r="I98" s="275"/>
      <c r="K98" s="259" t="s">
        <v>8</v>
      </c>
    </row>
    <row r="99" spans="1:11" s="259" customFormat="1" x14ac:dyDescent="0.2">
      <c r="A99" s="371"/>
      <c r="B99" s="371"/>
      <c r="C99" s="371"/>
      <c r="D99" s="371"/>
      <c r="E99" s="371"/>
      <c r="F99" s="371"/>
      <c r="G99" s="371"/>
      <c r="H99" s="120" t="s">
        <v>370</v>
      </c>
    </row>
    <row r="100" spans="1:11" s="259" customFormat="1" x14ac:dyDescent="0.2">
      <c r="A100" s="371"/>
      <c r="B100" s="371"/>
      <c r="C100" s="371"/>
      <c r="D100" s="371"/>
      <c r="E100" s="371"/>
      <c r="F100" s="371"/>
      <c r="G100" s="371"/>
      <c r="H100" s="120"/>
    </row>
    <row r="101" spans="1:11" s="259" customFormat="1" x14ac:dyDescent="0.2">
      <c r="A101" s="119" t="s">
        <v>449</v>
      </c>
      <c r="B101" s="371"/>
      <c r="C101" s="371"/>
      <c r="D101" s="371"/>
      <c r="E101" s="371"/>
      <c r="F101" s="371"/>
      <c r="G101" s="371"/>
      <c r="H101" s="371"/>
    </row>
    <row r="102" spans="1:11" s="259" customFormat="1" x14ac:dyDescent="0.2">
      <c r="A102" s="119"/>
      <c r="B102" s="371"/>
      <c r="C102" s="371"/>
      <c r="D102" s="371"/>
      <c r="E102" s="371"/>
      <c r="F102" s="371"/>
      <c r="G102" s="371"/>
      <c r="H102" s="371"/>
    </row>
    <row r="103" spans="1:11" s="259" customFormat="1" x14ac:dyDescent="0.2">
      <c r="A103" s="120">
        <v>9</v>
      </c>
      <c r="B103" s="371" t="s">
        <v>733</v>
      </c>
      <c r="C103" s="372">
        <v>13</v>
      </c>
      <c r="D103" s="371"/>
      <c r="E103" s="371"/>
      <c r="F103" s="371"/>
      <c r="G103" s="371"/>
      <c r="H103" s="371"/>
    </row>
    <row r="104" spans="1:11" s="259" customFormat="1" x14ac:dyDescent="0.2">
      <c r="A104" s="371"/>
      <c r="B104" s="373"/>
      <c r="C104" s="374" t="s">
        <v>733</v>
      </c>
      <c r="D104" s="375"/>
      <c r="E104" s="371"/>
      <c r="F104" s="372">
        <v>13</v>
      </c>
      <c r="G104" s="371"/>
      <c r="H104" s="371"/>
    </row>
    <row r="105" spans="1:11" s="259" customFormat="1" x14ac:dyDescent="0.2">
      <c r="A105" s="120">
        <v>16</v>
      </c>
      <c r="B105" s="376" t="s">
        <v>721</v>
      </c>
      <c r="C105" s="377">
        <v>6</v>
      </c>
      <c r="D105" s="371"/>
      <c r="E105" s="378"/>
      <c r="F105" s="371"/>
      <c r="G105" s="371"/>
      <c r="H105" s="371"/>
    </row>
    <row r="106" spans="1:11" s="259" customFormat="1" x14ac:dyDescent="0.2">
      <c r="A106" s="371"/>
      <c r="B106" s="371"/>
      <c r="C106" s="371"/>
      <c r="D106" s="379"/>
      <c r="E106" s="380"/>
      <c r="F106" s="371" t="s">
        <v>733</v>
      </c>
      <c r="G106" s="372">
        <v>13</v>
      </c>
      <c r="H106" s="371"/>
    </row>
    <row r="107" spans="1:11" s="259" customFormat="1" x14ac:dyDescent="0.2">
      <c r="A107" s="120">
        <v>12</v>
      </c>
      <c r="B107" s="381" t="s">
        <v>718</v>
      </c>
      <c r="C107" s="382">
        <v>13</v>
      </c>
      <c r="D107" s="371"/>
      <c r="E107" s="380"/>
      <c r="F107" s="378"/>
      <c r="G107" s="371"/>
      <c r="H107" s="371"/>
    </row>
    <row r="108" spans="1:11" s="259" customFormat="1" x14ac:dyDescent="0.2">
      <c r="A108" s="371"/>
      <c r="B108" s="373"/>
      <c r="C108" s="389" t="s">
        <v>718</v>
      </c>
      <c r="D108" s="371"/>
      <c r="E108" s="383"/>
      <c r="F108" s="384">
        <v>4</v>
      </c>
      <c r="G108" s="371"/>
      <c r="H108" s="371"/>
    </row>
    <row r="109" spans="1:11" s="259" customFormat="1" x14ac:dyDescent="0.2">
      <c r="A109" s="120">
        <v>13</v>
      </c>
      <c r="B109" s="376" t="s">
        <v>731</v>
      </c>
      <c r="C109" s="390">
        <v>4</v>
      </c>
      <c r="D109" s="373"/>
      <c r="E109" s="371"/>
      <c r="F109" s="380"/>
      <c r="G109" s="371"/>
      <c r="H109" s="371"/>
    </row>
    <row r="110" spans="1:11" s="259" customFormat="1" ht="13.5" thickBot="1" x14ac:dyDescent="0.25">
      <c r="A110" s="371"/>
      <c r="B110" s="371"/>
      <c r="C110" s="371"/>
      <c r="D110" s="371"/>
      <c r="E110" s="371"/>
      <c r="F110" s="380"/>
      <c r="G110" s="371"/>
      <c r="H110" s="371" t="s">
        <v>733</v>
      </c>
      <c r="K110" s="259" t="s">
        <v>8</v>
      </c>
    </row>
    <row r="111" spans="1:11" s="259" customFormat="1" x14ac:dyDescent="0.2">
      <c r="A111" s="120">
        <v>11</v>
      </c>
      <c r="B111" s="371" t="s">
        <v>727</v>
      </c>
      <c r="C111" s="372">
        <v>4</v>
      </c>
      <c r="D111" s="371"/>
      <c r="E111" s="371"/>
      <c r="F111" s="380"/>
      <c r="G111" s="387"/>
      <c r="H111" s="129" t="s">
        <v>374</v>
      </c>
      <c r="I111" s="328"/>
    </row>
    <row r="112" spans="1:11" s="259" customFormat="1" x14ac:dyDescent="0.2">
      <c r="A112" s="371"/>
      <c r="B112" s="373"/>
      <c r="C112" s="374" t="s">
        <v>723</v>
      </c>
      <c r="D112" s="375"/>
      <c r="E112" s="371"/>
      <c r="F112" s="384">
        <v>13</v>
      </c>
      <c r="G112" s="371"/>
      <c r="H112" s="371"/>
      <c r="I112" s="329"/>
    </row>
    <row r="113" spans="1:11" s="259" customFormat="1" ht="13.5" thickBot="1" x14ac:dyDescent="0.25">
      <c r="A113" s="120">
        <v>14</v>
      </c>
      <c r="B113" s="375" t="s">
        <v>723</v>
      </c>
      <c r="C113" s="377">
        <v>13</v>
      </c>
      <c r="D113" s="371"/>
      <c r="E113" s="378"/>
      <c r="F113" s="380"/>
      <c r="G113" s="371"/>
      <c r="H113" s="388" t="s">
        <v>723</v>
      </c>
      <c r="I113" s="275"/>
      <c r="K113" s="259" t="s">
        <v>8</v>
      </c>
    </row>
    <row r="114" spans="1:11" s="259" customFormat="1" x14ac:dyDescent="0.2">
      <c r="A114" s="371"/>
      <c r="B114" s="371"/>
      <c r="C114" s="371"/>
      <c r="D114" s="379"/>
      <c r="E114" s="380"/>
      <c r="F114" s="383" t="s">
        <v>723</v>
      </c>
      <c r="G114" s="372">
        <v>1</v>
      </c>
      <c r="H114" s="129" t="s">
        <v>390</v>
      </c>
    </row>
    <row r="115" spans="1:11" s="259" customFormat="1" x14ac:dyDescent="0.2">
      <c r="A115" s="120">
        <v>10</v>
      </c>
      <c r="B115" s="371" t="s">
        <v>720</v>
      </c>
      <c r="C115" s="382">
        <v>3</v>
      </c>
      <c r="D115" s="371"/>
      <c r="E115" s="380"/>
      <c r="F115" s="371"/>
      <c r="G115" s="371"/>
      <c r="H115" s="371"/>
    </row>
    <row r="116" spans="1:11" s="259" customFormat="1" x14ac:dyDescent="0.2">
      <c r="A116" s="371"/>
      <c r="B116" s="373"/>
      <c r="C116" s="389" t="s">
        <v>730</v>
      </c>
      <c r="D116" s="371"/>
      <c r="E116" s="383"/>
      <c r="F116" s="372">
        <v>1</v>
      </c>
      <c r="G116" s="371"/>
      <c r="H116" s="371"/>
    </row>
    <row r="117" spans="1:11" s="259" customFormat="1" x14ac:dyDescent="0.2">
      <c r="A117" s="120">
        <v>15</v>
      </c>
      <c r="B117" s="375" t="s">
        <v>730</v>
      </c>
      <c r="C117" s="390">
        <v>13</v>
      </c>
      <c r="D117" s="373"/>
      <c r="E117" s="371"/>
      <c r="F117" s="371"/>
      <c r="G117" s="371"/>
      <c r="H117" s="371"/>
    </row>
    <row r="118" spans="1:11" s="259" customFormat="1" x14ac:dyDescent="0.2">
      <c r="A118" s="371"/>
      <c r="B118" s="371"/>
      <c r="C118" s="371"/>
      <c r="D118" s="371"/>
      <c r="E118" s="371"/>
      <c r="F118" s="371" t="s">
        <v>718</v>
      </c>
      <c r="G118" s="382">
        <v>8</v>
      </c>
      <c r="H118" s="379"/>
    </row>
    <row r="119" spans="1:11" s="259" customFormat="1" ht="13.5" thickBot="1" x14ac:dyDescent="0.25">
      <c r="A119" s="371"/>
      <c r="B119" s="371"/>
      <c r="C119" s="371"/>
      <c r="D119" s="371"/>
      <c r="E119" s="371"/>
      <c r="F119" s="378"/>
      <c r="G119" s="388"/>
      <c r="H119" s="388" t="s">
        <v>730</v>
      </c>
      <c r="K119" s="259" t="s">
        <v>8</v>
      </c>
    </row>
    <row r="120" spans="1:11" s="259" customFormat="1" x14ac:dyDescent="0.2">
      <c r="A120" s="371"/>
      <c r="B120" s="371"/>
      <c r="C120" s="371"/>
      <c r="D120" s="371"/>
      <c r="E120" s="371"/>
      <c r="F120" s="383" t="s">
        <v>730</v>
      </c>
      <c r="G120" s="372">
        <v>13</v>
      </c>
      <c r="H120" s="133" t="s">
        <v>391</v>
      </c>
      <c r="I120" s="328"/>
    </row>
    <row r="121" spans="1:11" s="259" customFormat="1" x14ac:dyDescent="0.2">
      <c r="A121" s="371"/>
      <c r="B121" s="371"/>
      <c r="C121" s="371"/>
      <c r="D121" s="371"/>
      <c r="E121" s="371"/>
      <c r="F121" s="371"/>
      <c r="G121" s="371"/>
      <c r="H121" s="379"/>
      <c r="I121" s="329"/>
    </row>
    <row r="122" spans="1:11" s="259" customFormat="1" ht="13.5" thickBot="1" x14ac:dyDescent="0.25">
      <c r="A122" s="371"/>
      <c r="B122" s="371"/>
      <c r="C122" s="371"/>
      <c r="D122" s="371"/>
      <c r="E122" s="371"/>
      <c r="F122" s="371"/>
      <c r="G122" s="371"/>
      <c r="H122" s="388" t="s">
        <v>718</v>
      </c>
      <c r="I122" s="275"/>
      <c r="K122" s="259" t="s">
        <v>8</v>
      </c>
    </row>
    <row r="123" spans="1:11" s="259" customFormat="1" x14ac:dyDescent="0.2">
      <c r="A123" s="371"/>
      <c r="B123" s="371"/>
      <c r="C123" s="371" t="s">
        <v>721</v>
      </c>
      <c r="D123" s="371"/>
      <c r="E123" s="371"/>
      <c r="F123" s="372">
        <v>11</v>
      </c>
      <c r="G123" s="371"/>
      <c r="H123" s="120" t="s">
        <v>392</v>
      </c>
    </row>
    <row r="124" spans="1:11" s="259" customFormat="1" x14ac:dyDescent="0.2">
      <c r="A124" s="371"/>
      <c r="B124" s="371"/>
      <c r="C124" s="373"/>
      <c r="D124" s="373"/>
      <c r="E124" s="378"/>
      <c r="F124" s="374" t="s">
        <v>731</v>
      </c>
      <c r="G124" s="372">
        <v>7</v>
      </c>
      <c r="H124" s="371"/>
    </row>
    <row r="125" spans="1:11" s="259" customFormat="1" x14ac:dyDescent="0.2">
      <c r="A125" s="371"/>
      <c r="B125" s="371"/>
      <c r="C125" s="375" t="s">
        <v>731</v>
      </c>
      <c r="D125" s="375"/>
      <c r="E125" s="383"/>
      <c r="F125" s="391">
        <v>13</v>
      </c>
      <c r="G125" s="371"/>
      <c r="H125" s="371"/>
    </row>
    <row r="126" spans="1:11" s="259" customFormat="1" ht="13.5" thickBot="1" x14ac:dyDescent="0.25">
      <c r="A126" s="371"/>
      <c r="B126" s="371"/>
      <c r="C126" s="371"/>
      <c r="D126" s="371"/>
      <c r="E126" s="371"/>
      <c r="F126" s="380"/>
      <c r="G126" s="371"/>
      <c r="H126" s="371" t="s">
        <v>720</v>
      </c>
      <c r="K126" s="259" t="s">
        <v>8</v>
      </c>
    </row>
    <row r="127" spans="1:11" s="259" customFormat="1" x14ac:dyDescent="0.2">
      <c r="A127" s="371"/>
      <c r="B127" s="371"/>
      <c r="C127" s="371" t="s">
        <v>727</v>
      </c>
      <c r="D127" s="371"/>
      <c r="E127" s="371"/>
      <c r="F127" s="398">
        <v>7</v>
      </c>
      <c r="G127" s="387"/>
      <c r="H127" s="129" t="s">
        <v>393</v>
      </c>
      <c r="I127" s="328"/>
    </row>
    <row r="128" spans="1:11" s="259" customFormat="1" x14ac:dyDescent="0.2">
      <c r="A128" s="371"/>
      <c r="B128" s="371"/>
      <c r="C128" s="373"/>
      <c r="D128" s="373"/>
      <c r="E128" s="378"/>
      <c r="F128" s="392" t="s">
        <v>720</v>
      </c>
      <c r="G128" s="382">
        <v>13</v>
      </c>
      <c r="H128" s="371"/>
      <c r="I128" s="329"/>
    </row>
    <row r="129" spans="1:11" s="259" customFormat="1" ht="13.5" thickBot="1" x14ac:dyDescent="0.25">
      <c r="A129" s="371"/>
      <c r="B129" s="371"/>
      <c r="C129" s="375" t="s">
        <v>720</v>
      </c>
      <c r="D129" s="375"/>
      <c r="E129" s="383"/>
      <c r="F129" s="393">
        <v>13</v>
      </c>
      <c r="G129" s="379"/>
      <c r="H129" s="379" t="s">
        <v>731</v>
      </c>
      <c r="I129" s="275"/>
      <c r="K129" s="259" t="s">
        <v>8</v>
      </c>
    </row>
    <row r="130" spans="1:11" s="259" customFormat="1" x14ac:dyDescent="0.2">
      <c r="A130" s="371"/>
      <c r="B130" s="371"/>
      <c r="C130" s="371"/>
      <c r="D130" s="371"/>
      <c r="E130" s="371"/>
      <c r="F130" s="371"/>
      <c r="G130" s="379"/>
      <c r="H130" s="129" t="s">
        <v>394</v>
      </c>
    </row>
    <row r="131" spans="1:11" s="259" customFormat="1" x14ac:dyDescent="0.2">
      <c r="A131" s="371"/>
      <c r="B131" s="371"/>
      <c r="C131" s="371"/>
      <c r="D131" s="371"/>
      <c r="E131" s="371"/>
      <c r="F131" s="371" t="s">
        <v>721</v>
      </c>
      <c r="G131" s="382">
        <v>13</v>
      </c>
      <c r="H131" s="379"/>
    </row>
    <row r="132" spans="1:11" s="259" customFormat="1" ht="13.5" thickBot="1" x14ac:dyDescent="0.25">
      <c r="A132" s="371"/>
      <c r="B132" s="371"/>
      <c r="C132" s="371"/>
      <c r="D132" s="371"/>
      <c r="E132" s="371"/>
      <c r="F132" s="378"/>
      <c r="G132" s="388"/>
      <c r="H132" s="388" t="s">
        <v>721</v>
      </c>
      <c r="K132" s="259" t="s">
        <v>8</v>
      </c>
    </row>
    <row r="133" spans="1:11" s="259" customFormat="1" x14ac:dyDescent="0.2">
      <c r="A133" s="371"/>
      <c r="B133" s="371"/>
      <c r="C133" s="371"/>
      <c r="D133" s="371"/>
      <c r="E133" s="371"/>
      <c r="F133" s="383" t="s">
        <v>727</v>
      </c>
      <c r="G133" s="372">
        <v>5</v>
      </c>
      <c r="H133" s="133" t="s">
        <v>395</v>
      </c>
      <c r="I133" s="328"/>
    </row>
    <row r="134" spans="1:11" s="259" customFormat="1" x14ac:dyDescent="0.2">
      <c r="A134" s="371"/>
      <c r="B134" s="371"/>
      <c r="C134" s="371"/>
      <c r="D134" s="371"/>
      <c r="E134" s="371"/>
      <c r="F134" s="371"/>
      <c r="G134" s="371"/>
      <c r="H134" s="379"/>
      <c r="I134" s="329"/>
    </row>
    <row r="135" spans="1:11" s="259" customFormat="1" ht="13.5" thickBot="1" x14ac:dyDescent="0.25">
      <c r="A135" s="371"/>
      <c r="B135" s="371"/>
      <c r="C135" s="371"/>
      <c r="D135" s="371"/>
      <c r="E135" s="371"/>
      <c r="F135" s="371"/>
      <c r="G135" s="371"/>
      <c r="H135" s="388" t="s">
        <v>727</v>
      </c>
      <c r="I135" s="275"/>
      <c r="K135" s="259" t="s">
        <v>8</v>
      </c>
    </row>
    <row r="136" spans="1:11" s="259" customFormat="1" x14ac:dyDescent="0.2">
      <c r="A136" s="371"/>
      <c r="B136" s="371"/>
      <c r="C136" s="371"/>
      <c r="D136" s="371"/>
      <c r="E136" s="371"/>
      <c r="F136" s="371"/>
      <c r="G136" s="371"/>
      <c r="H136" s="120" t="s">
        <v>396</v>
      </c>
    </row>
    <row r="137" spans="1:11" s="259" customFormat="1" x14ac:dyDescent="0.2">
      <c r="A137" s="371"/>
      <c r="B137" s="371"/>
      <c r="C137" s="371"/>
      <c r="D137" s="371"/>
      <c r="E137" s="371"/>
      <c r="F137" s="371"/>
      <c r="G137" s="371"/>
      <c r="H137" s="371"/>
    </row>
    <row r="138" spans="1:11" s="259" customFormat="1" x14ac:dyDescent="0.2">
      <c r="A138" s="134">
        <v>1</v>
      </c>
      <c r="B138" s="135" t="s">
        <v>726</v>
      </c>
      <c r="C138" s="363"/>
      <c r="D138" s="363"/>
      <c r="E138" s="363"/>
      <c r="F138" s="363"/>
      <c r="G138" s="363"/>
      <c r="H138" s="363"/>
    </row>
    <row r="139" spans="1:11" s="259" customFormat="1" x14ac:dyDescent="0.2">
      <c r="A139" s="134">
        <v>2</v>
      </c>
      <c r="B139" s="394" t="s">
        <v>729</v>
      </c>
      <c r="C139" s="363"/>
      <c r="D139" s="363"/>
      <c r="E139" s="363"/>
      <c r="F139" s="363"/>
      <c r="G139" s="363"/>
      <c r="H139" s="363"/>
    </row>
    <row r="140" spans="1:11" s="259" customFormat="1" x14ac:dyDescent="0.2">
      <c r="A140" s="134">
        <v>3</v>
      </c>
      <c r="B140" s="395" t="s">
        <v>724</v>
      </c>
      <c r="C140" s="363"/>
      <c r="D140" s="363"/>
      <c r="E140" s="363"/>
      <c r="F140" s="363"/>
      <c r="G140" s="363"/>
      <c r="H140" s="363"/>
    </row>
    <row r="141" spans="1:11" s="259" customFormat="1" x14ac:dyDescent="0.2">
      <c r="A141" s="134">
        <v>4</v>
      </c>
      <c r="B141" s="272" t="s">
        <v>831</v>
      </c>
      <c r="C141" s="363"/>
      <c r="D141" s="363"/>
      <c r="E141" s="363"/>
      <c r="F141" s="363"/>
      <c r="G141" s="363"/>
      <c r="H141" s="363"/>
    </row>
    <row r="142" spans="1:11" s="259" customFormat="1" x14ac:dyDescent="0.2">
      <c r="A142" s="134">
        <v>5</v>
      </c>
      <c r="B142" s="368" t="s">
        <v>717</v>
      </c>
      <c r="C142" s="363"/>
      <c r="D142" s="363"/>
      <c r="E142" s="363"/>
      <c r="F142" s="363"/>
      <c r="G142" s="363"/>
      <c r="H142" s="363"/>
    </row>
    <row r="143" spans="1:11" s="259" customFormat="1" x14ac:dyDescent="0.2">
      <c r="A143" s="134">
        <v>6</v>
      </c>
      <c r="B143" s="368" t="s">
        <v>719</v>
      </c>
      <c r="C143" s="363"/>
      <c r="D143" s="363"/>
      <c r="E143" s="363"/>
      <c r="F143" s="363"/>
      <c r="G143" s="363"/>
      <c r="H143" s="363"/>
    </row>
    <row r="144" spans="1:11" s="259" customFormat="1" x14ac:dyDescent="0.2">
      <c r="A144" s="134">
        <v>7</v>
      </c>
      <c r="B144" s="368" t="s">
        <v>728</v>
      </c>
      <c r="C144" s="363"/>
      <c r="D144" s="363"/>
      <c r="E144" s="363"/>
      <c r="F144" s="363"/>
      <c r="G144" s="363"/>
      <c r="H144" s="363"/>
    </row>
    <row r="145" spans="1:8" s="259" customFormat="1" x14ac:dyDescent="0.2">
      <c r="A145" s="134">
        <v>8</v>
      </c>
      <c r="B145" s="368" t="s">
        <v>725</v>
      </c>
      <c r="C145" s="363"/>
      <c r="D145" s="363"/>
      <c r="E145" s="363"/>
      <c r="F145" s="363"/>
      <c r="G145" s="363"/>
      <c r="H145" s="363"/>
    </row>
    <row r="146" spans="1:8" s="259" customFormat="1" x14ac:dyDescent="0.2">
      <c r="A146" s="134">
        <v>9</v>
      </c>
      <c r="B146" s="370" t="s">
        <v>733</v>
      </c>
      <c r="C146" s="363"/>
      <c r="D146" s="363"/>
      <c r="E146" s="363"/>
      <c r="F146" s="363"/>
      <c r="G146" s="363"/>
      <c r="H146" s="363"/>
    </row>
    <row r="147" spans="1:8" s="259" customFormat="1" x14ac:dyDescent="0.2">
      <c r="A147" s="134">
        <v>10</v>
      </c>
      <c r="B147" s="370" t="s">
        <v>723</v>
      </c>
      <c r="C147" s="363"/>
      <c r="D147" s="363"/>
      <c r="E147" s="363"/>
      <c r="F147" s="363"/>
      <c r="G147" s="363"/>
      <c r="H147" s="363"/>
    </row>
    <row r="148" spans="1:8" s="259" customFormat="1" x14ac:dyDescent="0.2">
      <c r="A148" s="134">
        <v>11</v>
      </c>
      <c r="B148" s="367" t="s">
        <v>730</v>
      </c>
      <c r="C148" s="363"/>
      <c r="D148" s="363"/>
      <c r="E148" s="363"/>
      <c r="F148" s="363"/>
      <c r="G148" s="363"/>
      <c r="H148" s="363"/>
    </row>
    <row r="149" spans="1:8" s="259" customFormat="1" x14ac:dyDescent="0.2">
      <c r="A149" s="134">
        <v>12</v>
      </c>
      <c r="B149" s="370" t="s">
        <v>718</v>
      </c>
      <c r="C149" s="363"/>
      <c r="D149" s="363"/>
      <c r="E149" s="363"/>
      <c r="F149" s="363"/>
      <c r="G149" s="363"/>
      <c r="H149" s="363"/>
    </row>
    <row r="150" spans="1:8" s="259" customFormat="1" x14ac:dyDescent="0.2">
      <c r="A150" s="134">
        <v>13</v>
      </c>
      <c r="B150" s="364" t="s">
        <v>720</v>
      </c>
      <c r="C150" s="363"/>
      <c r="D150" s="363"/>
      <c r="E150" s="363"/>
      <c r="F150" s="363"/>
      <c r="G150" s="363"/>
      <c r="H150" s="363"/>
    </row>
    <row r="151" spans="1:8" s="259" customFormat="1" x14ac:dyDescent="0.2">
      <c r="A151" s="134">
        <v>14</v>
      </c>
      <c r="B151" s="367" t="s">
        <v>731</v>
      </c>
    </row>
    <row r="152" spans="1:8" s="259" customFormat="1" x14ac:dyDescent="0.2">
      <c r="A152" s="134">
        <v>15</v>
      </c>
      <c r="B152" s="370" t="s">
        <v>721</v>
      </c>
    </row>
    <row r="153" spans="1:8" s="259" customFormat="1" x14ac:dyDescent="0.2">
      <c r="A153" s="134">
        <v>16</v>
      </c>
      <c r="B153" s="364" t="s">
        <v>727</v>
      </c>
    </row>
  </sheetData>
  <conditionalFormatting sqref="B71 B81:E81 B66:F70 B72:F80 D71:F71 B82:F96 G66:G96 B103:G133">
    <cfRule type="cellIs" dxfId="232" priority="3" stopIfTrue="1" operator="equal">
      <formula>13</formula>
    </cfRule>
  </conditionalFormatting>
  <conditionalFormatting sqref="D42:D62">
    <cfRule type="cellIs" dxfId="231" priority="1" stopIfTrue="1"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3" manualBreakCount="3">
    <brk id="62" max="16383" man="1"/>
    <brk id="99" max="16383" man="1"/>
    <brk id="136"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7"/>
  <sheetViews>
    <sheetView showGridLines="0" showRowColHeaders="0" zoomScaleNormal="100" workbookViewId="0">
      <pane ySplit="2" topLeftCell="A3" activePane="bottomLeft" state="frozen"/>
      <selection pane="bottomLeft" activeCell="H1" sqref="H1"/>
    </sheetView>
  </sheetViews>
  <sheetFormatPr defaultRowHeight="12.75" x14ac:dyDescent="0.2"/>
  <cols>
    <col min="1" max="1" width="3.28515625" style="244" customWidth="1"/>
    <col min="2" max="2" width="35.7109375" style="244" customWidth="1"/>
    <col min="3" max="3" width="7.28515625" style="244" customWidth="1"/>
    <col min="4" max="4" width="7.42578125" style="244" bestFit="1" customWidth="1"/>
    <col min="5" max="5" width="9.140625" style="244"/>
    <col min="6" max="6" width="6.7109375" style="244" customWidth="1"/>
    <col min="7" max="7" width="5.140625" style="244" bestFit="1" customWidth="1"/>
    <col min="8" max="8" width="2.7109375" style="244" customWidth="1"/>
    <col min="9" max="9" width="3.28515625" style="244" customWidth="1"/>
    <col min="10" max="10" width="24.140625" style="244" bestFit="1" customWidth="1"/>
    <col min="11" max="11" width="7.28515625" style="244" bestFit="1" customWidth="1"/>
    <col min="12" max="12" width="7.42578125" style="244" customWidth="1"/>
    <col min="13" max="13" width="9.140625" style="244"/>
    <col min="14" max="14" width="6.7109375" style="244" customWidth="1"/>
    <col min="15" max="15" width="5.140625" style="244" bestFit="1" customWidth="1"/>
    <col min="16" max="18" width="0.85546875" style="244" customWidth="1"/>
    <col min="19" max="16384" width="9.140625" style="244"/>
  </cols>
  <sheetData>
    <row r="1" spans="1:15" x14ac:dyDescent="0.2">
      <c r="A1" s="314" t="str">
        <f>UPPER((Kalend!E25)&amp;" - "&amp;(Kalend!C25)&amp;" - "&amp;(Kalend!D25))</f>
        <v>11 - 26. EESTI MV - DUO</v>
      </c>
      <c r="F1" s="204" t="str">
        <f>HYPERLINK("#Üldreiting!I1","Reiting")</f>
        <v>Reiting</v>
      </c>
      <c r="G1" s="528"/>
      <c r="H1" s="528"/>
    </row>
    <row r="2" spans="1:15" x14ac:dyDescent="0.2">
      <c r="A2" s="309" t="str">
        <f>"Toimumisaeg: "&amp;(Kalend!A25)&amp;" kell "&amp;(Kalend!B25)</f>
        <v>Toimumisaeg: L, 16.07.2016 kell 10:30</v>
      </c>
    </row>
    <row r="3" spans="1:15" x14ac:dyDescent="0.2">
      <c r="A3" s="309" t="str">
        <f>"Toimumiskoht: "&amp;(Kalend!H25)</f>
        <v xml:space="preserve">Toimumiskoht: Kärdla, Nuutri 21 </v>
      </c>
    </row>
    <row r="4" spans="1:15" x14ac:dyDescent="0.2">
      <c r="A4" s="309" t="str">
        <f>"Korraldaja: "&amp;(Kalend!I25)</f>
        <v>Korraldaja: PK Kärdla Petanque</v>
      </c>
    </row>
    <row r="6" spans="1:15" x14ac:dyDescent="0.2">
      <c r="A6" s="855" t="s">
        <v>331</v>
      </c>
      <c r="B6" s="856"/>
      <c r="C6" s="77" t="s">
        <v>332</v>
      </c>
      <c r="D6" s="77" t="s">
        <v>333</v>
      </c>
      <c r="E6" s="77" t="s">
        <v>334</v>
      </c>
      <c r="F6" s="77" t="s">
        <v>335</v>
      </c>
      <c r="G6" s="77" t="s">
        <v>28</v>
      </c>
      <c r="H6" s="176"/>
    </row>
    <row r="7" spans="1:15" x14ac:dyDescent="0.2">
      <c r="A7" s="76">
        <v>1</v>
      </c>
      <c r="B7" s="416" t="s">
        <v>696</v>
      </c>
      <c r="C7" s="79">
        <v>13</v>
      </c>
      <c r="D7" s="79">
        <v>13</v>
      </c>
      <c r="E7" s="79"/>
      <c r="F7" s="79"/>
      <c r="G7" s="417" t="s">
        <v>337</v>
      </c>
      <c r="H7" s="176"/>
    </row>
    <row r="8" spans="1:15" x14ac:dyDescent="0.2">
      <c r="A8" s="76">
        <v>2</v>
      </c>
      <c r="B8" s="422" t="s">
        <v>384</v>
      </c>
      <c r="C8" s="79">
        <v>13</v>
      </c>
      <c r="D8" s="79">
        <v>9</v>
      </c>
      <c r="E8" s="79"/>
      <c r="F8" s="79">
        <v>13</v>
      </c>
      <c r="G8" s="417" t="s">
        <v>336</v>
      </c>
      <c r="H8" s="176"/>
    </row>
    <row r="9" spans="1:15" x14ac:dyDescent="0.2">
      <c r="A9" s="76">
        <v>3</v>
      </c>
      <c r="B9" s="416" t="s">
        <v>753</v>
      </c>
      <c r="C9" s="79">
        <v>1</v>
      </c>
      <c r="D9" s="79"/>
      <c r="E9" s="79">
        <v>13</v>
      </c>
      <c r="F9" s="79">
        <v>2</v>
      </c>
      <c r="G9" s="417" t="s">
        <v>338</v>
      </c>
      <c r="H9" s="176"/>
    </row>
    <row r="10" spans="1:15" x14ac:dyDescent="0.2">
      <c r="A10" s="76">
        <v>4</v>
      </c>
      <c r="B10" s="356"/>
      <c r="C10" s="79">
        <v>0</v>
      </c>
      <c r="D10" s="79"/>
      <c r="E10" s="79">
        <v>0</v>
      </c>
      <c r="F10" s="79"/>
      <c r="G10" s="351"/>
      <c r="H10" s="176"/>
    </row>
    <row r="11" spans="1:15" x14ac:dyDescent="0.2">
      <c r="A11" s="80"/>
      <c r="B11" s="81"/>
      <c r="C11" s="82"/>
      <c r="D11" s="82"/>
      <c r="E11" s="82"/>
      <c r="F11" s="83"/>
      <c r="G11" s="84"/>
      <c r="H11" s="176"/>
      <c r="I11" s="80"/>
      <c r="J11" s="81"/>
      <c r="K11" s="82"/>
      <c r="L11" s="82"/>
      <c r="M11" s="82"/>
      <c r="N11" s="83"/>
      <c r="O11" s="84"/>
    </row>
    <row r="12" spans="1:15" x14ac:dyDescent="0.2">
      <c r="A12" s="855" t="s">
        <v>339</v>
      </c>
      <c r="B12" s="856"/>
      <c r="C12" s="77" t="s">
        <v>332</v>
      </c>
      <c r="D12" s="77" t="s">
        <v>333</v>
      </c>
      <c r="E12" s="77" t="s">
        <v>334</v>
      </c>
      <c r="F12" s="77" t="s">
        <v>335</v>
      </c>
      <c r="G12" s="77" t="s">
        <v>28</v>
      </c>
      <c r="H12" s="176"/>
      <c r="I12" s="231"/>
      <c r="J12" s="231"/>
      <c r="K12" s="231"/>
      <c r="L12" s="231"/>
      <c r="M12" s="231"/>
      <c r="N12" s="231"/>
      <c r="O12" s="231"/>
    </row>
    <row r="13" spans="1:15" x14ac:dyDescent="0.2">
      <c r="A13" s="76">
        <v>1</v>
      </c>
      <c r="B13" s="418" t="s">
        <v>754</v>
      </c>
      <c r="C13" s="79">
        <v>13</v>
      </c>
      <c r="D13" s="79">
        <v>0</v>
      </c>
      <c r="E13" s="79"/>
      <c r="F13" s="79">
        <v>10</v>
      </c>
      <c r="G13" s="417" t="s">
        <v>338</v>
      </c>
      <c r="H13" s="176"/>
      <c r="I13" s="231"/>
      <c r="J13" s="231"/>
      <c r="K13" s="231"/>
      <c r="L13" s="231"/>
      <c r="M13" s="231"/>
      <c r="N13" s="231"/>
      <c r="O13" s="231"/>
    </row>
    <row r="14" spans="1:15" x14ac:dyDescent="0.2">
      <c r="A14" s="76">
        <v>2</v>
      </c>
      <c r="B14" s="416" t="s">
        <v>755</v>
      </c>
      <c r="C14" s="79">
        <v>13</v>
      </c>
      <c r="D14" s="79">
        <v>13</v>
      </c>
      <c r="E14" s="79"/>
      <c r="F14" s="79"/>
      <c r="G14" s="417" t="s">
        <v>337</v>
      </c>
      <c r="H14" s="176"/>
      <c r="I14" s="231"/>
      <c r="J14" s="231"/>
      <c r="K14" s="231"/>
      <c r="L14" s="231"/>
      <c r="M14" s="231"/>
      <c r="N14" s="231"/>
      <c r="O14" s="231"/>
    </row>
    <row r="15" spans="1:15" x14ac:dyDescent="0.2">
      <c r="A15" s="76">
        <v>3</v>
      </c>
      <c r="B15" s="416" t="s">
        <v>756</v>
      </c>
      <c r="C15" s="79">
        <v>11</v>
      </c>
      <c r="D15" s="79"/>
      <c r="E15" s="79">
        <v>13</v>
      </c>
      <c r="F15" s="79">
        <v>13</v>
      </c>
      <c r="G15" s="417" t="s">
        <v>336</v>
      </c>
      <c r="H15" s="176"/>
      <c r="I15" s="231"/>
      <c r="J15" s="231"/>
      <c r="K15" s="231"/>
      <c r="L15" s="231"/>
      <c r="M15" s="231"/>
      <c r="N15" s="231"/>
      <c r="O15" s="231"/>
    </row>
    <row r="16" spans="1:15" x14ac:dyDescent="0.2">
      <c r="A16" s="76">
        <v>4</v>
      </c>
      <c r="B16" s="356"/>
      <c r="C16" s="79">
        <v>0</v>
      </c>
      <c r="D16" s="79"/>
      <c r="E16" s="79">
        <v>0</v>
      </c>
      <c r="F16" s="79"/>
      <c r="G16" s="351"/>
      <c r="H16" s="176"/>
      <c r="I16" s="231"/>
      <c r="J16" s="231"/>
      <c r="K16" s="231"/>
      <c r="L16" s="231"/>
      <c r="M16" s="231"/>
      <c r="N16" s="231"/>
      <c r="O16" s="231"/>
    </row>
    <row r="17" spans="1:15" x14ac:dyDescent="0.2">
      <c r="A17" s="80"/>
      <c r="B17" s="81"/>
      <c r="C17" s="82"/>
      <c r="D17" s="82"/>
      <c r="E17" s="82"/>
      <c r="F17" s="83"/>
      <c r="G17" s="84"/>
      <c r="H17" s="176"/>
      <c r="I17" s="231"/>
      <c r="J17" s="231"/>
      <c r="K17" s="231"/>
      <c r="L17" s="231"/>
      <c r="M17" s="231"/>
      <c r="N17" s="231"/>
      <c r="O17" s="231"/>
    </row>
    <row r="18" spans="1:15" x14ac:dyDescent="0.2">
      <c r="A18" s="76" t="s">
        <v>341</v>
      </c>
      <c r="B18" s="76"/>
      <c r="C18" s="77" t="s">
        <v>332</v>
      </c>
      <c r="D18" s="77" t="s">
        <v>333</v>
      </c>
      <c r="E18" s="77" t="s">
        <v>334</v>
      </c>
      <c r="F18" s="77" t="s">
        <v>335</v>
      </c>
      <c r="G18" s="77" t="s">
        <v>28</v>
      </c>
      <c r="H18" s="176"/>
      <c r="I18" s="231"/>
      <c r="J18" s="231"/>
      <c r="K18" s="231"/>
      <c r="L18" s="231"/>
      <c r="M18" s="231"/>
      <c r="N18" s="231"/>
      <c r="O18" s="231"/>
    </row>
    <row r="19" spans="1:15" x14ac:dyDescent="0.2">
      <c r="A19" s="76">
        <v>1</v>
      </c>
      <c r="B19" s="416" t="s">
        <v>485</v>
      </c>
      <c r="C19" s="79">
        <v>13</v>
      </c>
      <c r="D19" s="79">
        <v>13</v>
      </c>
      <c r="E19" s="79"/>
      <c r="F19" s="79"/>
      <c r="G19" s="417" t="s">
        <v>337</v>
      </c>
      <c r="H19" s="176"/>
      <c r="I19" s="231"/>
      <c r="J19" s="231"/>
      <c r="K19" s="231"/>
      <c r="L19" s="231"/>
      <c r="M19" s="231"/>
      <c r="N19" s="231"/>
      <c r="O19" s="231"/>
    </row>
    <row r="20" spans="1:15" x14ac:dyDescent="0.2">
      <c r="A20" s="76">
        <v>2</v>
      </c>
      <c r="B20" s="416" t="s">
        <v>757</v>
      </c>
      <c r="C20" s="79">
        <v>13</v>
      </c>
      <c r="D20" s="79">
        <v>7</v>
      </c>
      <c r="E20" s="79"/>
      <c r="F20" s="79">
        <v>13</v>
      </c>
      <c r="G20" s="417" t="s">
        <v>336</v>
      </c>
      <c r="H20" s="176"/>
      <c r="I20" s="231"/>
      <c r="J20" s="231"/>
      <c r="K20" s="231"/>
      <c r="L20" s="231"/>
      <c r="M20" s="231"/>
      <c r="N20" s="231"/>
      <c r="O20" s="231"/>
    </row>
    <row r="21" spans="1:15" x14ac:dyDescent="0.2">
      <c r="A21" s="76">
        <v>3</v>
      </c>
      <c r="B21" s="416" t="s">
        <v>758</v>
      </c>
      <c r="C21" s="79">
        <v>3</v>
      </c>
      <c r="D21" s="79"/>
      <c r="E21" s="79">
        <v>13</v>
      </c>
      <c r="F21" s="79">
        <v>9</v>
      </c>
      <c r="G21" s="417" t="s">
        <v>338</v>
      </c>
      <c r="H21" s="176"/>
      <c r="I21" s="231"/>
      <c r="J21" s="231"/>
      <c r="K21" s="231"/>
      <c r="L21" s="231"/>
      <c r="M21" s="231"/>
      <c r="N21" s="231"/>
      <c r="O21" s="231"/>
    </row>
    <row r="22" spans="1:15" x14ac:dyDescent="0.2">
      <c r="A22" s="76">
        <v>4</v>
      </c>
      <c r="B22" s="257"/>
      <c r="C22" s="79">
        <v>0</v>
      </c>
      <c r="D22" s="79"/>
      <c r="E22" s="79">
        <v>0</v>
      </c>
      <c r="F22" s="79"/>
      <c r="G22" s="351"/>
      <c r="H22" s="176"/>
      <c r="I22" s="231"/>
      <c r="J22" s="231"/>
      <c r="K22" s="231"/>
      <c r="L22" s="231"/>
      <c r="M22" s="231"/>
      <c r="N22" s="231"/>
      <c r="O22" s="231"/>
    </row>
    <row r="23" spans="1:15" x14ac:dyDescent="0.2">
      <c r="A23" s="176"/>
      <c r="B23" s="176"/>
      <c r="C23" s="176"/>
      <c r="D23" s="176"/>
      <c r="E23" s="176"/>
      <c r="F23" s="176"/>
      <c r="G23" s="176"/>
      <c r="H23" s="176"/>
      <c r="I23" s="231"/>
      <c r="J23" s="231"/>
      <c r="K23" s="231"/>
      <c r="L23" s="231"/>
      <c r="M23" s="231"/>
      <c r="N23" s="231"/>
      <c r="O23" s="231"/>
    </row>
    <row r="24" spans="1:15" x14ac:dyDescent="0.2">
      <c r="A24" s="855" t="s">
        <v>375</v>
      </c>
      <c r="B24" s="856"/>
      <c r="C24" s="77" t="s">
        <v>332</v>
      </c>
      <c r="D24" s="77" t="s">
        <v>333</v>
      </c>
      <c r="E24" s="77" t="s">
        <v>334</v>
      </c>
      <c r="F24" s="77" t="s">
        <v>335</v>
      </c>
      <c r="G24" s="77" t="s">
        <v>28</v>
      </c>
      <c r="H24" s="176"/>
      <c r="I24" s="231"/>
      <c r="J24" s="231"/>
      <c r="K24" s="231"/>
      <c r="L24" s="231"/>
      <c r="M24" s="231"/>
      <c r="N24" s="231"/>
      <c r="O24" s="231"/>
    </row>
    <row r="25" spans="1:15" x14ac:dyDescent="0.2">
      <c r="A25" s="76">
        <v>1</v>
      </c>
      <c r="B25" s="416" t="s">
        <v>379</v>
      </c>
      <c r="C25" s="79">
        <v>2</v>
      </c>
      <c r="D25" s="79"/>
      <c r="E25" s="79">
        <v>13</v>
      </c>
      <c r="F25" s="79">
        <v>8</v>
      </c>
      <c r="G25" s="417" t="s">
        <v>338</v>
      </c>
      <c r="H25" s="176"/>
      <c r="I25" s="231"/>
      <c r="J25" s="231"/>
      <c r="K25" s="231"/>
      <c r="L25" s="231"/>
      <c r="M25" s="231"/>
      <c r="N25" s="231"/>
      <c r="O25" s="231"/>
    </row>
    <row r="26" spans="1:15" x14ac:dyDescent="0.2">
      <c r="A26" s="76">
        <v>2</v>
      </c>
      <c r="B26" s="416" t="s">
        <v>707</v>
      </c>
      <c r="C26" s="79">
        <v>13</v>
      </c>
      <c r="D26" s="79">
        <v>13</v>
      </c>
      <c r="E26" s="79"/>
      <c r="F26" s="79"/>
      <c r="G26" s="417" t="s">
        <v>337</v>
      </c>
      <c r="H26" s="176"/>
      <c r="I26" s="231"/>
      <c r="J26" s="231"/>
      <c r="K26" s="231"/>
      <c r="L26" s="231"/>
      <c r="M26" s="231"/>
      <c r="N26" s="231"/>
      <c r="O26" s="231"/>
    </row>
    <row r="27" spans="1:15" x14ac:dyDescent="0.2">
      <c r="A27" s="76">
        <v>3</v>
      </c>
      <c r="B27" s="416" t="s">
        <v>759</v>
      </c>
      <c r="C27" s="79">
        <v>12</v>
      </c>
      <c r="D27" s="79"/>
      <c r="E27" s="79">
        <v>12</v>
      </c>
      <c r="F27" s="79"/>
      <c r="G27" s="417" t="s">
        <v>398</v>
      </c>
      <c r="H27" s="176"/>
      <c r="I27" s="231"/>
      <c r="J27" s="231"/>
      <c r="K27" s="231"/>
      <c r="L27" s="231"/>
      <c r="M27" s="231"/>
      <c r="N27" s="231"/>
      <c r="O27" s="231"/>
    </row>
    <row r="28" spans="1:15" x14ac:dyDescent="0.2">
      <c r="A28" s="76">
        <v>4</v>
      </c>
      <c r="B28" s="27" t="s">
        <v>760</v>
      </c>
      <c r="C28" s="79">
        <v>13</v>
      </c>
      <c r="D28" s="79">
        <v>9</v>
      </c>
      <c r="E28" s="79"/>
      <c r="F28" s="79">
        <v>13</v>
      </c>
      <c r="G28" s="417" t="s">
        <v>336</v>
      </c>
      <c r="H28" s="176"/>
      <c r="I28" s="231"/>
      <c r="J28" s="231"/>
      <c r="K28" s="231"/>
      <c r="L28" s="231"/>
      <c r="M28" s="231"/>
      <c r="N28" s="231"/>
      <c r="O28" s="231"/>
    </row>
    <row r="29" spans="1:15" s="259" customFormat="1" x14ac:dyDescent="0.2">
      <c r="A29" s="80"/>
      <c r="B29" s="306"/>
      <c r="C29" s="83"/>
      <c r="D29" s="83"/>
      <c r="E29" s="83"/>
      <c r="F29" s="83"/>
      <c r="G29" s="235"/>
      <c r="H29" s="176"/>
      <c r="I29" s="421"/>
      <c r="J29" s="421"/>
      <c r="K29" s="421"/>
      <c r="L29" s="421"/>
      <c r="M29" s="421"/>
      <c r="N29" s="421"/>
      <c r="O29" s="421"/>
    </row>
    <row r="30" spans="1:15" s="259" customFormat="1" x14ac:dyDescent="0.2">
      <c r="A30" s="855" t="s">
        <v>443</v>
      </c>
      <c r="B30" s="856"/>
      <c r="C30" s="77" t="s">
        <v>332</v>
      </c>
      <c r="D30" s="77" t="s">
        <v>333</v>
      </c>
      <c r="E30" s="77" t="s">
        <v>334</v>
      </c>
      <c r="F30" s="77" t="s">
        <v>335</v>
      </c>
      <c r="G30" s="77" t="s">
        <v>28</v>
      </c>
      <c r="H30" s="176"/>
      <c r="I30" s="421"/>
      <c r="J30" s="421"/>
      <c r="K30" s="421"/>
      <c r="L30" s="421"/>
      <c r="M30" s="421"/>
      <c r="N30" s="421"/>
      <c r="O30" s="421"/>
    </row>
    <row r="31" spans="1:15" s="259" customFormat="1" x14ac:dyDescent="0.2">
      <c r="A31" s="76">
        <v>1</v>
      </c>
      <c r="B31" s="416" t="s">
        <v>565</v>
      </c>
      <c r="C31" s="79">
        <v>3</v>
      </c>
      <c r="D31" s="79"/>
      <c r="E31" s="79">
        <v>13</v>
      </c>
      <c r="F31" s="79">
        <v>4</v>
      </c>
      <c r="G31" s="417" t="s">
        <v>338</v>
      </c>
      <c r="H31" s="176"/>
      <c r="I31" s="421"/>
      <c r="J31" s="421"/>
      <c r="K31" s="421"/>
      <c r="L31" s="421"/>
      <c r="M31" s="421"/>
      <c r="N31" s="421"/>
      <c r="O31" s="421"/>
    </row>
    <row r="32" spans="1:15" s="259" customFormat="1" x14ac:dyDescent="0.2">
      <c r="A32" s="76">
        <v>2</v>
      </c>
      <c r="B32" s="419" t="s">
        <v>568</v>
      </c>
      <c r="C32" s="79">
        <v>13</v>
      </c>
      <c r="D32" s="79">
        <v>7</v>
      </c>
      <c r="E32" s="79"/>
      <c r="F32" s="79">
        <v>13</v>
      </c>
      <c r="G32" s="417" t="s">
        <v>336</v>
      </c>
      <c r="H32" s="176"/>
      <c r="I32" s="421"/>
      <c r="J32" s="421"/>
      <c r="K32" s="421"/>
      <c r="L32" s="421"/>
      <c r="M32" s="421"/>
      <c r="N32" s="421"/>
      <c r="O32" s="421"/>
    </row>
    <row r="33" spans="1:15" s="259" customFormat="1" x14ac:dyDescent="0.2">
      <c r="A33" s="76">
        <v>3</v>
      </c>
      <c r="B33" s="416" t="s">
        <v>761</v>
      </c>
      <c r="C33" s="79">
        <v>5</v>
      </c>
      <c r="D33" s="79"/>
      <c r="E33" s="79">
        <v>4</v>
      </c>
      <c r="F33" s="79"/>
      <c r="G33" s="417" t="s">
        <v>763</v>
      </c>
      <c r="H33" s="176"/>
      <c r="I33" s="421"/>
      <c r="J33" s="421"/>
      <c r="K33" s="421"/>
      <c r="L33" s="421"/>
      <c r="M33" s="421"/>
      <c r="N33" s="421"/>
      <c r="O33" s="421"/>
    </row>
    <row r="34" spans="1:15" s="259" customFormat="1" x14ac:dyDescent="0.2">
      <c r="A34" s="76">
        <v>4</v>
      </c>
      <c r="B34" s="419" t="s">
        <v>762</v>
      </c>
      <c r="C34" s="79">
        <v>13</v>
      </c>
      <c r="D34" s="79">
        <v>13</v>
      </c>
      <c r="E34" s="79"/>
      <c r="F34" s="79"/>
      <c r="G34" s="417" t="s">
        <v>337</v>
      </c>
      <c r="H34" s="176"/>
      <c r="I34" s="421"/>
      <c r="J34" s="421"/>
      <c r="K34" s="421"/>
      <c r="L34" s="421"/>
      <c r="M34" s="421"/>
      <c r="N34" s="421"/>
      <c r="O34" s="421"/>
    </row>
    <row r="35" spans="1:15" x14ac:dyDescent="0.2">
      <c r="A35" s="259"/>
      <c r="B35" s="259"/>
      <c r="C35" s="259"/>
      <c r="D35" s="259"/>
      <c r="E35" s="259"/>
      <c r="F35" s="259"/>
      <c r="G35" s="259"/>
      <c r="H35" s="259"/>
      <c r="I35" s="259"/>
      <c r="J35" s="259"/>
      <c r="K35" s="259"/>
      <c r="L35" s="259"/>
      <c r="M35" s="259"/>
      <c r="N35" s="259"/>
      <c r="O35" s="259"/>
    </row>
    <row r="36" spans="1:15" x14ac:dyDescent="0.2">
      <c r="A36" s="177" t="s">
        <v>447</v>
      </c>
      <c r="B36" s="230"/>
      <c r="C36" s="82"/>
      <c r="D36" s="82"/>
      <c r="E36" s="82"/>
      <c r="F36" s="83"/>
      <c r="G36" s="84"/>
      <c r="H36" s="231"/>
      <c r="I36" s="231"/>
      <c r="J36" s="231"/>
      <c r="K36" s="231"/>
      <c r="L36" s="231"/>
      <c r="M36" s="231"/>
      <c r="N36" s="231"/>
      <c r="O36" s="231"/>
    </row>
    <row r="37" spans="1:15" x14ac:dyDescent="0.2">
      <c r="A37" s="231"/>
      <c r="B37" s="231"/>
      <c r="C37" s="231"/>
      <c r="D37" s="231"/>
      <c r="E37" s="231"/>
      <c r="F37" s="231"/>
      <c r="G37" s="231"/>
      <c r="H37" s="231"/>
      <c r="I37" s="231"/>
      <c r="J37" s="231"/>
      <c r="K37" s="231"/>
      <c r="L37" s="231"/>
      <c r="M37" s="231"/>
      <c r="N37" s="231"/>
      <c r="O37" s="231"/>
    </row>
    <row r="38" spans="1:15" x14ac:dyDescent="0.2">
      <c r="A38" s="178" t="s">
        <v>360</v>
      </c>
      <c r="B38" s="231" t="s">
        <v>696</v>
      </c>
      <c r="C38" s="217">
        <v>13</v>
      </c>
      <c r="D38" s="231"/>
      <c r="E38" s="231"/>
      <c r="F38" s="231"/>
      <c r="G38" s="231"/>
      <c r="H38" s="231"/>
      <c r="I38" s="231"/>
      <c r="J38" s="231"/>
      <c r="K38" s="231"/>
      <c r="L38" s="231"/>
      <c r="M38" s="231"/>
      <c r="N38" s="231"/>
      <c r="O38" s="231"/>
    </row>
    <row r="39" spans="1:15" x14ac:dyDescent="0.2">
      <c r="A39" s="179"/>
      <c r="B39" s="180"/>
      <c r="C39" s="218" t="s">
        <v>696</v>
      </c>
      <c r="D39" s="226"/>
      <c r="E39" s="231"/>
      <c r="F39" s="217">
        <v>13</v>
      </c>
      <c r="G39" s="231"/>
      <c r="H39" s="231"/>
      <c r="I39" s="231"/>
      <c r="J39" s="231"/>
      <c r="K39" s="231"/>
      <c r="L39" s="231"/>
      <c r="M39" s="231"/>
      <c r="N39" s="231"/>
      <c r="O39" s="231"/>
    </row>
    <row r="40" spans="1:15" x14ac:dyDescent="0.2">
      <c r="A40" s="179"/>
      <c r="B40" s="420" t="s">
        <v>352</v>
      </c>
      <c r="C40" s="181">
        <v>0</v>
      </c>
      <c r="D40" s="231"/>
      <c r="E40" s="182"/>
      <c r="F40" s="231"/>
      <c r="G40" s="231"/>
      <c r="H40" s="231"/>
      <c r="I40" s="231"/>
      <c r="J40" s="231"/>
      <c r="K40" s="231"/>
      <c r="L40" s="231"/>
      <c r="M40" s="231"/>
      <c r="N40" s="231"/>
      <c r="O40" s="231"/>
    </row>
    <row r="41" spans="1:15" x14ac:dyDescent="0.2">
      <c r="A41" s="179"/>
      <c r="B41" s="231"/>
      <c r="C41" s="231"/>
      <c r="D41" s="230"/>
      <c r="E41" s="183"/>
      <c r="F41" s="227" t="s">
        <v>696</v>
      </c>
      <c r="G41" s="231"/>
      <c r="H41" s="231"/>
      <c r="I41" s="217">
        <v>2</v>
      </c>
      <c r="J41" s="231"/>
      <c r="K41" s="231"/>
      <c r="L41" s="231"/>
      <c r="M41" s="231"/>
      <c r="N41" s="231"/>
      <c r="O41" s="231"/>
    </row>
    <row r="42" spans="1:15" x14ac:dyDescent="0.2">
      <c r="A42" s="179"/>
      <c r="B42" s="421" t="s">
        <v>352</v>
      </c>
      <c r="C42" s="184">
        <v>0</v>
      </c>
      <c r="D42" s="231"/>
      <c r="E42" s="183"/>
      <c r="F42" s="185"/>
      <c r="G42" s="180"/>
      <c r="H42" s="182"/>
      <c r="I42" s="231"/>
      <c r="J42" s="231"/>
      <c r="K42" s="231"/>
      <c r="L42" s="231"/>
      <c r="M42" s="231"/>
      <c r="N42" s="231"/>
      <c r="O42" s="231"/>
    </row>
    <row r="43" spans="1:15" x14ac:dyDescent="0.2">
      <c r="A43" s="179"/>
      <c r="B43" s="180"/>
      <c r="C43" s="227" t="s">
        <v>760</v>
      </c>
      <c r="D43" s="231"/>
      <c r="E43" s="186"/>
      <c r="F43" s="184">
        <v>7</v>
      </c>
      <c r="G43" s="230"/>
      <c r="H43" s="183"/>
      <c r="I43" s="231"/>
      <c r="J43" s="231"/>
      <c r="K43" s="231"/>
      <c r="L43" s="231"/>
      <c r="M43" s="231"/>
      <c r="N43" s="231"/>
      <c r="O43" s="231"/>
    </row>
    <row r="44" spans="1:15" x14ac:dyDescent="0.2">
      <c r="A44" s="179" t="s">
        <v>401</v>
      </c>
      <c r="B44" s="226" t="s">
        <v>760</v>
      </c>
      <c r="C44" s="187">
        <v>13</v>
      </c>
      <c r="D44" s="180"/>
      <c r="E44" s="231"/>
      <c r="F44" s="230"/>
      <c r="G44" s="230"/>
      <c r="H44" s="183"/>
      <c r="I44" s="231"/>
      <c r="J44" s="231"/>
      <c r="K44" s="231"/>
      <c r="L44" s="231"/>
      <c r="M44" s="231"/>
      <c r="N44" s="231"/>
      <c r="O44" s="231"/>
    </row>
    <row r="45" spans="1:15" x14ac:dyDescent="0.2">
      <c r="A45" s="118"/>
      <c r="B45" s="231"/>
      <c r="C45" s="231"/>
      <c r="D45" s="231"/>
      <c r="E45" s="231"/>
      <c r="F45" s="230"/>
      <c r="G45" s="230"/>
      <c r="H45" s="183"/>
      <c r="I45" s="227" t="s">
        <v>755</v>
      </c>
      <c r="J45" s="231"/>
      <c r="K45" s="217">
        <v>4</v>
      </c>
      <c r="L45" s="231"/>
      <c r="M45" s="231"/>
      <c r="N45" s="231"/>
      <c r="O45" s="231"/>
    </row>
    <row r="46" spans="1:15" x14ac:dyDescent="0.2">
      <c r="A46" s="178"/>
      <c r="B46" s="421" t="s">
        <v>352</v>
      </c>
      <c r="C46" s="217">
        <v>0</v>
      </c>
      <c r="D46" s="231"/>
      <c r="E46" s="231"/>
      <c r="F46" s="230"/>
      <c r="G46" s="230"/>
      <c r="H46" s="183"/>
      <c r="I46" s="180"/>
      <c r="J46" s="182"/>
      <c r="K46" s="231"/>
      <c r="L46" s="231"/>
      <c r="M46" s="231"/>
      <c r="N46" s="231"/>
      <c r="O46" s="231"/>
    </row>
    <row r="47" spans="1:15" x14ac:dyDescent="0.2">
      <c r="A47" s="179"/>
      <c r="B47" s="180"/>
      <c r="C47" s="218" t="s">
        <v>755</v>
      </c>
      <c r="D47" s="226"/>
      <c r="E47" s="231"/>
      <c r="F47" s="184">
        <v>13</v>
      </c>
      <c r="G47" s="230"/>
      <c r="H47" s="183"/>
      <c r="I47" s="230"/>
      <c r="J47" s="183"/>
      <c r="K47" s="231"/>
      <c r="L47" s="231"/>
      <c r="M47" s="231"/>
      <c r="N47" s="231"/>
      <c r="O47" s="231"/>
    </row>
    <row r="48" spans="1:15" x14ac:dyDescent="0.2">
      <c r="A48" s="179" t="s">
        <v>356</v>
      </c>
      <c r="B48" s="226" t="s">
        <v>755</v>
      </c>
      <c r="C48" s="181">
        <v>13</v>
      </c>
      <c r="D48" s="231"/>
      <c r="E48" s="182"/>
      <c r="F48" s="230"/>
      <c r="G48" s="230"/>
      <c r="H48" s="183"/>
      <c r="I48" s="230"/>
      <c r="J48" s="183"/>
      <c r="K48" s="231"/>
      <c r="L48" s="231"/>
      <c r="M48" s="231"/>
      <c r="N48" s="231"/>
      <c r="O48" s="231"/>
    </row>
    <row r="49" spans="1:16" x14ac:dyDescent="0.2">
      <c r="A49" s="179"/>
      <c r="B49" s="231"/>
      <c r="C49" s="231"/>
      <c r="D49" s="230"/>
      <c r="E49" s="183"/>
      <c r="F49" s="226" t="s">
        <v>755</v>
      </c>
      <c r="G49" s="226"/>
      <c r="H49" s="186"/>
      <c r="I49" s="184">
        <v>13</v>
      </c>
      <c r="J49" s="183"/>
      <c r="K49" s="231"/>
      <c r="L49" s="231"/>
      <c r="M49" s="231"/>
      <c r="N49" s="231"/>
      <c r="O49" s="231"/>
    </row>
    <row r="50" spans="1:16" x14ac:dyDescent="0.2">
      <c r="A50" s="179"/>
      <c r="B50" s="421" t="s">
        <v>352</v>
      </c>
      <c r="C50" s="184">
        <v>0</v>
      </c>
      <c r="D50" s="231"/>
      <c r="E50" s="183"/>
      <c r="F50" s="227"/>
      <c r="G50" s="230"/>
      <c r="H50" s="230"/>
      <c r="I50" s="230"/>
      <c r="J50" s="183"/>
      <c r="K50" s="231"/>
      <c r="L50" s="231"/>
      <c r="M50" s="231"/>
      <c r="N50" s="231"/>
      <c r="O50" s="231"/>
    </row>
    <row r="51" spans="1:16" x14ac:dyDescent="0.2">
      <c r="A51" s="179"/>
      <c r="B51" s="180"/>
      <c r="C51" s="227" t="s">
        <v>762</v>
      </c>
      <c r="D51" s="231"/>
      <c r="E51" s="186"/>
      <c r="F51" s="184">
        <v>4</v>
      </c>
      <c r="G51" s="231"/>
      <c r="H51" s="231"/>
      <c r="I51" s="230"/>
      <c r="J51" s="183"/>
      <c r="K51" s="231"/>
      <c r="L51" s="231"/>
      <c r="M51" s="231"/>
      <c r="N51" s="231"/>
      <c r="O51" s="231"/>
    </row>
    <row r="52" spans="1:16" x14ac:dyDescent="0.2">
      <c r="A52" s="179" t="s">
        <v>472</v>
      </c>
      <c r="B52" s="226" t="s">
        <v>762</v>
      </c>
      <c r="C52" s="187">
        <v>13</v>
      </c>
      <c r="D52" s="180"/>
      <c r="E52" s="231"/>
      <c r="F52" s="230"/>
      <c r="G52" s="230"/>
      <c r="H52" s="230"/>
      <c r="I52" s="230"/>
      <c r="J52" s="183"/>
      <c r="K52" s="231"/>
      <c r="L52" s="231"/>
      <c r="M52" s="231"/>
      <c r="N52" s="231"/>
      <c r="O52" s="231"/>
    </row>
    <row r="53" spans="1:16" ht="13.5" thickBot="1" x14ac:dyDescent="0.25">
      <c r="A53" s="231"/>
      <c r="B53" s="231"/>
      <c r="C53" s="231"/>
      <c r="D53" s="231"/>
      <c r="E53" s="231"/>
      <c r="F53" s="231"/>
      <c r="G53" s="231"/>
      <c r="H53" s="231"/>
      <c r="I53" s="230"/>
      <c r="J53" s="183"/>
      <c r="K53" s="231"/>
      <c r="L53" s="231" t="s">
        <v>756</v>
      </c>
      <c r="M53" s="231"/>
      <c r="N53" s="231"/>
      <c r="O53" s="231"/>
    </row>
    <row r="54" spans="1:16" x14ac:dyDescent="0.2">
      <c r="A54" s="178" t="s">
        <v>399</v>
      </c>
      <c r="B54" s="231" t="s">
        <v>707</v>
      </c>
      <c r="C54" s="217">
        <v>13</v>
      </c>
      <c r="D54" s="231"/>
      <c r="E54" s="231"/>
      <c r="F54" s="231"/>
      <c r="G54" s="231"/>
      <c r="H54" s="231"/>
      <c r="I54" s="230"/>
      <c r="J54" s="183"/>
      <c r="K54" s="188"/>
      <c r="L54" s="189" t="s">
        <v>357</v>
      </c>
      <c r="M54" s="190"/>
      <c r="N54" s="231"/>
      <c r="O54" s="231"/>
    </row>
    <row r="55" spans="1:16" x14ac:dyDescent="0.2">
      <c r="A55" s="179"/>
      <c r="B55" s="180"/>
      <c r="C55" s="218" t="s">
        <v>707</v>
      </c>
      <c r="D55" s="226"/>
      <c r="E55" s="231"/>
      <c r="F55" s="217">
        <v>6</v>
      </c>
      <c r="G55" s="231"/>
      <c r="H55" s="231"/>
      <c r="I55" s="230"/>
      <c r="J55" s="183"/>
      <c r="K55" s="231"/>
      <c r="L55" s="231"/>
      <c r="M55" s="231"/>
      <c r="N55" s="231"/>
      <c r="O55" s="231"/>
    </row>
    <row r="56" spans="1:16" x14ac:dyDescent="0.2">
      <c r="A56" s="179"/>
      <c r="B56" s="420" t="s">
        <v>352</v>
      </c>
      <c r="C56" s="181">
        <v>0</v>
      </c>
      <c r="D56" s="231"/>
      <c r="E56" s="182"/>
      <c r="F56" s="231"/>
      <c r="G56" s="231"/>
      <c r="H56" s="231"/>
      <c r="I56" s="230"/>
      <c r="J56" s="183"/>
      <c r="K56" s="231"/>
      <c r="L56" s="231"/>
      <c r="M56" s="231"/>
      <c r="N56" s="231"/>
      <c r="O56" s="231"/>
    </row>
    <row r="57" spans="1:16" x14ac:dyDescent="0.2">
      <c r="A57" s="179"/>
      <c r="B57" s="231"/>
      <c r="C57" s="231"/>
      <c r="D57" s="230"/>
      <c r="E57" s="183"/>
      <c r="F57" s="231" t="s">
        <v>756</v>
      </c>
      <c r="G57" s="231"/>
      <c r="H57" s="231"/>
      <c r="I57" s="184">
        <v>13</v>
      </c>
      <c r="J57" s="183"/>
      <c r="K57" s="231"/>
      <c r="L57" s="231"/>
      <c r="M57" s="231"/>
      <c r="N57" s="231"/>
      <c r="O57" s="231"/>
    </row>
    <row r="58" spans="1:16" x14ac:dyDescent="0.2">
      <c r="A58" s="931" t="s">
        <v>468</v>
      </c>
      <c r="B58" s="421" t="s">
        <v>568</v>
      </c>
      <c r="C58" s="184">
        <v>7</v>
      </c>
      <c r="D58" s="231"/>
      <c r="E58" s="183"/>
      <c r="F58" s="185"/>
      <c r="G58" s="180"/>
      <c r="H58" s="182"/>
      <c r="I58" s="230"/>
      <c r="J58" s="183"/>
      <c r="K58" s="231"/>
      <c r="L58" s="231"/>
      <c r="M58" s="231"/>
      <c r="N58" s="231"/>
      <c r="O58" s="231"/>
    </row>
    <row r="59" spans="1:16" x14ac:dyDescent="0.2">
      <c r="A59" s="931"/>
      <c r="B59" s="180"/>
      <c r="C59" s="227" t="s">
        <v>756</v>
      </c>
      <c r="D59" s="231"/>
      <c r="E59" s="186"/>
      <c r="F59" s="184">
        <v>13</v>
      </c>
      <c r="G59" s="230"/>
      <c r="H59" s="183"/>
      <c r="I59" s="230"/>
      <c r="J59" s="183"/>
      <c r="K59" s="231"/>
      <c r="L59" s="231"/>
      <c r="M59" s="231"/>
      <c r="N59" s="231"/>
      <c r="O59" s="231"/>
    </row>
    <row r="60" spans="1:16" x14ac:dyDescent="0.2">
      <c r="A60" s="931" t="s">
        <v>355</v>
      </c>
      <c r="B60" s="226" t="s">
        <v>756</v>
      </c>
      <c r="C60" s="187">
        <v>13</v>
      </c>
      <c r="D60" s="180"/>
      <c r="E60" s="231"/>
      <c r="F60" s="230"/>
      <c r="G60" s="230"/>
      <c r="H60" s="183"/>
      <c r="I60" s="230"/>
      <c r="J60" s="183"/>
      <c r="K60" s="231"/>
      <c r="L60" s="231"/>
      <c r="M60" s="231"/>
      <c r="N60" s="231"/>
      <c r="O60" s="231"/>
    </row>
    <row r="61" spans="1:16" x14ac:dyDescent="0.2">
      <c r="A61" s="941"/>
      <c r="B61" s="231"/>
      <c r="C61" s="231"/>
      <c r="D61" s="231"/>
      <c r="E61" s="231"/>
      <c r="F61" s="230"/>
      <c r="G61" s="230"/>
      <c r="H61" s="183"/>
      <c r="I61" s="226" t="s">
        <v>756</v>
      </c>
      <c r="J61" s="186"/>
      <c r="K61" s="217">
        <v>13</v>
      </c>
      <c r="L61" s="231"/>
      <c r="M61" s="231"/>
      <c r="N61" s="231"/>
      <c r="O61" s="231"/>
    </row>
    <row r="62" spans="1:16" ht="13.5" thickBot="1" x14ac:dyDescent="0.25">
      <c r="A62" s="178" t="s">
        <v>358</v>
      </c>
      <c r="B62" s="231" t="s">
        <v>384</v>
      </c>
      <c r="C62" s="217">
        <v>3</v>
      </c>
      <c r="D62" s="231"/>
      <c r="E62" s="231"/>
      <c r="F62" s="230"/>
      <c r="G62" s="230"/>
      <c r="H62" s="183"/>
      <c r="I62" s="231"/>
      <c r="J62" s="231"/>
      <c r="K62" s="231"/>
      <c r="L62" s="230" t="s">
        <v>755</v>
      </c>
      <c r="M62" s="228"/>
      <c r="N62" s="231"/>
      <c r="O62" s="231"/>
      <c r="P62" s="244" t="s">
        <v>8</v>
      </c>
    </row>
    <row r="63" spans="1:16" x14ac:dyDescent="0.2">
      <c r="A63" s="931"/>
      <c r="B63" s="180"/>
      <c r="C63" s="219" t="s">
        <v>757</v>
      </c>
      <c r="D63" s="226"/>
      <c r="E63" s="231"/>
      <c r="F63" s="184">
        <v>13</v>
      </c>
      <c r="G63" s="230"/>
      <c r="H63" s="183"/>
      <c r="I63" s="231"/>
      <c r="J63" s="231"/>
      <c r="K63" s="231"/>
      <c r="L63" s="189" t="s">
        <v>359</v>
      </c>
      <c r="M63" s="230"/>
      <c r="N63" s="231"/>
      <c r="O63" s="231"/>
    </row>
    <row r="64" spans="1:16" x14ac:dyDescent="0.2">
      <c r="A64" s="931" t="s">
        <v>354</v>
      </c>
      <c r="B64" s="226" t="s">
        <v>757</v>
      </c>
      <c r="C64" s="181">
        <v>13</v>
      </c>
      <c r="D64" s="231"/>
      <c r="E64" s="182"/>
      <c r="F64" s="230"/>
      <c r="G64" s="230"/>
      <c r="H64" s="183"/>
      <c r="I64" s="231"/>
      <c r="J64" s="231"/>
      <c r="K64" s="231"/>
      <c r="L64" s="231"/>
      <c r="M64" s="231"/>
      <c r="N64" s="231"/>
      <c r="O64" s="231"/>
    </row>
    <row r="65" spans="1:15" x14ac:dyDescent="0.2">
      <c r="A65" s="931"/>
      <c r="B65" s="231"/>
      <c r="C65" s="231"/>
      <c r="D65" s="230"/>
      <c r="E65" s="183"/>
      <c r="F65" s="226" t="s">
        <v>757</v>
      </c>
      <c r="G65" s="226"/>
      <c r="H65" s="186"/>
      <c r="I65" s="217">
        <v>6</v>
      </c>
      <c r="J65" s="231"/>
      <c r="K65" s="231"/>
      <c r="L65" s="231"/>
      <c r="M65" s="231"/>
      <c r="N65" s="231"/>
      <c r="O65" s="231"/>
    </row>
    <row r="66" spans="1:15" x14ac:dyDescent="0.2">
      <c r="A66" s="931"/>
      <c r="B66" s="421" t="s">
        <v>352</v>
      </c>
      <c r="C66" s="184">
        <v>0</v>
      </c>
      <c r="D66" s="231"/>
      <c r="E66" s="183"/>
      <c r="F66" s="227"/>
      <c r="G66" s="230"/>
      <c r="H66" s="230"/>
      <c r="I66" s="231"/>
      <c r="J66" s="231"/>
      <c r="K66" s="231"/>
      <c r="L66" s="231"/>
      <c r="M66" s="231"/>
      <c r="N66" s="231"/>
      <c r="O66" s="231"/>
    </row>
    <row r="67" spans="1:15" x14ac:dyDescent="0.2">
      <c r="A67" s="931"/>
      <c r="B67" s="180"/>
      <c r="C67" s="227" t="s">
        <v>485</v>
      </c>
      <c r="D67" s="231"/>
      <c r="E67" s="186"/>
      <c r="F67" s="184">
        <v>7</v>
      </c>
      <c r="G67" s="231"/>
      <c r="H67" s="231"/>
      <c r="I67" s="231" t="s">
        <v>696</v>
      </c>
      <c r="J67" s="231"/>
      <c r="K67" s="184">
        <v>2</v>
      </c>
      <c r="L67" s="231"/>
      <c r="M67" s="231"/>
      <c r="N67" s="231"/>
      <c r="O67" s="231"/>
    </row>
    <row r="68" spans="1:15" ht="13.5" thickBot="1" x14ac:dyDescent="0.25">
      <c r="A68" s="931" t="s">
        <v>353</v>
      </c>
      <c r="B68" s="226" t="s">
        <v>485</v>
      </c>
      <c r="C68" s="187">
        <v>13</v>
      </c>
      <c r="D68" s="180"/>
      <c r="E68" s="231"/>
      <c r="F68" s="230"/>
      <c r="G68" s="230"/>
      <c r="H68" s="230"/>
      <c r="I68" s="180"/>
      <c r="J68" s="182"/>
      <c r="K68" s="228"/>
      <c r="L68" s="228" t="s">
        <v>757</v>
      </c>
      <c r="M68" s="228"/>
      <c r="N68" s="231"/>
      <c r="O68" s="231"/>
    </row>
    <row r="69" spans="1:15" x14ac:dyDescent="0.2">
      <c r="A69" s="941"/>
      <c r="B69" s="231"/>
      <c r="C69" s="231"/>
      <c r="D69" s="231"/>
      <c r="E69" s="231"/>
      <c r="F69" s="231"/>
      <c r="G69" s="231"/>
      <c r="H69" s="230"/>
      <c r="I69" s="226" t="s">
        <v>757</v>
      </c>
      <c r="J69" s="186"/>
      <c r="K69" s="217">
        <v>13</v>
      </c>
      <c r="L69" s="112" t="s">
        <v>361</v>
      </c>
      <c r="M69" s="230"/>
      <c r="N69" s="231"/>
      <c r="O69" s="231"/>
    </row>
    <row r="70" spans="1:15" x14ac:dyDescent="0.2">
      <c r="A70" s="231"/>
      <c r="B70" s="231"/>
      <c r="C70" s="231"/>
      <c r="D70" s="231"/>
      <c r="E70" s="231"/>
      <c r="F70" s="231"/>
      <c r="G70" s="231"/>
      <c r="H70" s="230"/>
      <c r="I70" s="231"/>
      <c r="J70" s="231"/>
      <c r="K70" s="231"/>
      <c r="L70" s="230"/>
      <c r="M70" s="230"/>
      <c r="N70" s="231"/>
      <c r="O70" s="231"/>
    </row>
    <row r="71" spans="1:15" ht="13.5" thickBot="1" x14ac:dyDescent="0.25">
      <c r="A71" s="231"/>
      <c r="B71" s="231"/>
      <c r="C71" s="231"/>
      <c r="D71" s="231"/>
      <c r="E71" s="231"/>
      <c r="F71" s="231"/>
      <c r="G71" s="231"/>
      <c r="H71" s="230"/>
      <c r="I71" s="230"/>
      <c r="J71" s="230"/>
      <c r="K71" s="231"/>
      <c r="L71" s="228" t="s">
        <v>696</v>
      </c>
      <c r="M71" s="228"/>
      <c r="N71" s="231"/>
      <c r="O71" s="231"/>
    </row>
    <row r="72" spans="1:15" x14ac:dyDescent="0.2">
      <c r="A72" s="231"/>
      <c r="B72" s="231"/>
      <c r="C72" s="231"/>
      <c r="D72" s="231"/>
      <c r="E72" s="231"/>
      <c r="F72" s="231"/>
      <c r="G72" s="231"/>
      <c r="H72" s="231"/>
      <c r="I72" s="230"/>
      <c r="J72" s="230"/>
      <c r="K72" s="231"/>
      <c r="L72" s="118" t="s">
        <v>362</v>
      </c>
      <c r="M72" s="231"/>
      <c r="N72" s="231"/>
      <c r="O72" s="231"/>
    </row>
    <row r="73" spans="1:15" x14ac:dyDescent="0.2">
      <c r="A73" s="231"/>
      <c r="B73" s="231"/>
      <c r="C73" s="231"/>
      <c r="D73" s="231"/>
      <c r="E73" s="231"/>
      <c r="F73" s="231"/>
      <c r="G73" s="231"/>
      <c r="H73" s="231"/>
      <c r="I73" s="230"/>
      <c r="J73" s="230"/>
      <c r="K73" s="231"/>
      <c r="L73" s="118"/>
      <c r="M73" s="231"/>
      <c r="N73" s="231"/>
      <c r="O73" s="231"/>
    </row>
    <row r="74" spans="1:15" x14ac:dyDescent="0.2">
      <c r="A74" s="191" t="s">
        <v>448</v>
      </c>
      <c r="B74" s="231"/>
      <c r="C74" s="231"/>
      <c r="D74" s="231"/>
      <c r="E74" s="231"/>
      <c r="F74" s="231"/>
      <c r="G74" s="231"/>
      <c r="H74" s="231"/>
      <c r="I74" s="230"/>
      <c r="J74" s="230"/>
      <c r="K74" s="231"/>
      <c r="L74" s="118"/>
      <c r="M74" s="231"/>
      <c r="N74" s="231"/>
      <c r="O74" s="231"/>
    </row>
    <row r="75" spans="1:15" x14ac:dyDescent="0.2">
      <c r="A75" s="231"/>
      <c r="B75" s="231"/>
      <c r="C75" s="231"/>
      <c r="D75" s="231"/>
      <c r="E75" s="231"/>
      <c r="F75" s="192" t="s">
        <v>760</v>
      </c>
      <c r="G75" s="217"/>
      <c r="H75" s="217"/>
      <c r="I75" s="217">
        <v>13</v>
      </c>
      <c r="J75" s="217"/>
      <c r="K75" s="217"/>
      <c r="L75" s="231"/>
      <c r="M75" s="231"/>
      <c r="N75" s="231"/>
      <c r="O75" s="231"/>
    </row>
    <row r="76" spans="1:15" x14ac:dyDescent="0.2">
      <c r="A76" s="231"/>
      <c r="B76" s="231"/>
      <c r="C76" s="231"/>
      <c r="D76" s="231"/>
      <c r="E76" s="231"/>
      <c r="F76" s="193"/>
      <c r="G76" s="193"/>
      <c r="H76" s="194"/>
      <c r="I76" s="195" t="s">
        <v>760</v>
      </c>
      <c r="J76" s="217"/>
      <c r="K76" s="217">
        <v>13</v>
      </c>
      <c r="L76" s="231"/>
      <c r="M76" s="231"/>
      <c r="N76" s="231"/>
      <c r="O76" s="231"/>
    </row>
    <row r="77" spans="1:15" x14ac:dyDescent="0.2">
      <c r="A77" s="231"/>
      <c r="B77" s="231"/>
      <c r="C77" s="231"/>
      <c r="D77" s="231"/>
      <c r="E77" s="231"/>
      <c r="F77" s="195" t="s">
        <v>762</v>
      </c>
      <c r="G77" s="195"/>
      <c r="H77" s="196"/>
      <c r="I77" s="217">
        <v>9</v>
      </c>
      <c r="J77" s="194"/>
      <c r="K77" s="217"/>
      <c r="L77" s="231"/>
      <c r="M77" s="231"/>
      <c r="N77" s="231"/>
      <c r="O77" s="231"/>
    </row>
    <row r="78" spans="1:15" ht="13.5" thickBot="1" x14ac:dyDescent="0.25">
      <c r="A78" s="231"/>
      <c r="B78" s="231"/>
      <c r="C78" s="231"/>
      <c r="D78" s="231"/>
      <c r="E78" s="231"/>
      <c r="F78" s="217"/>
      <c r="G78" s="217"/>
      <c r="H78" s="217"/>
      <c r="I78" s="184"/>
      <c r="J78" s="197"/>
      <c r="K78" s="217"/>
      <c r="L78" s="231" t="s">
        <v>760</v>
      </c>
      <c r="M78" s="231"/>
      <c r="N78" s="231"/>
      <c r="O78" s="231"/>
    </row>
    <row r="79" spans="1:15" x14ac:dyDescent="0.2">
      <c r="A79" s="231"/>
      <c r="B79" s="231"/>
      <c r="C79" s="231"/>
      <c r="D79" s="231"/>
      <c r="E79" s="231"/>
      <c r="F79" s="217" t="s">
        <v>707</v>
      </c>
      <c r="G79" s="217"/>
      <c r="H79" s="217"/>
      <c r="I79" s="217">
        <v>13</v>
      </c>
      <c r="J79" s="197"/>
      <c r="K79" s="198"/>
      <c r="L79" s="189" t="s">
        <v>363</v>
      </c>
      <c r="M79" s="190"/>
      <c r="N79" s="231"/>
      <c r="O79" s="231"/>
    </row>
    <row r="80" spans="1:15" x14ac:dyDescent="0.2">
      <c r="A80" s="231"/>
      <c r="B80" s="231"/>
      <c r="C80" s="231"/>
      <c r="D80" s="231"/>
      <c r="E80" s="231"/>
      <c r="F80" s="193"/>
      <c r="G80" s="193"/>
      <c r="H80" s="194"/>
      <c r="I80" s="217" t="s">
        <v>707</v>
      </c>
      <c r="J80" s="196"/>
      <c r="K80" s="184">
        <v>4</v>
      </c>
      <c r="L80" s="231"/>
      <c r="M80" s="231"/>
      <c r="N80" s="231"/>
      <c r="O80" s="231"/>
    </row>
    <row r="81" spans="1:15" ht="13.5" thickBot="1" x14ac:dyDescent="0.25">
      <c r="A81" s="231"/>
      <c r="B81" s="231"/>
      <c r="C81" s="231"/>
      <c r="D81" s="231"/>
      <c r="E81" s="231"/>
      <c r="F81" s="195" t="s">
        <v>485</v>
      </c>
      <c r="G81" s="195"/>
      <c r="H81" s="196"/>
      <c r="I81" s="193">
        <v>8</v>
      </c>
      <c r="J81" s="217"/>
      <c r="K81" s="184"/>
      <c r="L81" s="230" t="s">
        <v>707</v>
      </c>
      <c r="M81" s="228"/>
      <c r="N81" s="231"/>
      <c r="O81" s="231"/>
    </row>
    <row r="82" spans="1:15" x14ac:dyDescent="0.2">
      <c r="A82" s="231"/>
      <c r="B82" s="231"/>
      <c r="C82" s="231"/>
      <c r="D82" s="231"/>
      <c r="E82" s="231"/>
      <c r="F82" s="217"/>
      <c r="G82" s="217"/>
      <c r="H82" s="217"/>
      <c r="I82" s="217"/>
      <c r="J82" s="217"/>
      <c r="K82" s="184"/>
      <c r="L82" s="189" t="s">
        <v>364</v>
      </c>
      <c r="M82" s="230"/>
      <c r="N82" s="231"/>
      <c r="O82" s="231"/>
    </row>
    <row r="83" spans="1:15" x14ac:dyDescent="0.2">
      <c r="A83" s="231"/>
      <c r="B83" s="231"/>
      <c r="C83" s="231"/>
      <c r="D83" s="231"/>
      <c r="E83" s="231"/>
      <c r="F83" s="217"/>
      <c r="G83" s="217"/>
      <c r="H83" s="184"/>
      <c r="I83" s="217" t="s">
        <v>762</v>
      </c>
      <c r="J83" s="217"/>
      <c r="K83" s="184">
        <v>13</v>
      </c>
      <c r="L83" s="230"/>
      <c r="M83" s="230"/>
      <c r="N83" s="231"/>
      <c r="O83" s="231"/>
    </row>
    <row r="84" spans="1:15" ht="13.5" thickBot="1" x14ac:dyDescent="0.25">
      <c r="A84" s="231"/>
      <c r="B84" s="231"/>
      <c r="C84" s="231"/>
      <c r="D84" s="231"/>
      <c r="E84" s="231"/>
      <c r="F84" s="217"/>
      <c r="G84" s="217"/>
      <c r="H84" s="184"/>
      <c r="I84" s="193"/>
      <c r="J84" s="194"/>
      <c r="K84" s="199"/>
      <c r="L84" s="228" t="s">
        <v>762</v>
      </c>
      <c r="M84" s="228"/>
      <c r="N84" s="231"/>
      <c r="O84" s="231"/>
    </row>
    <row r="85" spans="1:15" x14ac:dyDescent="0.2">
      <c r="A85" s="231"/>
      <c r="B85" s="231"/>
      <c r="C85" s="231"/>
      <c r="D85" s="231"/>
      <c r="E85" s="231"/>
      <c r="F85" s="217"/>
      <c r="G85" s="217"/>
      <c r="H85" s="184"/>
      <c r="I85" s="195" t="s">
        <v>485</v>
      </c>
      <c r="J85" s="196"/>
      <c r="K85" s="217">
        <v>12</v>
      </c>
      <c r="L85" s="112" t="s">
        <v>369</v>
      </c>
      <c r="M85" s="230"/>
      <c r="N85" s="231"/>
      <c r="O85" s="231"/>
    </row>
    <row r="86" spans="1:15" x14ac:dyDescent="0.2">
      <c r="A86" s="231"/>
      <c r="B86" s="231"/>
      <c r="C86" s="231"/>
      <c r="D86" s="231"/>
      <c r="E86" s="231"/>
      <c r="F86" s="231"/>
      <c r="G86" s="231"/>
      <c r="H86" s="230"/>
      <c r="I86" s="231"/>
      <c r="J86" s="231"/>
      <c r="K86" s="231"/>
      <c r="L86" s="230"/>
      <c r="M86" s="230"/>
      <c r="N86" s="231"/>
      <c r="O86" s="231"/>
    </row>
    <row r="87" spans="1:15" ht="13.5" thickBot="1" x14ac:dyDescent="0.25">
      <c r="A87" s="231"/>
      <c r="B87" s="231"/>
      <c r="C87" s="231"/>
      <c r="D87" s="231"/>
      <c r="E87" s="231"/>
      <c r="F87" s="231"/>
      <c r="G87" s="231"/>
      <c r="H87" s="231"/>
      <c r="I87" s="230"/>
      <c r="J87" s="230"/>
      <c r="K87" s="231"/>
      <c r="L87" s="228" t="s">
        <v>485</v>
      </c>
      <c r="M87" s="228"/>
      <c r="N87" s="231"/>
      <c r="O87" s="231"/>
    </row>
    <row r="88" spans="1:15" x14ac:dyDescent="0.2">
      <c r="A88" s="231"/>
      <c r="B88" s="231"/>
      <c r="C88" s="231"/>
      <c r="D88" s="231"/>
      <c r="E88" s="231"/>
      <c r="F88" s="231"/>
      <c r="G88" s="231"/>
      <c r="H88" s="231"/>
      <c r="I88" s="230"/>
      <c r="J88" s="230"/>
      <c r="K88" s="231"/>
      <c r="L88" s="112" t="s">
        <v>370</v>
      </c>
      <c r="M88" s="231"/>
      <c r="N88" s="231"/>
      <c r="O88" s="231"/>
    </row>
    <row r="89" spans="1:15" s="259" customFormat="1" x14ac:dyDescent="0.2">
      <c r="A89" s="231"/>
      <c r="B89" s="231"/>
      <c r="C89" s="231"/>
      <c r="D89" s="231"/>
      <c r="E89" s="231"/>
      <c r="F89" s="231"/>
      <c r="G89" s="231"/>
      <c r="H89" s="231"/>
      <c r="I89" s="230"/>
      <c r="J89" s="230"/>
      <c r="K89" s="231"/>
      <c r="L89" s="112"/>
      <c r="M89" s="231"/>
      <c r="N89" s="231"/>
      <c r="O89" s="231"/>
    </row>
    <row r="90" spans="1:15" s="259" customFormat="1" x14ac:dyDescent="0.2">
      <c r="A90" s="191" t="s">
        <v>764</v>
      </c>
      <c r="B90" s="231"/>
      <c r="C90" s="231"/>
      <c r="D90" s="231"/>
      <c r="E90" s="231"/>
      <c r="F90" s="231"/>
      <c r="G90" s="231"/>
      <c r="H90" s="231"/>
      <c r="I90" s="230"/>
      <c r="J90" s="230"/>
      <c r="K90" s="231"/>
      <c r="L90" s="112"/>
      <c r="M90" s="231"/>
      <c r="N90" s="231"/>
      <c r="O90" s="231"/>
    </row>
    <row r="91" spans="1:15" s="259" customFormat="1" x14ac:dyDescent="0.2">
      <c r="A91" s="231"/>
      <c r="B91" s="231"/>
      <c r="C91" s="231"/>
      <c r="D91" s="231"/>
      <c r="E91" s="231"/>
      <c r="F91" s="231"/>
      <c r="G91" s="231"/>
      <c r="H91" s="231"/>
      <c r="I91" s="230"/>
      <c r="J91" s="230"/>
      <c r="K91" s="231"/>
      <c r="L91" s="112"/>
      <c r="M91" s="231"/>
      <c r="N91" s="231"/>
      <c r="O91" s="231"/>
    </row>
    <row r="92" spans="1:15" s="259" customFormat="1" x14ac:dyDescent="0.2">
      <c r="A92" s="231"/>
      <c r="B92" s="231"/>
      <c r="C92" s="231"/>
      <c r="D92" s="231"/>
      <c r="E92" s="231"/>
      <c r="F92" s="231"/>
      <c r="G92" s="231"/>
      <c r="H92" s="231"/>
      <c r="I92" s="423" t="s">
        <v>568</v>
      </c>
      <c r="J92" s="217"/>
      <c r="K92" s="184">
        <v>13</v>
      </c>
      <c r="L92" s="230"/>
      <c r="M92" s="230"/>
      <c r="N92" s="231"/>
      <c r="O92" s="231"/>
    </row>
    <row r="93" spans="1:15" s="259" customFormat="1" ht="13.5" thickBot="1" x14ac:dyDescent="0.25">
      <c r="A93" s="231"/>
      <c r="B93" s="231"/>
      <c r="C93" s="231"/>
      <c r="D93" s="231"/>
      <c r="E93" s="231"/>
      <c r="F93" s="231"/>
      <c r="G93" s="231"/>
      <c r="H93" s="231"/>
      <c r="I93" s="193"/>
      <c r="J93" s="194"/>
      <c r="K93" s="199"/>
      <c r="L93" s="228" t="s">
        <v>568</v>
      </c>
      <c r="M93" s="228"/>
      <c r="N93" s="231"/>
      <c r="O93" s="231"/>
    </row>
    <row r="94" spans="1:15" s="259" customFormat="1" x14ac:dyDescent="0.2">
      <c r="A94" s="231"/>
      <c r="B94" s="231"/>
      <c r="C94" s="231"/>
      <c r="D94" s="231"/>
      <c r="E94" s="231"/>
      <c r="F94" s="231"/>
      <c r="G94" s="231"/>
      <c r="H94" s="231"/>
      <c r="I94" s="195" t="s">
        <v>384</v>
      </c>
      <c r="J94" s="196"/>
      <c r="K94" s="217">
        <v>9</v>
      </c>
      <c r="L94" s="112" t="s">
        <v>374</v>
      </c>
      <c r="M94" s="230"/>
      <c r="N94" s="231"/>
      <c r="O94" s="231"/>
    </row>
    <row r="95" spans="1:15" s="259" customFormat="1" x14ac:dyDescent="0.2">
      <c r="A95" s="231"/>
      <c r="B95" s="231"/>
      <c r="C95" s="231"/>
      <c r="D95" s="231"/>
      <c r="E95" s="231"/>
      <c r="F95" s="231"/>
      <c r="G95" s="231"/>
      <c r="H95" s="231"/>
      <c r="I95" s="231"/>
      <c r="J95" s="231"/>
      <c r="K95" s="231"/>
      <c r="L95" s="230"/>
      <c r="M95" s="230"/>
      <c r="N95" s="231"/>
      <c r="O95" s="231"/>
    </row>
    <row r="96" spans="1:15" s="259" customFormat="1" ht="13.5" thickBot="1" x14ac:dyDescent="0.25">
      <c r="A96" s="231"/>
      <c r="B96" s="231"/>
      <c r="C96" s="231"/>
      <c r="D96" s="231"/>
      <c r="E96" s="231"/>
      <c r="F96" s="231"/>
      <c r="G96" s="231"/>
      <c r="H96" s="231"/>
      <c r="I96" s="230"/>
      <c r="J96" s="230"/>
      <c r="K96" s="231"/>
      <c r="L96" s="228" t="s">
        <v>384</v>
      </c>
      <c r="M96" s="228"/>
      <c r="N96" s="231"/>
      <c r="O96" s="231"/>
    </row>
    <row r="97" spans="1:15" s="259" customFormat="1" x14ac:dyDescent="0.2">
      <c r="A97" s="231"/>
      <c r="B97" s="231"/>
      <c r="C97" s="231"/>
      <c r="D97" s="231"/>
      <c r="E97" s="231"/>
      <c r="F97" s="231"/>
      <c r="G97" s="231"/>
      <c r="H97" s="231"/>
      <c r="I97" s="230"/>
      <c r="J97" s="230"/>
      <c r="K97" s="231"/>
      <c r="L97" s="112" t="s">
        <v>390</v>
      </c>
      <c r="M97" s="231"/>
      <c r="N97" s="231"/>
      <c r="O97" s="231"/>
    </row>
    <row r="98" spans="1:15" s="259" customFormat="1" x14ac:dyDescent="0.2">
      <c r="A98" s="231"/>
      <c r="B98" s="231"/>
      <c r="C98" s="231"/>
      <c r="D98" s="231"/>
      <c r="E98" s="231"/>
      <c r="F98" s="231"/>
      <c r="G98" s="231"/>
      <c r="H98" s="231"/>
      <c r="I98" s="230"/>
      <c r="J98" s="230"/>
      <c r="K98" s="231"/>
      <c r="L98" s="112"/>
      <c r="M98" s="231"/>
      <c r="N98" s="231"/>
      <c r="O98" s="231"/>
    </row>
    <row r="99" spans="1:15" x14ac:dyDescent="0.2">
      <c r="A99" s="200" t="s">
        <v>537</v>
      </c>
      <c r="B99" s="231"/>
      <c r="C99" s="231"/>
      <c r="D99" s="231"/>
      <c r="E99" s="231"/>
      <c r="F99" s="231"/>
      <c r="G99" s="231"/>
      <c r="H99" s="231"/>
      <c r="I99" s="231"/>
      <c r="J99" s="231"/>
      <c r="K99" s="231"/>
      <c r="L99" s="231"/>
      <c r="M99" s="231"/>
      <c r="N99" s="231"/>
      <c r="O99" s="231"/>
    </row>
    <row r="100" spans="1:15" x14ac:dyDescent="0.2">
      <c r="A100" s="201"/>
      <c r="B100" s="231"/>
      <c r="C100" s="231"/>
      <c r="D100" s="231"/>
      <c r="E100" s="231"/>
      <c r="F100" s="231"/>
      <c r="G100" s="231"/>
      <c r="H100" s="231"/>
      <c r="I100" s="231"/>
      <c r="J100" s="231"/>
      <c r="K100" s="231"/>
      <c r="L100" s="231"/>
      <c r="M100" s="231"/>
      <c r="N100" s="231"/>
      <c r="O100" s="231"/>
    </row>
    <row r="101" spans="1:15" x14ac:dyDescent="0.2">
      <c r="A101" s="231"/>
      <c r="B101" s="221" t="s">
        <v>405</v>
      </c>
      <c r="C101" s="226" t="s">
        <v>753</v>
      </c>
      <c r="D101" s="230"/>
      <c r="E101" s="231"/>
      <c r="F101" s="217">
        <v>13</v>
      </c>
      <c r="G101" s="231"/>
      <c r="H101" s="231"/>
      <c r="I101" s="231"/>
      <c r="J101" s="231"/>
      <c r="K101" s="231"/>
      <c r="L101" s="231"/>
      <c r="M101" s="231"/>
      <c r="N101" s="231"/>
      <c r="O101" s="231"/>
    </row>
    <row r="102" spans="1:15" x14ac:dyDescent="0.2">
      <c r="A102" s="231"/>
      <c r="B102" s="221"/>
      <c r="C102" s="180"/>
      <c r="D102" s="180"/>
      <c r="E102" s="182"/>
      <c r="F102" s="227" t="s">
        <v>753</v>
      </c>
      <c r="G102" s="231"/>
      <c r="H102" s="231"/>
      <c r="I102" s="217">
        <v>13</v>
      </c>
      <c r="J102" s="231"/>
      <c r="K102" s="231"/>
      <c r="L102" s="231"/>
      <c r="M102" s="231"/>
      <c r="N102" s="231"/>
      <c r="O102" s="231"/>
    </row>
    <row r="103" spans="1:15" x14ac:dyDescent="0.2">
      <c r="A103" s="231"/>
      <c r="B103" s="221" t="s">
        <v>510</v>
      </c>
      <c r="C103" s="226" t="s">
        <v>761</v>
      </c>
      <c r="D103" s="226"/>
      <c r="E103" s="186"/>
      <c r="F103" s="193">
        <v>8</v>
      </c>
      <c r="G103" s="180"/>
      <c r="H103" s="182"/>
      <c r="I103" s="231"/>
      <c r="J103" s="231"/>
      <c r="K103" s="231"/>
      <c r="L103" s="231"/>
      <c r="M103" s="231"/>
      <c r="N103" s="231"/>
      <c r="O103" s="231"/>
    </row>
    <row r="104" spans="1:15" x14ac:dyDescent="0.2">
      <c r="A104" s="231"/>
      <c r="B104" s="221"/>
      <c r="C104" s="231"/>
      <c r="D104" s="231"/>
      <c r="E104" s="231"/>
      <c r="F104" s="230"/>
      <c r="G104" s="230"/>
      <c r="H104" s="183"/>
      <c r="I104" s="425" t="s">
        <v>753</v>
      </c>
      <c r="J104" s="231"/>
      <c r="K104" s="217">
        <v>13</v>
      </c>
      <c r="L104" s="231"/>
      <c r="M104" s="231"/>
      <c r="N104" s="231"/>
      <c r="O104" s="231"/>
    </row>
    <row r="105" spans="1:15" x14ac:dyDescent="0.2">
      <c r="A105" s="231"/>
      <c r="B105" s="221" t="s">
        <v>404</v>
      </c>
      <c r="C105" s="226" t="s">
        <v>379</v>
      </c>
      <c r="D105" s="226"/>
      <c r="E105" s="231"/>
      <c r="F105" s="184">
        <v>13</v>
      </c>
      <c r="G105" s="230"/>
      <c r="H105" s="183"/>
      <c r="I105" s="185"/>
      <c r="J105" s="182"/>
      <c r="K105" s="231"/>
      <c r="L105" s="231"/>
      <c r="M105" s="231"/>
      <c r="N105" s="231"/>
      <c r="O105" s="231"/>
    </row>
    <row r="106" spans="1:15" x14ac:dyDescent="0.2">
      <c r="A106" s="231"/>
      <c r="B106" s="221"/>
      <c r="C106" s="231"/>
      <c r="D106" s="230"/>
      <c r="E106" s="182"/>
      <c r="F106" s="226" t="s">
        <v>379</v>
      </c>
      <c r="G106" s="226"/>
      <c r="H106" s="186"/>
      <c r="I106" s="184">
        <v>6</v>
      </c>
      <c r="J106" s="183"/>
      <c r="K106" s="231"/>
      <c r="L106" s="231"/>
      <c r="M106" s="231"/>
      <c r="N106" s="231"/>
      <c r="O106" s="231"/>
    </row>
    <row r="107" spans="1:15" x14ac:dyDescent="0.2">
      <c r="A107" s="231"/>
      <c r="B107" s="221"/>
      <c r="C107" s="424" t="s">
        <v>352</v>
      </c>
      <c r="D107" s="231"/>
      <c r="E107" s="186"/>
      <c r="F107" s="184">
        <v>0</v>
      </c>
      <c r="G107" s="231"/>
      <c r="H107" s="231"/>
      <c r="I107" s="230"/>
      <c r="J107" s="183"/>
      <c r="K107" s="231"/>
      <c r="L107" s="231"/>
      <c r="M107" s="231"/>
      <c r="N107" s="231"/>
      <c r="O107" s="231"/>
    </row>
    <row r="108" spans="1:15" ht="13.5" thickBot="1" x14ac:dyDescent="0.25">
      <c r="A108" s="231"/>
      <c r="B108" s="221"/>
      <c r="C108" s="193"/>
      <c r="D108" s="180"/>
      <c r="E108" s="231"/>
      <c r="F108" s="230"/>
      <c r="G108" s="230"/>
      <c r="H108" s="230"/>
      <c r="I108" s="230"/>
      <c r="J108" s="183"/>
      <c r="K108" s="231"/>
      <c r="L108" s="231" t="s">
        <v>753</v>
      </c>
      <c r="M108" s="231"/>
      <c r="N108" s="231"/>
      <c r="O108" s="231"/>
    </row>
    <row r="109" spans="1:15" x14ac:dyDescent="0.2">
      <c r="A109" s="231"/>
      <c r="B109" s="221" t="s">
        <v>408</v>
      </c>
      <c r="C109" s="230" t="s">
        <v>759</v>
      </c>
      <c r="D109" s="230"/>
      <c r="E109" s="231"/>
      <c r="F109" s="217">
        <v>7</v>
      </c>
      <c r="G109" s="231"/>
      <c r="H109" s="231"/>
      <c r="I109" s="231"/>
      <c r="J109" s="183"/>
      <c r="K109" s="190"/>
      <c r="L109" s="189" t="s">
        <v>391</v>
      </c>
      <c r="M109" s="190"/>
      <c r="N109" s="231"/>
      <c r="O109" s="231"/>
    </row>
    <row r="110" spans="1:15" x14ac:dyDescent="0.2">
      <c r="A110" s="231"/>
      <c r="B110" s="221"/>
      <c r="C110" s="180"/>
      <c r="D110" s="180"/>
      <c r="E110" s="182"/>
      <c r="F110" s="227" t="s">
        <v>754</v>
      </c>
      <c r="G110" s="231"/>
      <c r="H110" s="231"/>
      <c r="I110" s="217">
        <v>3</v>
      </c>
      <c r="J110" s="183"/>
      <c r="N110" s="231"/>
      <c r="O110" s="231"/>
    </row>
    <row r="111" spans="1:15" ht="13.5" thickBot="1" x14ac:dyDescent="0.25">
      <c r="A111" s="231"/>
      <c r="B111" s="221" t="s">
        <v>406</v>
      </c>
      <c r="C111" s="226" t="s">
        <v>754</v>
      </c>
      <c r="D111" s="226"/>
      <c r="E111" s="186"/>
      <c r="F111" s="193">
        <v>13</v>
      </c>
      <c r="G111" s="180"/>
      <c r="H111" s="182"/>
      <c r="I111" s="231"/>
      <c r="J111" s="183"/>
      <c r="K111" s="231"/>
      <c r="L111" s="230" t="s">
        <v>565</v>
      </c>
      <c r="M111" s="228"/>
      <c r="N111" s="231"/>
      <c r="O111" s="231"/>
    </row>
    <row r="112" spans="1:15" x14ac:dyDescent="0.2">
      <c r="A112" s="231"/>
      <c r="B112" s="221"/>
      <c r="C112" s="231"/>
      <c r="D112" s="231"/>
      <c r="E112" s="231"/>
      <c r="F112" s="230"/>
      <c r="G112" s="230"/>
      <c r="H112" s="183"/>
      <c r="I112" s="227" t="s">
        <v>565</v>
      </c>
      <c r="J112" s="186"/>
      <c r="K112" s="217">
        <v>6</v>
      </c>
      <c r="L112" s="189" t="s">
        <v>392</v>
      </c>
      <c r="M112" s="230"/>
      <c r="N112" s="231"/>
      <c r="O112" s="231"/>
    </row>
    <row r="113" spans="1:16" x14ac:dyDescent="0.2">
      <c r="A113" s="231"/>
      <c r="B113" s="221" t="s">
        <v>475</v>
      </c>
      <c r="C113" s="226" t="s">
        <v>565</v>
      </c>
      <c r="D113" s="226"/>
      <c r="E113" s="231"/>
      <c r="F113" s="184">
        <v>13</v>
      </c>
      <c r="G113" s="230"/>
      <c r="H113" s="183"/>
      <c r="I113" s="185"/>
      <c r="J113" s="180"/>
      <c r="K113" s="231"/>
      <c r="N113" s="231"/>
      <c r="O113" s="231"/>
    </row>
    <row r="114" spans="1:16" x14ac:dyDescent="0.2">
      <c r="A114" s="231"/>
      <c r="B114" s="221"/>
      <c r="C114" s="231"/>
      <c r="D114" s="230"/>
      <c r="E114" s="182"/>
      <c r="F114" s="420" t="s">
        <v>565</v>
      </c>
      <c r="G114" s="226"/>
      <c r="H114" s="186"/>
      <c r="I114" s="184">
        <v>13</v>
      </c>
      <c r="J114" s="230"/>
      <c r="K114" s="231"/>
      <c r="L114" s="231"/>
      <c r="M114" s="231"/>
      <c r="N114" s="231"/>
      <c r="O114" s="231"/>
    </row>
    <row r="115" spans="1:16" x14ac:dyDescent="0.2">
      <c r="A115" s="231"/>
      <c r="B115" s="221" t="s">
        <v>402</v>
      </c>
      <c r="C115" s="230" t="s">
        <v>758</v>
      </c>
      <c r="D115" s="231"/>
      <c r="E115" s="186"/>
      <c r="F115" s="184">
        <v>8</v>
      </c>
      <c r="G115" s="231"/>
      <c r="H115" s="231"/>
      <c r="I115" s="230"/>
      <c r="J115" s="230"/>
      <c r="K115" s="231"/>
      <c r="L115" s="231"/>
      <c r="M115" s="231"/>
      <c r="N115" s="231"/>
      <c r="O115" s="231"/>
    </row>
    <row r="116" spans="1:16" x14ac:dyDescent="0.2">
      <c r="A116" s="231"/>
      <c r="B116" s="230"/>
      <c r="C116" s="193"/>
      <c r="D116" s="180"/>
      <c r="E116" s="231"/>
      <c r="F116" s="230"/>
      <c r="G116" s="230"/>
      <c r="H116" s="230"/>
      <c r="I116" s="231" t="s">
        <v>379</v>
      </c>
      <c r="J116" s="231"/>
      <c r="K116" s="184">
        <v>11</v>
      </c>
      <c r="L116" s="231"/>
      <c r="M116" s="231"/>
      <c r="N116" s="231"/>
      <c r="O116" s="231"/>
    </row>
    <row r="117" spans="1:16" ht="13.5" thickBot="1" x14ac:dyDescent="0.25">
      <c r="A117" s="231"/>
      <c r="B117" s="230"/>
      <c r="C117" s="231"/>
      <c r="D117" s="231"/>
      <c r="E117" s="231"/>
      <c r="F117" s="230"/>
      <c r="G117" s="230"/>
      <c r="H117" s="230"/>
      <c r="I117" s="180"/>
      <c r="J117" s="182"/>
      <c r="K117" s="228"/>
      <c r="L117" s="228" t="s">
        <v>754</v>
      </c>
      <c r="M117" s="228"/>
      <c r="N117" s="231"/>
      <c r="O117" s="231"/>
      <c r="P117" s="244" t="s">
        <v>8</v>
      </c>
    </row>
    <row r="118" spans="1:16" x14ac:dyDescent="0.2">
      <c r="A118" s="231"/>
      <c r="B118" s="230"/>
      <c r="C118" s="217"/>
      <c r="D118" s="231"/>
      <c r="E118" s="231"/>
      <c r="F118" s="230"/>
      <c r="G118" s="230"/>
      <c r="H118" s="230"/>
      <c r="I118" s="226" t="s">
        <v>754</v>
      </c>
      <c r="J118" s="186"/>
      <c r="K118" s="217">
        <v>13</v>
      </c>
      <c r="L118" s="112" t="s">
        <v>393</v>
      </c>
      <c r="M118" s="230"/>
      <c r="N118" s="231"/>
      <c r="O118" s="231"/>
    </row>
    <row r="119" spans="1:16" x14ac:dyDescent="0.2">
      <c r="A119" s="231"/>
      <c r="B119" s="230"/>
      <c r="C119" s="230"/>
      <c r="D119" s="230"/>
      <c r="E119" s="230"/>
      <c r="F119" s="184"/>
      <c r="G119" s="230"/>
      <c r="H119" s="230"/>
      <c r="I119" s="231"/>
      <c r="J119" s="231"/>
      <c r="K119" s="231"/>
      <c r="L119" s="230"/>
      <c r="M119" s="230"/>
      <c r="N119" s="231"/>
      <c r="O119" s="231"/>
    </row>
    <row r="120" spans="1:16" ht="13.5" thickBot="1" x14ac:dyDescent="0.25">
      <c r="A120" s="231"/>
      <c r="B120" s="230"/>
      <c r="C120" s="184"/>
      <c r="D120" s="230"/>
      <c r="E120" s="230"/>
      <c r="F120" s="230"/>
      <c r="G120" s="230"/>
      <c r="H120" s="230"/>
      <c r="I120" s="230"/>
      <c r="J120" s="230"/>
      <c r="K120" s="231"/>
      <c r="L120" s="228" t="s">
        <v>379</v>
      </c>
      <c r="M120" s="228"/>
      <c r="N120" s="231"/>
      <c r="O120" s="231"/>
    </row>
    <row r="121" spans="1:16" x14ac:dyDescent="0.2">
      <c r="A121" s="231"/>
      <c r="B121" s="230"/>
      <c r="C121" s="230"/>
      <c r="D121" s="230"/>
      <c r="E121" s="230"/>
      <c r="F121" s="230" t="s">
        <v>761</v>
      </c>
      <c r="G121" s="231"/>
      <c r="H121" s="231"/>
      <c r="I121" s="217">
        <v>13</v>
      </c>
      <c r="J121" s="231"/>
      <c r="K121" s="231"/>
      <c r="L121" s="118" t="s">
        <v>394</v>
      </c>
      <c r="M121" s="231"/>
      <c r="N121" s="231"/>
      <c r="O121" s="231"/>
    </row>
    <row r="122" spans="1:16" x14ac:dyDescent="0.2">
      <c r="A122" s="231"/>
      <c r="B122" s="230"/>
      <c r="C122" s="230"/>
      <c r="D122" s="230"/>
      <c r="E122" s="230"/>
      <c r="F122" s="180"/>
      <c r="G122" s="180"/>
      <c r="H122" s="182"/>
      <c r="I122" s="227" t="s">
        <v>761</v>
      </c>
      <c r="J122" s="231"/>
      <c r="K122" s="217">
        <v>11</v>
      </c>
      <c r="L122" s="231"/>
      <c r="M122" s="231"/>
      <c r="N122" s="231"/>
      <c r="O122" s="231"/>
    </row>
    <row r="123" spans="1:16" x14ac:dyDescent="0.2">
      <c r="A123" s="231"/>
      <c r="B123" s="230"/>
      <c r="C123" s="184"/>
      <c r="D123" s="230"/>
      <c r="E123" s="230"/>
      <c r="F123" s="420" t="s">
        <v>352</v>
      </c>
      <c r="G123" s="226"/>
      <c r="H123" s="186"/>
      <c r="I123" s="187">
        <v>0</v>
      </c>
      <c r="J123" s="182"/>
      <c r="K123" s="231"/>
      <c r="L123" s="231"/>
      <c r="M123" s="231"/>
      <c r="N123" s="231"/>
      <c r="O123" s="231"/>
    </row>
    <row r="124" spans="1:16" ht="13.5" thickBot="1" x14ac:dyDescent="0.25">
      <c r="A124" s="231"/>
      <c r="B124" s="230"/>
      <c r="C124" s="230"/>
      <c r="D124" s="230"/>
      <c r="E124" s="230"/>
      <c r="F124" s="217"/>
      <c r="G124" s="231"/>
      <c r="H124" s="231"/>
      <c r="I124" s="231"/>
      <c r="J124" s="183"/>
      <c r="K124" s="231"/>
      <c r="L124" s="231" t="s">
        <v>759</v>
      </c>
      <c r="M124" s="231"/>
      <c r="N124" s="231"/>
      <c r="O124" s="231"/>
    </row>
    <row r="125" spans="1:16" x14ac:dyDescent="0.2">
      <c r="A125" s="231"/>
      <c r="B125" s="230"/>
      <c r="C125" s="231"/>
      <c r="D125" s="231"/>
      <c r="E125" s="230"/>
      <c r="F125" s="230" t="s">
        <v>759</v>
      </c>
      <c r="G125" s="231"/>
      <c r="H125" s="231"/>
      <c r="I125" s="217">
        <v>13</v>
      </c>
      <c r="J125" s="183"/>
      <c r="K125" s="190"/>
      <c r="L125" s="189" t="s">
        <v>395</v>
      </c>
      <c r="M125" s="190"/>
      <c r="N125" s="231"/>
      <c r="O125" s="231"/>
    </row>
    <row r="126" spans="1:16" x14ac:dyDescent="0.2">
      <c r="A126" s="231"/>
      <c r="B126" s="231"/>
      <c r="C126" s="231"/>
      <c r="D126" s="231"/>
      <c r="E126" s="230"/>
      <c r="F126" s="180"/>
      <c r="G126" s="180"/>
      <c r="H126" s="182"/>
      <c r="I126" s="227" t="s">
        <v>759</v>
      </c>
      <c r="J126" s="186"/>
      <c r="K126" s="217">
        <v>13</v>
      </c>
      <c r="L126" s="231"/>
      <c r="M126" s="231"/>
      <c r="N126" s="231"/>
      <c r="O126" s="231"/>
    </row>
    <row r="127" spans="1:16" ht="13.5" thickBot="1" x14ac:dyDescent="0.25">
      <c r="A127" s="231"/>
      <c r="B127" s="231"/>
      <c r="C127" s="231"/>
      <c r="D127" s="231"/>
      <c r="E127" s="230"/>
      <c r="F127" s="226" t="s">
        <v>758</v>
      </c>
      <c r="G127" s="226"/>
      <c r="H127" s="186"/>
      <c r="I127" s="187">
        <v>7</v>
      </c>
      <c r="J127" s="230"/>
      <c r="K127" s="231"/>
      <c r="L127" s="230" t="s">
        <v>761</v>
      </c>
      <c r="M127" s="228"/>
      <c r="N127" s="231"/>
      <c r="O127" s="231"/>
    </row>
    <row r="128" spans="1:16" x14ac:dyDescent="0.2">
      <c r="A128" s="231"/>
      <c r="B128" s="231"/>
      <c r="C128" s="231"/>
      <c r="D128" s="231"/>
      <c r="E128" s="230"/>
      <c r="F128" s="184"/>
      <c r="G128" s="231"/>
      <c r="H128" s="231"/>
      <c r="I128" s="230"/>
      <c r="J128" s="230"/>
      <c r="K128" s="231"/>
      <c r="L128" s="189" t="s">
        <v>396</v>
      </c>
      <c r="M128" s="231"/>
      <c r="N128" s="231"/>
      <c r="O128" s="231"/>
    </row>
    <row r="129" spans="1:15" x14ac:dyDescent="0.2">
      <c r="A129" s="231"/>
      <c r="B129" s="231"/>
      <c r="C129" s="231"/>
      <c r="D129" s="231"/>
      <c r="E129" s="230"/>
      <c r="F129" s="230"/>
      <c r="G129" s="230"/>
      <c r="H129" s="230"/>
      <c r="I129" s="421" t="s">
        <v>352</v>
      </c>
      <c r="J129" s="231"/>
      <c r="K129" s="184">
        <v>0</v>
      </c>
      <c r="L129" s="231"/>
      <c r="M129" s="231"/>
      <c r="N129" s="231"/>
      <c r="O129" s="231"/>
    </row>
    <row r="130" spans="1:15" ht="13.5" thickBot="1" x14ac:dyDescent="0.25">
      <c r="A130" s="231"/>
      <c r="B130" s="231"/>
      <c r="C130" s="231"/>
      <c r="D130" s="231"/>
      <c r="E130" s="230"/>
      <c r="F130" s="230"/>
      <c r="G130" s="230"/>
      <c r="H130" s="230"/>
      <c r="I130" s="180"/>
      <c r="J130" s="182"/>
      <c r="K130" s="228"/>
      <c r="L130" s="228" t="s">
        <v>758</v>
      </c>
      <c r="M130" s="228"/>
      <c r="N130" s="231"/>
      <c r="O130" s="231"/>
    </row>
    <row r="131" spans="1:15" x14ac:dyDescent="0.2">
      <c r="A131" s="231"/>
      <c r="B131" s="231"/>
      <c r="C131" s="231"/>
      <c r="D131" s="231"/>
      <c r="E131" s="230"/>
      <c r="F131" s="230"/>
      <c r="G131" s="230"/>
      <c r="H131" s="230"/>
      <c r="I131" s="226" t="s">
        <v>758</v>
      </c>
      <c r="J131" s="186"/>
      <c r="K131" s="217">
        <v>13</v>
      </c>
      <c r="L131" s="112" t="s">
        <v>450</v>
      </c>
      <c r="M131" s="230"/>
      <c r="N131" s="231"/>
      <c r="O131" s="231"/>
    </row>
    <row r="132" spans="1:15" x14ac:dyDescent="0.2">
      <c r="A132" s="231"/>
      <c r="B132" s="231"/>
      <c r="C132" s="231"/>
      <c r="D132" s="231"/>
      <c r="E132" s="231"/>
      <c r="F132" s="184"/>
      <c r="G132" s="230"/>
      <c r="H132" s="230"/>
      <c r="I132" s="231"/>
      <c r="J132" s="231"/>
      <c r="K132" s="231"/>
      <c r="L132" s="230"/>
      <c r="M132" s="230"/>
      <c r="N132" s="231"/>
      <c r="O132" s="231"/>
    </row>
    <row r="133" spans="1:15" ht="13.5" thickBot="1" x14ac:dyDescent="0.25">
      <c r="A133" s="231"/>
      <c r="B133" s="231"/>
      <c r="C133" s="231"/>
      <c r="D133" s="231"/>
      <c r="E133" s="231"/>
      <c r="L133" s="228"/>
      <c r="M133" s="228"/>
      <c r="N133" s="231"/>
      <c r="O133" s="231"/>
    </row>
    <row r="134" spans="1:15" x14ac:dyDescent="0.2">
      <c r="A134" s="231"/>
      <c r="B134" s="231"/>
      <c r="C134" s="231"/>
      <c r="D134" s="231"/>
      <c r="E134" s="231"/>
      <c r="F134" s="230"/>
      <c r="G134" s="230"/>
      <c r="H134" s="230"/>
      <c r="I134" s="230"/>
      <c r="J134" s="230"/>
      <c r="K134" s="231"/>
      <c r="L134" s="118"/>
      <c r="M134" s="231"/>
      <c r="N134" s="231"/>
      <c r="O134" s="231"/>
    </row>
    <row r="135" spans="1:15" x14ac:dyDescent="0.2">
      <c r="A135" s="231"/>
      <c r="B135" s="230"/>
      <c r="C135" s="230"/>
      <c r="D135" s="230"/>
      <c r="E135" s="230"/>
      <c r="F135" s="230"/>
      <c r="G135" s="230"/>
      <c r="H135" s="230"/>
      <c r="I135" s="230"/>
      <c r="J135" s="230"/>
      <c r="K135" s="231"/>
      <c r="O135" s="231"/>
    </row>
    <row r="136" spans="1:15" x14ac:dyDescent="0.2">
      <c r="A136" s="91">
        <v>1</v>
      </c>
      <c r="B136" s="203" t="s">
        <v>756</v>
      </c>
      <c r="C136" s="231"/>
      <c r="D136" s="231"/>
      <c r="E136" s="231"/>
      <c r="F136" s="231"/>
      <c r="G136" s="231"/>
      <c r="H136" s="231"/>
      <c r="I136" s="231"/>
      <c r="J136" s="231"/>
      <c r="K136" s="231"/>
      <c r="L136" s="231"/>
      <c r="M136" s="231"/>
      <c r="N136" s="231"/>
      <c r="O136" s="231"/>
    </row>
    <row r="137" spans="1:15" x14ac:dyDescent="0.2">
      <c r="A137" s="91">
        <v>2</v>
      </c>
      <c r="B137" s="308" t="s">
        <v>755</v>
      </c>
      <c r="C137" s="231"/>
      <c r="D137" s="231"/>
      <c r="E137" s="231"/>
      <c r="F137" s="231"/>
      <c r="G137" s="231"/>
      <c r="H137" s="231"/>
      <c r="I137" s="231"/>
      <c r="J137" s="231"/>
      <c r="K137" s="231"/>
      <c r="L137" s="231"/>
      <c r="M137" s="231"/>
      <c r="N137" s="231"/>
      <c r="O137" s="231"/>
    </row>
    <row r="138" spans="1:15" x14ac:dyDescent="0.2">
      <c r="A138" s="91">
        <v>3</v>
      </c>
      <c r="B138" s="233" t="s">
        <v>757</v>
      </c>
      <c r="C138" s="231"/>
      <c r="D138" s="231"/>
      <c r="E138" s="231"/>
      <c r="F138" s="231"/>
      <c r="G138" s="231"/>
      <c r="H138" s="231"/>
      <c r="I138" s="231"/>
      <c r="J138" s="231"/>
      <c r="K138" s="231"/>
      <c r="L138" s="231"/>
      <c r="M138" s="231"/>
      <c r="N138" s="231"/>
      <c r="O138" s="231"/>
    </row>
    <row r="139" spans="1:15" x14ac:dyDescent="0.2">
      <c r="A139" s="91">
        <v>4</v>
      </c>
      <c r="B139" s="250" t="s">
        <v>696</v>
      </c>
      <c r="C139" s="231"/>
      <c r="D139" s="231"/>
      <c r="E139" s="231"/>
      <c r="F139" s="231"/>
      <c r="G139" s="231"/>
      <c r="H139" s="231"/>
      <c r="I139" s="231"/>
      <c r="J139" s="231"/>
      <c r="K139" s="231"/>
      <c r="L139" s="231"/>
      <c r="M139" s="231"/>
      <c r="N139" s="231"/>
      <c r="O139" s="231"/>
    </row>
    <row r="140" spans="1:15" x14ac:dyDescent="0.2">
      <c r="A140" s="91">
        <v>5</v>
      </c>
      <c r="B140" s="250" t="s">
        <v>760</v>
      </c>
      <c r="C140" s="231"/>
      <c r="D140" s="231"/>
      <c r="E140" s="231"/>
      <c r="F140" s="231"/>
      <c r="G140" s="231"/>
      <c r="H140" s="231"/>
      <c r="I140" s="231"/>
      <c r="J140" s="231"/>
      <c r="K140" s="231"/>
      <c r="L140" s="231"/>
      <c r="M140" s="231"/>
      <c r="N140" s="231"/>
      <c r="O140" s="231"/>
    </row>
    <row r="141" spans="1:15" x14ac:dyDescent="0.2">
      <c r="A141" s="91">
        <v>6</v>
      </c>
      <c r="B141" s="250" t="s">
        <v>707</v>
      </c>
      <c r="C141" s="231"/>
      <c r="D141" s="231"/>
      <c r="E141" s="231"/>
      <c r="F141" s="231"/>
      <c r="G141" s="231"/>
      <c r="H141" s="231"/>
      <c r="I141" s="231"/>
      <c r="J141" s="231"/>
      <c r="K141" s="231"/>
      <c r="L141" s="231"/>
      <c r="M141" s="231"/>
      <c r="N141" s="231"/>
      <c r="O141" s="231"/>
    </row>
    <row r="142" spans="1:15" x14ac:dyDescent="0.2">
      <c r="A142" s="91">
        <v>7</v>
      </c>
      <c r="B142" s="250" t="s">
        <v>762</v>
      </c>
      <c r="C142" s="231"/>
      <c r="D142" s="231"/>
      <c r="E142" s="231"/>
      <c r="F142" s="231"/>
      <c r="G142" s="231"/>
      <c r="H142" s="231"/>
      <c r="I142" s="231"/>
      <c r="J142" s="231"/>
      <c r="K142" s="231"/>
      <c r="L142" s="231"/>
      <c r="M142" s="231"/>
      <c r="N142" s="231"/>
      <c r="O142" s="231"/>
    </row>
    <row r="143" spans="1:15" x14ac:dyDescent="0.2">
      <c r="A143" s="91">
        <v>8</v>
      </c>
      <c r="B143" s="250" t="s">
        <v>485</v>
      </c>
      <c r="C143" s="231"/>
      <c r="D143" s="231"/>
      <c r="E143" s="231"/>
      <c r="F143" s="231"/>
      <c r="G143" s="231"/>
      <c r="H143" s="231"/>
      <c r="I143" s="231"/>
      <c r="J143" s="231"/>
      <c r="K143" s="231"/>
      <c r="L143" s="231"/>
      <c r="M143" s="231"/>
      <c r="N143" s="231"/>
      <c r="O143" s="231"/>
    </row>
    <row r="144" spans="1:15" x14ac:dyDescent="0.2">
      <c r="A144" s="91">
        <v>9</v>
      </c>
      <c r="B144" s="250" t="s">
        <v>568</v>
      </c>
      <c r="C144" s="231"/>
      <c r="D144" s="231"/>
      <c r="E144" s="231"/>
      <c r="F144" s="231"/>
      <c r="G144" s="231"/>
      <c r="H144" s="231"/>
      <c r="I144" s="231"/>
      <c r="J144" s="231"/>
      <c r="K144" s="231"/>
      <c r="L144" s="231"/>
      <c r="M144" s="231"/>
      <c r="N144" s="231"/>
      <c r="O144" s="231"/>
    </row>
    <row r="145" spans="1:15" x14ac:dyDescent="0.2">
      <c r="A145" s="91">
        <v>10</v>
      </c>
      <c r="B145" s="250" t="s">
        <v>384</v>
      </c>
      <c r="C145" s="231"/>
      <c r="D145" s="231"/>
      <c r="E145" s="231"/>
      <c r="F145" s="231"/>
      <c r="G145" s="231"/>
      <c r="H145" s="231"/>
      <c r="I145" s="231"/>
      <c r="J145" s="231"/>
      <c r="K145" s="231"/>
      <c r="L145" s="231"/>
      <c r="M145" s="231"/>
      <c r="N145" s="231"/>
      <c r="O145" s="231"/>
    </row>
    <row r="146" spans="1:15" x14ac:dyDescent="0.2">
      <c r="A146" s="91">
        <v>11</v>
      </c>
      <c r="B146" s="250" t="s">
        <v>753</v>
      </c>
      <c r="C146" s="231"/>
      <c r="D146" s="231"/>
      <c r="E146" s="231"/>
      <c r="F146" s="231"/>
      <c r="G146" s="231"/>
      <c r="H146" s="231"/>
      <c r="I146" s="231"/>
      <c r="J146" s="231"/>
      <c r="K146" s="231"/>
      <c r="L146" s="231"/>
      <c r="M146" s="231"/>
      <c r="N146" s="231"/>
      <c r="O146" s="231"/>
    </row>
    <row r="147" spans="1:15" x14ac:dyDescent="0.2">
      <c r="A147" s="91">
        <v>12</v>
      </c>
      <c r="B147" s="250" t="s">
        <v>565</v>
      </c>
      <c r="C147" s="231"/>
      <c r="D147" s="231"/>
      <c r="E147" s="231"/>
      <c r="F147" s="231"/>
      <c r="G147" s="231"/>
      <c r="H147" s="231"/>
      <c r="I147" s="231"/>
      <c r="J147" s="231"/>
      <c r="K147" s="231"/>
      <c r="L147" s="231"/>
      <c r="M147" s="231"/>
      <c r="N147" s="231"/>
      <c r="O147" s="231"/>
    </row>
    <row r="148" spans="1:15" x14ac:dyDescent="0.2">
      <c r="A148" s="91">
        <v>13</v>
      </c>
      <c r="B148" s="250" t="s">
        <v>754</v>
      </c>
      <c r="C148" s="231"/>
      <c r="D148" s="231"/>
      <c r="E148" s="231"/>
      <c r="F148" s="231"/>
      <c r="G148" s="231"/>
      <c r="H148" s="231"/>
      <c r="I148" s="231"/>
      <c r="J148" s="231"/>
      <c r="K148" s="231"/>
      <c r="L148" s="231"/>
      <c r="M148" s="231"/>
      <c r="N148" s="231"/>
      <c r="O148" s="231"/>
    </row>
    <row r="149" spans="1:15" x14ac:dyDescent="0.2">
      <c r="A149" s="91">
        <v>14</v>
      </c>
      <c r="B149" s="250" t="s">
        <v>379</v>
      </c>
      <c r="C149" s="231"/>
      <c r="D149" s="231"/>
      <c r="E149" s="231"/>
      <c r="F149" s="231"/>
      <c r="G149" s="231"/>
      <c r="H149" s="231"/>
      <c r="I149" s="231"/>
      <c r="J149" s="231"/>
      <c r="K149" s="231"/>
      <c r="L149" s="231"/>
      <c r="M149" s="231"/>
      <c r="N149" s="231"/>
      <c r="O149" s="231"/>
    </row>
    <row r="150" spans="1:15" x14ac:dyDescent="0.2">
      <c r="A150" s="91">
        <v>15</v>
      </c>
      <c r="B150" s="250" t="s">
        <v>759</v>
      </c>
      <c r="C150" s="231"/>
      <c r="D150" s="231"/>
      <c r="E150" s="231"/>
      <c r="F150" s="231"/>
      <c r="G150" s="231"/>
      <c r="H150" s="231"/>
      <c r="I150" s="231"/>
      <c r="J150" s="231"/>
      <c r="K150" s="231"/>
      <c r="L150" s="231"/>
      <c r="M150" s="231"/>
      <c r="N150" s="231"/>
      <c r="O150" s="231"/>
    </row>
    <row r="151" spans="1:15" x14ac:dyDescent="0.2">
      <c r="A151" s="91">
        <v>16</v>
      </c>
      <c r="B151" s="250" t="s">
        <v>761</v>
      </c>
      <c r="C151" s="231"/>
      <c r="D151" s="231"/>
      <c r="E151" s="231"/>
      <c r="F151" s="231"/>
      <c r="G151" s="231"/>
      <c r="H151" s="231"/>
      <c r="I151" s="231"/>
      <c r="J151" s="231"/>
      <c r="K151" s="231"/>
      <c r="L151" s="231"/>
      <c r="M151" s="231"/>
      <c r="N151" s="231"/>
      <c r="O151" s="231"/>
    </row>
    <row r="152" spans="1:15" x14ac:dyDescent="0.2">
      <c r="A152" s="91">
        <v>17</v>
      </c>
      <c r="B152" s="250" t="s">
        <v>758</v>
      </c>
      <c r="C152" s="231" t="s">
        <v>8</v>
      </c>
      <c r="D152" s="231"/>
      <c r="E152" s="231"/>
      <c r="F152" s="231"/>
      <c r="G152" s="231"/>
      <c r="H152" s="231"/>
      <c r="I152" s="231"/>
      <c r="J152" s="231"/>
      <c r="K152" s="231"/>
      <c r="L152" s="231"/>
      <c r="M152" s="231"/>
      <c r="N152" s="231"/>
      <c r="O152" s="231"/>
    </row>
    <row r="153" spans="1:15" x14ac:dyDescent="0.2">
      <c r="A153" s="259"/>
      <c r="B153" s="259"/>
      <c r="C153" s="259"/>
      <c r="D153" s="259"/>
      <c r="E153" s="259"/>
      <c r="F153" s="259"/>
      <c r="G153" s="259"/>
      <c r="H153" s="259"/>
      <c r="I153" s="259"/>
      <c r="J153" s="259"/>
      <c r="K153" s="259"/>
      <c r="L153" s="259"/>
      <c r="M153" s="259"/>
      <c r="N153" s="259"/>
      <c r="O153" s="259"/>
    </row>
    <row r="154" spans="1:15" x14ac:dyDescent="0.2">
      <c r="A154" s="259"/>
      <c r="B154" s="259"/>
      <c r="C154" s="259"/>
      <c r="D154" s="259"/>
      <c r="E154" s="259"/>
      <c r="F154" s="259"/>
      <c r="G154" s="259"/>
      <c r="H154" s="259"/>
      <c r="I154" s="259"/>
      <c r="J154" s="259"/>
      <c r="K154" s="259"/>
      <c r="L154" s="259"/>
      <c r="M154" s="259"/>
      <c r="N154" s="259"/>
      <c r="O154" s="259"/>
    </row>
    <row r="155" spans="1:15" x14ac:dyDescent="0.2">
      <c r="A155" s="259"/>
      <c r="B155" s="259"/>
      <c r="C155" s="259"/>
      <c r="D155" s="259"/>
      <c r="E155" s="259"/>
      <c r="F155" s="259"/>
      <c r="G155" s="259"/>
      <c r="H155" s="259"/>
      <c r="I155" s="259"/>
      <c r="J155" s="259"/>
      <c r="K155" s="259"/>
      <c r="L155" s="259"/>
      <c r="M155" s="259"/>
      <c r="N155" s="259"/>
      <c r="O155" s="259"/>
    </row>
    <row r="156" spans="1:15" x14ac:dyDescent="0.2">
      <c r="A156" s="259"/>
      <c r="B156" s="259"/>
      <c r="C156" s="259"/>
      <c r="D156" s="259"/>
      <c r="E156" s="259"/>
      <c r="F156" s="259"/>
      <c r="G156" s="259"/>
      <c r="H156" s="259"/>
      <c r="I156" s="259"/>
      <c r="J156" s="259"/>
      <c r="K156" s="259"/>
      <c r="L156" s="259"/>
      <c r="M156" s="259"/>
      <c r="N156" s="259"/>
      <c r="O156" s="259"/>
    </row>
    <row r="157" spans="1:15" x14ac:dyDescent="0.2">
      <c r="A157" s="259"/>
      <c r="B157" s="259"/>
      <c r="C157" s="259"/>
      <c r="D157" s="259"/>
      <c r="E157" s="259"/>
      <c r="F157" s="259"/>
      <c r="G157" s="259"/>
      <c r="H157" s="259"/>
      <c r="I157" s="259"/>
      <c r="J157" s="259"/>
      <c r="K157" s="259"/>
      <c r="L157" s="259"/>
      <c r="M157" s="259"/>
      <c r="N157" s="259"/>
      <c r="O157" s="259"/>
    </row>
    <row r="158" spans="1:15" x14ac:dyDescent="0.2">
      <c r="A158" s="259"/>
      <c r="B158" s="259"/>
      <c r="C158" s="259"/>
      <c r="D158" s="259"/>
      <c r="E158" s="259"/>
      <c r="F158" s="259"/>
      <c r="G158" s="259"/>
      <c r="H158" s="259"/>
      <c r="I158" s="259"/>
      <c r="J158" s="259"/>
      <c r="K158" s="259"/>
      <c r="L158" s="259"/>
      <c r="M158" s="259"/>
      <c r="N158" s="259"/>
      <c r="O158" s="259"/>
    </row>
    <row r="159" spans="1:15" x14ac:dyDescent="0.2">
      <c r="A159" s="259"/>
      <c r="B159" s="259"/>
      <c r="C159" s="259"/>
      <c r="D159" s="259"/>
      <c r="E159" s="259"/>
      <c r="F159" s="259"/>
      <c r="G159" s="259"/>
      <c r="H159" s="259"/>
      <c r="I159" s="259"/>
      <c r="J159" s="259"/>
      <c r="K159" s="259"/>
      <c r="L159" s="259"/>
      <c r="M159" s="259"/>
      <c r="N159" s="259"/>
      <c r="O159" s="259"/>
    </row>
    <row r="160" spans="1:15" x14ac:dyDescent="0.2">
      <c r="A160" s="259"/>
      <c r="B160" s="259"/>
      <c r="C160" s="259"/>
      <c r="D160" s="259"/>
      <c r="E160" s="259"/>
      <c r="F160" s="259"/>
      <c r="G160" s="259"/>
      <c r="H160" s="259"/>
      <c r="I160" s="259"/>
      <c r="J160" s="259"/>
      <c r="K160" s="259"/>
      <c r="L160" s="259"/>
      <c r="M160" s="259"/>
      <c r="N160" s="259"/>
      <c r="O160" s="259"/>
    </row>
    <row r="161" spans="1:15" x14ac:dyDescent="0.2">
      <c r="A161" s="259"/>
      <c r="B161" s="259"/>
      <c r="C161" s="259"/>
      <c r="D161" s="259"/>
      <c r="E161" s="259"/>
      <c r="F161" s="259"/>
      <c r="G161" s="259"/>
      <c r="H161" s="259"/>
      <c r="I161" s="259"/>
      <c r="J161" s="259"/>
      <c r="K161" s="259"/>
      <c r="L161" s="259"/>
      <c r="M161" s="259"/>
      <c r="N161" s="259"/>
      <c r="O161" s="259"/>
    </row>
    <row r="162" spans="1:15" x14ac:dyDescent="0.2">
      <c r="A162" s="259"/>
      <c r="B162" s="259"/>
      <c r="C162" s="259"/>
      <c r="D162" s="259"/>
      <c r="E162" s="259"/>
      <c r="F162" s="259"/>
      <c r="G162" s="259"/>
      <c r="H162" s="259"/>
      <c r="I162" s="259"/>
      <c r="J162" s="259"/>
      <c r="K162" s="259"/>
      <c r="L162" s="259"/>
      <c r="M162" s="259"/>
      <c r="N162" s="259"/>
      <c r="O162" s="259"/>
    </row>
    <row r="163" spans="1:15" x14ac:dyDescent="0.2">
      <c r="A163" s="259"/>
      <c r="B163" s="259"/>
      <c r="C163" s="259"/>
      <c r="D163" s="259"/>
      <c r="E163" s="259"/>
      <c r="F163" s="259"/>
      <c r="G163" s="259"/>
      <c r="H163" s="259"/>
      <c r="I163" s="259"/>
      <c r="J163" s="259"/>
      <c r="K163" s="259"/>
      <c r="L163" s="259"/>
      <c r="M163" s="259"/>
      <c r="N163" s="259"/>
      <c r="O163" s="259"/>
    </row>
    <row r="164" spans="1:15" x14ac:dyDescent="0.2">
      <c r="A164" s="259"/>
      <c r="B164" s="259"/>
      <c r="C164" s="259"/>
      <c r="D164" s="259"/>
      <c r="E164" s="259"/>
      <c r="F164" s="259"/>
      <c r="G164" s="259"/>
      <c r="H164" s="259"/>
      <c r="I164" s="259"/>
      <c r="J164" s="259"/>
      <c r="K164" s="259"/>
      <c r="L164" s="259"/>
      <c r="M164" s="259"/>
      <c r="N164" s="259"/>
      <c r="O164" s="259"/>
    </row>
    <row r="165" spans="1:15" x14ac:dyDescent="0.2">
      <c r="A165" s="259"/>
      <c r="B165" s="259"/>
      <c r="C165" s="259"/>
      <c r="D165" s="259"/>
      <c r="E165" s="259"/>
      <c r="F165" s="259"/>
      <c r="G165" s="259"/>
      <c r="H165" s="259"/>
      <c r="I165" s="259"/>
      <c r="J165" s="259"/>
      <c r="K165" s="259"/>
      <c r="L165" s="259"/>
      <c r="M165" s="259"/>
      <c r="N165" s="259"/>
      <c r="O165" s="259"/>
    </row>
    <row r="166" spans="1:15" x14ac:dyDescent="0.2">
      <c r="A166" s="259"/>
      <c r="B166" s="259"/>
      <c r="C166" s="259"/>
      <c r="D166" s="259"/>
      <c r="E166" s="259"/>
      <c r="F166" s="259"/>
      <c r="G166" s="259"/>
      <c r="H166" s="259"/>
      <c r="I166" s="259"/>
      <c r="J166" s="259"/>
      <c r="K166" s="259"/>
      <c r="L166" s="259"/>
      <c r="M166" s="259"/>
      <c r="N166" s="259"/>
      <c r="O166" s="259"/>
    </row>
    <row r="167" spans="1:15" x14ac:dyDescent="0.2">
      <c r="A167" s="259"/>
      <c r="B167" s="259"/>
      <c r="C167" s="259"/>
      <c r="D167" s="259"/>
      <c r="E167" s="259"/>
      <c r="F167" s="259"/>
      <c r="G167" s="259"/>
      <c r="H167" s="259"/>
      <c r="I167" s="259"/>
      <c r="J167" s="259"/>
      <c r="K167" s="259"/>
      <c r="L167" s="259"/>
      <c r="M167" s="259"/>
      <c r="N167" s="259"/>
      <c r="O167" s="259"/>
    </row>
    <row r="168" spans="1:15" x14ac:dyDescent="0.2">
      <c r="A168" s="259"/>
      <c r="B168" s="259"/>
      <c r="C168" s="259"/>
      <c r="D168" s="259"/>
      <c r="E168" s="259"/>
      <c r="F168" s="259"/>
      <c r="G168" s="259"/>
      <c r="H168" s="259"/>
      <c r="I168" s="259"/>
      <c r="J168" s="259"/>
      <c r="K168" s="259"/>
      <c r="L168" s="259"/>
      <c r="M168" s="259"/>
      <c r="N168" s="259"/>
      <c r="O168" s="259"/>
    </row>
    <row r="169" spans="1:15" x14ac:dyDescent="0.2">
      <c r="A169" s="259"/>
      <c r="B169" s="259"/>
      <c r="C169" s="259"/>
      <c r="D169" s="259"/>
      <c r="E169" s="259"/>
      <c r="F169" s="259"/>
      <c r="G169" s="259"/>
      <c r="H169" s="259"/>
      <c r="I169" s="259"/>
      <c r="J169" s="259"/>
      <c r="K169" s="259"/>
      <c r="L169" s="259"/>
      <c r="M169" s="259"/>
      <c r="N169" s="259"/>
      <c r="O169" s="259"/>
    </row>
    <row r="170" spans="1:15" x14ac:dyDescent="0.2">
      <c r="A170" s="259"/>
      <c r="B170" s="259"/>
      <c r="C170" s="259"/>
      <c r="D170" s="259"/>
      <c r="E170" s="259"/>
      <c r="F170" s="259"/>
      <c r="G170" s="259"/>
      <c r="H170" s="259"/>
      <c r="I170" s="259"/>
      <c r="J170" s="259"/>
      <c r="K170" s="259"/>
      <c r="L170" s="259"/>
      <c r="M170" s="259"/>
      <c r="N170" s="259"/>
      <c r="O170" s="259"/>
    </row>
    <row r="171" spans="1:15" x14ac:dyDescent="0.2">
      <c r="A171" s="259"/>
      <c r="B171" s="259"/>
      <c r="C171" s="259"/>
      <c r="D171" s="259"/>
      <c r="E171" s="259"/>
      <c r="F171" s="259"/>
      <c r="G171" s="259"/>
      <c r="H171" s="259"/>
      <c r="I171" s="259"/>
      <c r="J171" s="259"/>
      <c r="K171" s="259"/>
      <c r="L171" s="259"/>
      <c r="M171" s="259"/>
      <c r="N171" s="259"/>
      <c r="O171" s="259"/>
    </row>
    <row r="172" spans="1:15" x14ac:dyDescent="0.2">
      <c r="A172" s="259"/>
      <c r="B172" s="259"/>
      <c r="C172" s="259"/>
      <c r="D172" s="259"/>
      <c r="E172" s="259"/>
      <c r="F172" s="259"/>
      <c r="G172" s="259"/>
      <c r="H172" s="259"/>
      <c r="I172" s="259"/>
      <c r="J172" s="259"/>
      <c r="K172" s="259"/>
      <c r="L172" s="259"/>
      <c r="M172" s="259"/>
      <c r="N172" s="259"/>
      <c r="O172" s="259"/>
    </row>
    <row r="173" spans="1:15" x14ac:dyDescent="0.2">
      <c r="A173" s="259"/>
      <c r="B173" s="259"/>
      <c r="C173" s="259"/>
      <c r="D173" s="259"/>
      <c r="E173" s="259"/>
      <c r="F173" s="259"/>
      <c r="G173" s="259"/>
      <c r="H173" s="259"/>
      <c r="I173" s="259"/>
      <c r="J173" s="259"/>
      <c r="K173" s="259"/>
      <c r="L173" s="259"/>
      <c r="M173" s="259"/>
      <c r="N173" s="259"/>
      <c r="O173" s="259"/>
    </row>
    <row r="174" spans="1:15" x14ac:dyDescent="0.2">
      <c r="A174" s="259"/>
      <c r="B174" s="259"/>
      <c r="C174" s="259"/>
      <c r="D174" s="259"/>
      <c r="E174" s="259"/>
      <c r="F174" s="259"/>
      <c r="G174" s="259"/>
      <c r="H174" s="259"/>
      <c r="I174" s="259"/>
      <c r="J174" s="259"/>
      <c r="K174" s="259"/>
      <c r="L174" s="259"/>
      <c r="M174" s="259"/>
      <c r="N174" s="259"/>
      <c r="O174" s="259"/>
    </row>
    <row r="175" spans="1:15" x14ac:dyDescent="0.2">
      <c r="A175" s="259"/>
      <c r="B175" s="259"/>
      <c r="C175" s="259"/>
      <c r="D175" s="259"/>
      <c r="E175" s="259"/>
      <c r="F175" s="259"/>
      <c r="G175" s="259"/>
      <c r="H175" s="259"/>
      <c r="I175" s="259"/>
      <c r="J175" s="259"/>
      <c r="K175" s="259"/>
      <c r="L175" s="259"/>
      <c r="M175" s="259"/>
      <c r="N175" s="259"/>
      <c r="O175" s="259"/>
    </row>
    <row r="176" spans="1:15" x14ac:dyDescent="0.2">
      <c r="A176" s="259"/>
      <c r="B176" s="259"/>
      <c r="C176" s="259"/>
      <c r="D176" s="259"/>
      <c r="E176" s="259"/>
      <c r="F176" s="259"/>
      <c r="G176" s="259"/>
      <c r="H176" s="259"/>
      <c r="I176" s="259"/>
      <c r="J176" s="259"/>
      <c r="K176" s="259"/>
      <c r="L176" s="259"/>
      <c r="M176" s="259"/>
      <c r="N176" s="259"/>
      <c r="O176" s="259"/>
    </row>
    <row r="177" spans="1:15" x14ac:dyDescent="0.2">
      <c r="A177" s="259"/>
      <c r="B177" s="259"/>
      <c r="C177" s="259"/>
      <c r="D177" s="259"/>
      <c r="E177" s="259"/>
      <c r="F177" s="259"/>
      <c r="G177" s="259"/>
      <c r="H177" s="259"/>
      <c r="I177" s="259"/>
      <c r="J177" s="259"/>
      <c r="K177" s="259"/>
      <c r="L177" s="259"/>
      <c r="M177" s="259"/>
      <c r="N177" s="259"/>
      <c r="O177" s="259"/>
    </row>
  </sheetData>
  <conditionalFormatting sqref="B38:K91 B92:H97 B98:K107 B111:K120 B108:J110 K108:K109 K11:O11 C31:G34 B121:E133 F121:K132 B134:K135">
    <cfRule type="cellIs" dxfId="230" priority="4" stopIfTrue="1" operator="equal">
      <formula>13</formula>
    </cfRule>
  </conditionalFormatting>
  <conditionalFormatting sqref="C7:G29">
    <cfRule type="cellIs" dxfId="229" priority="3" stopIfTrue="1" operator="equal">
      <formula>13</formula>
    </cfRule>
  </conditionalFormatting>
  <conditionalFormatting sqref="I92:K97">
    <cfRule type="cellIs" dxfId="228" priority="2" stopIfTrue="1" operator="equal">
      <formula>13</formula>
    </cfRule>
  </conditionalFormatting>
  <pageMargins left="0.39370078740157483" right="0.39370078740157483" top="0.78740157480314965" bottom="0.31496062992125984" header="0.59055118110236227" footer="0"/>
  <pageSetup paperSize="9" fitToHeight="0" orientation="landscape" r:id="rId1"/>
  <headerFooter>
    <oddHeader>&amp;RPage &amp;P of &amp;N</oddHeader>
  </headerFooter>
  <rowBreaks count="4" manualBreakCount="4">
    <brk id="34" max="16383" man="1"/>
    <brk id="72" max="16383" man="1"/>
    <brk id="97" max="16383" man="1"/>
    <brk id="1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279" customWidth="1"/>
    <col min="2" max="2" width="42.7109375" style="279" bestFit="1" customWidth="1"/>
    <col min="3" max="3" width="7.28515625" style="279" customWidth="1"/>
    <col min="4" max="4" width="7.42578125" style="279" bestFit="1" customWidth="1"/>
    <col min="5" max="5" width="9.140625" style="279"/>
    <col min="6" max="6" width="6.7109375" style="279" customWidth="1"/>
    <col min="7" max="7" width="5.140625" style="279" bestFit="1" customWidth="1"/>
    <col min="8" max="8" width="9.140625" style="279"/>
    <col min="9" max="9" width="3.85546875" style="279" customWidth="1"/>
    <col min="10" max="13" width="9.140625" style="279"/>
    <col min="14" max="14" width="9.140625" style="279" customWidth="1"/>
    <col min="15" max="17" width="0.85546875" style="279" customWidth="1"/>
    <col min="18" max="16384" width="9.140625" style="279"/>
  </cols>
  <sheetData>
    <row r="1" spans="1:11" x14ac:dyDescent="0.2">
      <c r="A1" s="314" t="str">
        <f>UPPER((Kalend!E26)&amp;" - "&amp;(Kalend!C26)&amp;" - "&amp;(Kalend!D26))</f>
        <v>12 - EESTI REITINGUVÕISTLUS - TRIO</v>
      </c>
      <c r="E1" s="204" t="str">
        <f>HYPERLINK("#Üldreiting!I1","Reiting")</f>
        <v>Reiting</v>
      </c>
      <c r="F1" s="528"/>
      <c r="G1" s="528"/>
    </row>
    <row r="2" spans="1:11" x14ac:dyDescent="0.2">
      <c r="A2" s="309" t="str">
        <f>"Toimumisaeg: "&amp;(Kalend!A26)&amp;" kell "&amp;(Kalend!B26)</f>
        <v>Toimumisaeg: P, 17.07.2016 kell 09:00</v>
      </c>
    </row>
    <row r="3" spans="1:11" x14ac:dyDescent="0.2">
      <c r="A3" s="309" t="str">
        <f>"Toimumiskoht: "&amp;(Kalend!H26)</f>
        <v xml:space="preserve">Toimumiskoht: Kärdla, Nuutri 21 </v>
      </c>
    </row>
    <row r="4" spans="1:11" x14ac:dyDescent="0.2">
      <c r="A4" s="309" t="str">
        <f>"Korraldaja: "&amp;(Kalend!I26)</f>
        <v>Korraldaja: PK Kärdla Petanque</v>
      </c>
    </row>
    <row r="6" spans="1:11" x14ac:dyDescent="0.2">
      <c r="A6" s="855" t="s">
        <v>331</v>
      </c>
      <c r="B6" s="856"/>
      <c r="C6" s="77" t="s">
        <v>332</v>
      </c>
      <c r="D6" s="77" t="s">
        <v>333</v>
      </c>
      <c r="E6" s="77" t="s">
        <v>334</v>
      </c>
      <c r="F6" s="77" t="s">
        <v>335</v>
      </c>
      <c r="G6" s="77" t="s">
        <v>28</v>
      </c>
      <c r="H6" s="259"/>
      <c r="I6" s="259"/>
      <c r="J6" s="259"/>
      <c r="K6" s="259"/>
    </row>
    <row r="7" spans="1:11" x14ac:dyDescent="0.2">
      <c r="A7" s="76">
        <v>1</v>
      </c>
      <c r="B7" s="426" t="s">
        <v>545</v>
      </c>
      <c r="C7" s="79">
        <v>13</v>
      </c>
      <c r="D7" s="79">
        <v>3</v>
      </c>
      <c r="E7" s="79"/>
      <c r="F7" s="79">
        <v>13</v>
      </c>
      <c r="G7" s="351" t="s">
        <v>336</v>
      </c>
      <c r="H7" s="259"/>
      <c r="I7" s="259"/>
      <c r="J7" s="259"/>
      <c r="K7" s="259"/>
    </row>
    <row r="8" spans="1:11" x14ac:dyDescent="0.2">
      <c r="A8" s="76">
        <v>2</v>
      </c>
      <c r="B8" s="426" t="s">
        <v>538</v>
      </c>
      <c r="C8" s="79">
        <v>13</v>
      </c>
      <c r="D8" s="79">
        <v>13</v>
      </c>
      <c r="E8" s="79"/>
      <c r="F8" s="79"/>
      <c r="G8" s="417" t="s">
        <v>337</v>
      </c>
      <c r="H8" s="259"/>
      <c r="I8" s="259"/>
      <c r="J8" s="259"/>
      <c r="K8" s="157"/>
    </row>
    <row r="9" spans="1:11" x14ac:dyDescent="0.2">
      <c r="A9" s="76">
        <v>3</v>
      </c>
      <c r="B9" s="426" t="s">
        <v>766</v>
      </c>
      <c r="C9" s="79">
        <v>5</v>
      </c>
      <c r="D9" s="79"/>
      <c r="E9" s="79">
        <v>13</v>
      </c>
      <c r="F9" s="79">
        <v>10</v>
      </c>
      <c r="G9" s="417" t="s">
        <v>338</v>
      </c>
      <c r="H9" s="259"/>
      <c r="I9" s="259"/>
      <c r="J9" s="259"/>
      <c r="K9" s="259"/>
    </row>
    <row r="10" spans="1:11" x14ac:dyDescent="0.2">
      <c r="A10" s="76">
        <v>4</v>
      </c>
      <c r="B10" s="356"/>
      <c r="C10" s="79">
        <v>0</v>
      </c>
      <c r="D10" s="79"/>
      <c r="E10" s="79">
        <v>0</v>
      </c>
      <c r="F10" s="79"/>
      <c r="G10" s="351"/>
      <c r="H10" s="259"/>
      <c r="I10" s="259"/>
      <c r="J10" s="259"/>
      <c r="K10" s="259"/>
    </row>
    <row r="11" spans="1:11" x14ac:dyDescent="0.2">
      <c r="A11" s="80"/>
      <c r="B11" s="81"/>
      <c r="C11" s="82"/>
      <c r="D11" s="82"/>
      <c r="E11" s="82"/>
      <c r="F11" s="83"/>
      <c r="G11" s="84"/>
      <c r="H11" s="259"/>
      <c r="I11" s="259"/>
      <c r="J11" s="259"/>
      <c r="K11" s="259"/>
    </row>
    <row r="12" spans="1:11" x14ac:dyDescent="0.2">
      <c r="A12" s="855" t="s">
        <v>339</v>
      </c>
      <c r="B12" s="856"/>
      <c r="C12" s="77" t="s">
        <v>332</v>
      </c>
      <c r="D12" s="77" t="s">
        <v>333</v>
      </c>
      <c r="E12" s="77" t="s">
        <v>334</v>
      </c>
      <c r="F12" s="77" t="s">
        <v>335</v>
      </c>
      <c r="G12" s="77" t="s">
        <v>28</v>
      </c>
      <c r="H12" s="259"/>
      <c r="I12" s="259"/>
      <c r="J12" s="259"/>
      <c r="K12" s="259"/>
    </row>
    <row r="13" spans="1:11" x14ac:dyDescent="0.2">
      <c r="A13" s="76">
        <v>1</v>
      </c>
      <c r="B13" s="426" t="s">
        <v>767</v>
      </c>
      <c r="C13" s="79">
        <v>13</v>
      </c>
      <c r="D13" s="79">
        <v>13</v>
      </c>
      <c r="E13" s="79"/>
      <c r="F13" s="79"/>
      <c r="G13" s="417" t="s">
        <v>337</v>
      </c>
      <c r="H13" s="259"/>
      <c r="I13" s="259"/>
      <c r="J13" s="259"/>
      <c r="K13" s="259"/>
    </row>
    <row r="14" spans="1:11" x14ac:dyDescent="0.2">
      <c r="A14" s="76">
        <v>2</v>
      </c>
      <c r="B14" s="426" t="s">
        <v>768</v>
      </c>
      <c r="C14" s="79">
        <v>13</v>
      </c>
      <c r="D14" s="79">
        <v>12</v>
      </c>
      <c r="E14" s="79"/>
      <c r="F14" s="79">
        <v>13</v>
      </c>
      <c r="G14" s="351" t="s">
        <v>336</v>
      </c>
      <c r="H14" s="259"/>
      <c r="I14" s="259"/>
      <c r="J14" s="259"/>
      <c r="K14" s="259"/>
    </row>
    <row r="15" spans="1:11" x14ac:dyDescent="0.2">
      <c r="A15" s="76">
        <v>3</v>
      </c>
      <c r="B15" s="426" t="s">
        <v>769</v>
      </c>
      <c r="C15" s="79">
        <v>7</v>
      </c>
      <c r="D15" s="79"/>
      <c r="E15" s="79">
        <v>13</v>
      </c>
      <c r="F15" s="79">
        <v>5</v>
      </c>
      <c r="G15" s="417" t="s">
        <v>338</v>
      </c>
      <c r="H15" s="259"/>
      <c r="I15" s="259"/>
      <c r="J15" s="259"/>
      <c r="K15" s="259"/>
    </row>
    <row r="16" spans="1:11" x14ac:dyDescent="0.2">
      <c r="A16" s="76">
        <v>4</v>
      </c>
      <c r="B16" s="272"/>
      <c r="C16" s="79">
        <v>0</v>
      </c>
      <c r="D16" s="79"/>
      <c r="E16" s="79">
        <v>0</v>
      </c>
      <c r="F16" s="79"/>
      <c r="G16" s="351"/>
      <c r="H16" s="259"/>
      <c r="I16" s="259"/>
      <c r="J16" s="259"/>
      <c r="K16" s="259"/>
    </row>
    <row r="17" spans="1:11" x14ac:dyDescent="0.2">
      <c r="A17" s="80"/>
      <c r="B17" s="81"/>
      <c r="C17" s="82"/>
      <c r="D17" s="82"/>
      <c r="E17" s="82"/>
      <c r="F17" s="83"/>
      <c r="G17" s="84"/>
      <c r="H17" s="259"/>
      <c r="I17" s="259"/>
      <c r="J17" s="259"/>
      <c r="K17" s="259"/>
    </row>
    <row r="18" spans="1:11" x14ac:dyDescent="0.2">
      <c r="A18" s="855" t="s">
        <v>341</v>
      </c>
      <c r="B18" s="856"/>
      <c r="C18" s="77" t="s">
        <v>332</v>
      </c>
      <c r="D18" s="77" t="s">
        <v>333</v>
      </c>
      <c r="E18" s="77" t="s">
        <v>334</v>
      </c>
      <c r="F18" s="77" t="s">
        <v>335</v>
      </c>
      <c r="G18" s="77" t="s">
        <v>28</v>
      </c>
      <c r="H18" s="259"/>
      <c r="I18" s="259"/>
      <c r="J18" s="259"/>
      <c r="K18" s="259"/>
    </row>
    <row r="19" spans="1:11" x14ac:dyDescent="0.2">
      <c r="A19" s="76">
        <v>1</v>
      </c>
      <c r="B19" s="427" t="s">
        <v>770</v>
      </c>
      <c r="C19" s="79">
        <v>13</v>
      </c>
      <c r="D19" s="79">
        <v>4</v>
      </c>
      <c r="E19" s="79"/>
      <c r="F19" s="79">
        <v>13</v>
      </c>
      <c r="G19" s="417" t="s">
        <v>336</v>
      </c>
      <c r="H19" s="259"/>
      <c r="I19" s="259"/>
      <c r="J19" s="259"/>
      <c r="K19" s="259"/>
    </row>
    <row r="20" spans="1:11" x14ac:dyDescent="0.2">
      <c r="A20" s="76">
        <v>2</v>
      </c>
      <c r="B20" s="426" t="s">
        <v>771</v>
      </c>
      <c r="C20" s="79">
        <v>6</v>
      </c>
      <c r="D20" s="79"/>
      <c r="E20" s="79">
        <v>13</v>
      </c>
      <c r="F20" s="79">
        <v>4</v>
      </c>
      <c r="G20" s="417" t="s">
        <v>338</v>
      </c>
      <c r="H20" s="259"/>
      <c r="I20" s="259"/>
      <c r="J20" s="259"/>
      <c r="K20" s="259"/>
    </row>
    <row r="21" spans="1:11" x14ac:dyDescent="0.2">
      <c r="A21" s="76">
        <v>3</v>
      </c>
      <c r="B21" s="428" t="s">
        <v>772</v>
      </c>
      <c r="C21" s="79">
        <v>13</v>
      </c>
      <c r="D21" s="79">
        <v>13</v>
      </c>
      <c r="E21" s="79"/>
      <c r="F21" s="79"/>
      <c r="G21" s="417" t="s">
        <v>337</v>
      </c>
      <c r="H21" s="259"/>
      <c r="I21" s="259"/>
      <c r="J21" s="259"/>
      <c r="K21" s="259"/>
    </row>
    <row r="22" spans="1:11" x14ac:dyDescent="0.2">
      <c r="A22" s="76">
        <v>4</v>
      </c>
      <c r="B22" s="356"/>
      <c r="C22" s="79">
        <v>0</v>
      </c>
      <c r="D22" s="79"/>
      <c r="E22" s="79">
        <v>0</v>
      </c>
      <c r="F22" s="79"/>
      <c r="G22" s="351"/>
      <c r="H22" s="259"/>
      <c r="I22" s="259"/>
      <c r="J22" s="259"/>
      <c r="K22" s="259"/>
    </row>
    <row r="23" spans="1:11" x14ac:dyDescent="0.2">
      <c r="A23" s="80"/>
      <c r="B23" s="81"/>
      <c r="C23" s="82"/>
      <c r="D23" s="82"/>
      <c r="E23" s="82"/>
      <c r="F23" s="83"/>
      <c r="G23" s="84"/>
      <c r="H23" s="259"/>
      <c r="I23" s="259"/>
      <c r="J23" s="259"/>
      <c r="K23" s="259"/>
    </row>
    <row r="24" spans="1:11" x14ac:dyDescent="0.2">
      <c r="A24" s="855" t="s">
        <v>375</v>
      </c>
      <c r="B24" s="856"/>
      <c r="C24" s="77" t="s">
        <v>332</v>
      </c>
      <c r="D24" s="77" t="s">
        <v>333</v>
      </c>
      <c r="E24" s="77" t="s">
        <v>334</v>
      </c>
      <c r="F24" s="77" t="s">
        <v>335</v>
      </c>
      <c r="G24" s="77" t="s">
        <v>28</v>
      </c>
      <c r="H24" s="259"/>
      <c r="I24" s="259"/>
      <c r="J24" s="259"/>
      <c r="K24" s="259"/>
    </row>
    <row r="25" spans="1:11" x14ac:dyDescent="0.2">
      <c r="A25" s="76">
        <v>1</v>
      </c>
      <c r="B25" s="427" t="s">
        <v>774</v>
      </c>
      <c r="C25" s="79">
        <v>13</v>
      </c>
      <c r="D25" s="79">
        <v>10</v>
      </c>
      <c r="E25" s="79"/>
      <c r="F25" s="79">
        <v>3</v>
      </c>
      <c r="G25" s="417" t="s">
        <v>338</v>
      </c>
      <c r="H25" s="259"/>
      <c r="I25" s="259"/>
      <c r="J25" s="259"/>
      <c r="K25" s="259"/>
    </row>
    <row r="26" spans="1:11" x14ac:dyDescent="0.2">
      <c r="A26" s="76">
        <v>2</v>
      </c>
      <c r="B26" t="s">
        <v>347</v>
      </c>
      <c r="C26" s="79">
        <v>7</v>
      </c>
      <c r="D26" s="79"/>
      <c r="E26" s="79">
        <v>13</v>
      </c>
      <c r="F26" s="79">
        <v>13</v>
      </c>
      <c r="G26" s="417" t="s">
        <v>336</v>
      </c>
      <c r="H26" s="259"/>
      <c r="I26" s="259"/>
      <c r="J26" s="259"/>
      <c r="K26" s="259"/>
    </row>
    <row r="27" spans="1:11" x14ac:dyDescent="0.2">
      <c r="A27" s="76">
        <v>3</v>
      </c>
      <c r="B27" s="426" t="s">
        <v>773</v>
      </c>
      <c r="C27" s="79">
        <v>13</v>
      </c>
      <c r="D27" s="79">
        <v>13</v>
      </c>
      <c r="E27" s="79"/>
      <c r="F27" s="79"/>
      <c r="G27" s="417" t="s">
        <v>337</v>
      </c>
      <c r="H27" s="259"/>
      <c r="I27" s="259"/>
      <c r="J27" s="259"/>
      <c r="K27" s="259"/>
    </row>
    <row r="28" spans="1:11" x14ac:dyDescent="0.2">
      <c r="A28" s="76">
        <v>4</v>
      </c>
      <c r="B28" s="356"/>
      <c r="C28" s="79">
        <v>0</v>
      </c>
      <c r="D28" s="79"/>
      <c r="E28" s="79">
        <v>0</v>
      </c>
      <c r="F28" s="79"/>
      <c r="G28" s="351"/>
      <c r="H28" s="259"/>
      <c r="I28" s="259"/>
      <c r="J28" s="259"/>
      <c r="K28" s="259"/>
    </row>
    <row r="29" spans="1:11" x14ac:dyDescent="0.2">
      <c r="A29" s="259"/>
      <c r="B29" s="259"/>
      <c r="C29" s="259"/>
      <c r="D29" s="259"/>
      <c r="E29" s="259"/>
      <c r="F29" s="259"/>
      <c r="G29" s="259"/>
      <c r="H29" s="259"/>
      <c r="I29" s="259"/>
      <c r="J29" s="259"/>
      <c r="K29" s="259"/>
    </row>
    <row r="30" spans="1:11" x14ac:dyDescent="0.2">
      <c r="A30" s="119" t="s">
        <v>376</v>
      </c>
      <c r="B30" s="371"/>
      <c r="C30" s="371"/>
      <c r="D30" s="371"/>
      <c r="E30" s="371"/>
      <c r="F30" s="371"/>
      <c r="G30" s="371"/>
      <c r="H30" s="371"/>
      <c r="I30" s="371"/>
      <c r="J30" s="371"/>
      <c r="K30" s="371"/>
    </row>
    <row r="31" spans="1:11" x14ac:dyDescent="0.2">
      <c r="A31" s="119"/>
      <c r="B31" s="371"/>
      <c r="C31" s="371"/>
      <c r="D31" s="371"/>
      <c r="E31" s="371"/>
      <c r="F31" s="371"/>
      <c r="G31" s="371"/>
      <c r="H31" s="371"/>
      <c r="I31" s="371"/>
      <c r="J31" s="371"/>
      <c r="K31" s="371"/>
    </row>
    <row r="32" spans="1:11" x14ac:dyDescent="0.2">
      <c r="A32" s="120" t="s">
        <v>356</v>
      </c>
      <c r="B32" s="371" t="s">
        <v>767</v>
      </c>
      <c r="C32" s="372">
        <v>13</v>
      </c>
      <c r="D32" s="371"/>
      <c r="E32" s="371"/>
      <c r="F32" s="371"/>
      <c r="G32" s="371"/>
      <c r="H32" s="371"/>
      <c r="I32" s="371"/>
      <c r="J32" s="371"/>
      <c r="K32" s="371"/>
    </row>
    <row r="33" spans="1:15" x14ac:dyDescent="0.2">
      <c r="A33" s="371"/>
      <c r="B33" s="373"/>
      <c r="C33" s="402" t="s">
        <v>767</v>
      </c>
      <c r="D33" s="403"/>
      <c r="E33" s="371"/>
      <c r="F33" s="372">
        <v>1</v>
      </c>
      <c r="G33" s="371"/>
      <c r="H33" s="371"/>
      <c r="I33" s="371"/>
      <c r="J33" s="371"/>
      <c r="K33" s="371"/>
    </row>
    <row r="34" spans="1:15" x14ac:dyDescent="0.2">
      <c r="A34" s="120" t="s">
        <v>358</v>
      </c>
      <c r="B34" s="376" t="s">
        <v>545</v>
      </c>
      <c r="C34" s="377">
        <v>7</v>
      </c>
      <c r="D34" s="371"/>
      <c r="E34" s="378"/>
      <c r="F34" s="371"/>
      <c r="G34" s="371"/>
      <c r="H34" s="371"/>
      <c r="I34" s="371"/>
      <c r="J34" s="371"/>
      <c r="K34" s="371"/>
    </row>
    <row r="35" spans="1:15" x14ac:dyDescent="0.2">
      <c r="A35" s="371"/>
      <c r="B35" s="371"/>
      <c r="C35" s="371"/>
      <c r="D35" s="379"/>
      <c r="E35" s="380"/>
      <c r="F35" s="371" t="s">
        <v>772</v>
      </c>
      <c r="G35" s="371"/>
      <c r="H35" s="371"/>
      <c r="I35" s="372">
        <v>13</v>
      </c>
      <c r="J35" s="371"/>
      <c r="K35" s="371"/>
    </row>
    <row r="36" spans="1:15" x14ac:dyDescent="0.2">
      <c r="A36" s="120" t="s">
        <v>401</v>
      </c>
      <c r="B36" s="381" t="s">
        <v>347</v>
      </c>
      <c r="C36" s="382">
        <v>10</v>
      </c>
      <c r="D36" s="371"/>
      <c r="E36" s="380"/>
      <c r="F36" s="373"/>
      <c r="G36" s="373"/>
      <c r="H36" s="378"/>
      <c r="I36" s="371"/>
      <c r="J36" s="371"/>
      <c r="K36" s="371"/>
    </row>
    <row r="37" spans="1:15" x14ac:dyDescent="0.2">
      <c r="A37" s="371"/>
      <c r="B37" s="373"/>
      <c r="C37" s="389" t="s">
        <v>772</v>
      </c>
      <c r="D37" s="371"/>
      <c r="E37" s="404"/>
      <c r="F37" s="382">
        <v>13</v>
      </c>
      <c r="G37" s="379"/>
      <c r="H37" s="380"/>
      <c r="I37" s="371"/>
      <c r="J37" s="371"/>
      <c r="K37" s="371"/>
    </row>
    <row r="38" spans="1:15" x14ac:dyDescent="0.2">
      <c r="A38" s="120" t="s">
        <v>353</v>
      </c>
      <c r="B38" s="376" t="s">
        <v>772</v>
      </c>
      <c r="C38" s="390">
        <v>13</v>
      </c>
      <c r="D38" s="373"/>
      <c r="E38" s="371"/>
      <c r="F38" s="379"/>
      <c r="G38" s="379"/>
      <c r="H38" s="380"/>
      <c r="I38" s="371"/>
      <c r="J38" s="371"/>
      <c r="K38" s="371"/>
    </row>
    <row r="39" spans="1:15" ht="13.5" thickBot="1" x14ac:dyDescent="0.25">
      <c r="A39" s="371"/>
      <c r="B39" s="371"/>
      <c r="C39" s="371"/>
      <c r="D39" s="371"/>
      <c r="E39" s="371"/>
      <c r="F39" s="379"/>
      <c r="G39" s="379"/>
      <c r="H39" s="380"/>
      <c r="I39" s="371"/>
      <c r="J39" s="386" t="s">
        <v>772</v>
      </c>
      <c r="K39" s="371"/>
      <c r="O39" s="279" t="s">
        <v>8</v>
      </c>
    </row>
    <row r="40" spans="1:15" x14ac:dyDescent="0.2">
      <c r="A40" s="120" t="s">
        <v>399</v>
      </c>
      <c r="B40" s="371" t="s">
        <v>773</v>
      </c>
      <c r="C40" s="372">
        <v>13</v>
      </c>
      <c r="D40" s="371"/>
      <c r="E40" s="371"/>
      <c r="F40" s="379"/>
      <c r="G40" s="379"/>
      <c r="H40" s="380"/>
      <c r="I40" s="128"/>
      <c r="J40" s="129" t="s">
        <v>357</v>
      </c>
      <c r="K40" s="387"/>
    </row>
    <row r="41" spans="1:15" x14ac:dyDescent="0.2">
      <c r="A41" s="371"/>
      <c r="B41" s="373"/>
      <c r="C41" s="402" t="s">
        <v>773</v>
      </c>
      <c r="D41" s="403"/>
      <c r="E41" s="371"/>
      <c r="F41" s="382">
        <v>8</v>
      </c>
      <c r="G41" s="379"/>
      <c r="H41" s="380"/>
      <c r="I41" s="371"/>
      <c r="J41" s="371"/>
      <c r="K41" s="371"/>
    </row>
    <row r="42" spans="1:15" ht="13.5" thickBot="1" x14ac:dyDescent="0.25">
      <c r="A42" s="120" t="s">
        <v>355</v>
      </c>
      <c r="B42" s="403" t="s">
        <v>768</v>
      </c>
      <c r="C42" s="377">
        <v>5</v>
      </c>
      <c r="D42" s="371"/>
      <c r="E42" s="378"/>
      <c r="F42" s="379"/>
      <c r="G42" s="379"/>
      <c r="H42" s="380"/>
      <c r="I42" s="371"/>
      <c r="J42" s="388" t="s">
        <v>538</v>
      </c>
      <c r="K42" s="388"/>
      <c r="O42" s="279" t="s">
        <v>8</v>
      </c>
    </row>
    <row r="43" spans="1:15" x14ac:dyDescent="0.2">
      <c r="A43" s="371"/>
      <c r="B43" s="371"/>
      <c r="C43" s="371"/>
      <c r="D43" s="379"/>
      <c r="E43" s="380"/>
      <c r="F43" s="403" t="s">
        <v>538</v>
      </c>
      <c r="G43" s="403"/>
      <c r="H43" s="404"/>
      <c r="I43" s="372">
        <v>2</v>
      </c>
      <c r="J43" s="129" t="s">
        <v>359</v>
      </c>
      <c r="K43" s="371"/>
    </row>
    <row r="44" spans="1:15" x14ac:dyDescent="0.2">
      <c r="A44" s="120" t="s">
        <v>354</v>
      </c>
      <c r="B44" s="371" t="s">
        <v>770</v>
      </c>
      <c r="C44" s="382">
        <v>4</v>
      </c>
      <c r="D44" s="371"/>
      <c r="E44" s="380"/>
      <c r="F44" s="371"/>
      <c r="G44" s="371"/>
      <c r="H44" s="371"/>
      <c r="I44" s="371"/>
      <c r="J44" s="371"/>
      <c r="K44" s="371"/>
    </row>
    <row r="45" spans="1:15" x14ac:dyDescent="0.2">
      <c r="A45" s="371"/>
      <c r="B45" s="373"/>
      <c r="C45" s="389" t="s">
        <v>538</v>
      </c>
      <c r="D45" s="371"/>
      <c r="E45" s="404"/>
      <c r="F45" s="372">
        <v>13</v>
      </c>
      <c r="G45" s="371"/>
      <c r="H45" s="371"/>
      <c r="I45" s="371"/>
      <c r="J45" s="371"/>
      <c r="K45" s="371"/>
    </row>
    <row r="46" spans="1:15" x14ac:dyDescent="0.2">
      <c r="A46" s="120" t="s">
        <v>360</v>
      </c>
      <c r="B46" s="403" t="s">
        <v>538</v>
      </c>
      <c r="C46" s="390">
        <v>13</v>
      </c>
      <c r="D46" s="373"/>
      <c r="E46" s="371"/>
      <c r="F46" s="371"/>
      <c r="G46" s="371"/>
      <c r="H46" s="371"/>
      <c r="I46" s="371"/>
      <c r="J46" s="371"/>
      <c r="K46" s="371"/>
    </row>
    <row r="47" spans="1:15" x14ac:dyDescent="0.2">
      <c r="A47" s="371"/>
      <c r="B47" s="371"/>
      <c r="C47" s="371"/>
      <c r="D47" s="371"/>
      <c r="E47" s="371"/>
      <c r="F47" s="371" t="s">
        <v>767</v>
      </c>
      <c r="G47" s="371"/>
      <c r="H47" s="371"/>
      <c r="I47" s="382">
        <v>13</v>
      </c>
      <c r="J47" s="379"/>
      <c r="K47" s="379"/>
    </row>
    <row r="48" spans="1:15" ht="13.5" thickBot="1" x14ac:dyDescent="0.25">
      <c r="A48" s="371"/>
      <c r="B48" s="371"/>
      <c r="C48" s="371"/>
      <c r="D48" s="371"/>
      <c r="E48" s="371"/>
      <c r="F48" s="373"/>
      <c r="G48" s="373"/>
      <c r="H48" s="378"/>
      <c r="I48" s="388"/>
      <c r="J48" s="388" t="s">
        <v>767</v>
      </c>
      <c r="K48" s="388"/>
    </row>
    <row r="49" spans="1:11" x14ac:dyDescent="0.2">
      <c r="A49" s="371"/>
      <c r="B49" s="371"/>
      <c r="C49" s="371"/>
      <c r="D49" s="371"/>
      <c r="E49" s="371"/>
      <c r="F49" s="403" t="s">
        <v>773</v>
      </c>
      <c r="G49" s="403"/>
      <c r="H49" s="404"/>
      <c r="I49" s="372">
        <v>8</v>
      </c>
      <c r="J49" s="133" t="s">
        <v>361</v>
      </c>
      <c r="K49" s="379"/>
    </row>
    <row r="50" spans="1:11" x14ac:dyDescent="0.2">
      <c r="A50" s="371"/>
      <c r="B50" s="371"/>
      <c r="C50" s="371"/>
      <c r="D50" s="371"/>
      <c r="E50" s="371"/>
      <c r="F50" s="371"/>
      <c r="G50" s="371"/>
      <c r="H50" s="371"/>
      <c r="I50" s="371"/>
      <c r="J50" s="379"/>
      <c r="K50" s="379"/>
    </row>
    <row r="51" spans="1:11" ht="13.5" thickBot="1" x14ac:dyDescent="0.25">
      <c r="A51" s="371"/>
      <c r="B51" s="371"/>
      <c r="C51" s="371"/>
      <c r="D51" s="371"/>
      <c r="E51" s="371"/>
      <c r="F51" s="371"/>
      <c r="G51" s="379"/>
      <c r="H51" s="379"/>
      <c r="I51" s="371"/>
      <c r="J51" s="388" t="s">
        <v>773</v>
      </c>
      <c r="K51" s="388"/>
    </row>
    <row r="52" spans="1:11" x14ac:dyDescent="0.2">
      <c r="A52" s="371"/>
      <c r="B52" s="371"/>
      <c r="C52" s="371" t="s">
        <v>545</v>
      </c>
      <c r="D52" s="371"/>
      <c r="E52" s="371"/>
      <c r="F52" s="372" t="s">
        <v>8</v>
      </c>
      <c r="G52" s="371"/>
      <c r="H52" s="371"/>
      <c r="I52" s="371"/>
      <c r="J52" s="120" t="s">
        <v>362</v>
      </c>
      <c r="K52" s="371"/>
    </row>
    <row r="53" spans="1:11" x14ac:dyDescent="0.2">
      <c r="A53" s="371"/>
      <c r="B53" s="371"/>
      <c r="C53" s="373"/>
      <c r="D53" s="373"/>
      <c r="E53" s="378"/>
      <c r="F53" s="402" t="s">
        <v>347</v>
      </c>
      <c r="G53" s="403"/>
      <c r="H53" s="403"/>
      <c r="I53" s="372">
        <v>10</v>
      </c>
      <c r="J53" s="371"/>
      <c r="K53" s="371"/>
    </row>
    <row r="54" spans="1:11" x14ac:dyDescent="0.2">
      <c r="A54" s="371"/>
      <c r="B54" s="371"/>
      <c r="C54" s="403" t="s">
        <v>347</v>
      </c>
      <c r="D54" s="403"/>
      <c r="E54" s="404"/>
      <c r="F54" s="377">
        <v>13</v>
      </c>
      <c r="G54" s="371"/>
      <c r="H54" s="380"/>
      <c r="I54" s="371"/>
      <c r="J54" s="371"/>
      <c r="K54" s="371"/>
    </row>
    <row r="55" spans="1:11" ht="13.5" thickBot="1" x14ac:dyDescent="0.25">
      <c r="A55" s="371"/>
      <c r="B55" s="371"/>
      <c r="C55" s="371"/>
      <c r="D55" s="371"/>
      <c r="E55" s="371"/>
      <c r="F55" s="379"/>
      <c r="G55" s="371"/>
      <c r="H55" s="380"/>
      <c r="I55" s="371"/>
      <c r="J55" s="371" t="s">
        <v>770</v>
      </c>
      <c r="K55" s="371"/>
    </row>
    <row r="56" spans="1:11" x14ac:dyDescent="0.2">
      <c r="A56" s="371"/>
      <c r="B56" s="371"/>
      <c r="C56" s="371" t="s">
        <v>768</v>
      </c>
      <c r="D56" s="371"/>
      <c r="E56" s="371"/>
      <c r="F56" s="382">
        <v>3</v>
      </c>
      <c r="G56" s="371"/>
      <c r="H56" s="380"/>
      <c r="I56" s="128"/>
      <c r="J56" s="129" t="s">
        <v>363</v>
      </c>
      <c r="K56" s="387"/>
    </row>
    <row r="57" spans="1:11" x14ac:dyDescent="0.2">
      <c r="A57" s="371"/>
      <c r="B57" s="371"/>
      <c r="C57" s="373"/>
      <c r="D57" s="373"/>
      <c r="E57" s="378"/>
      <c r="F57" s="389" t="s">
        <v>770</v>
      </c>
      <c r="G57" s="371"/>
      <c r="H57" s="404"/>
      <c r="I57" s="382">
        <v>13</v>
      </c>
      <c r="J57" s="371"/>
      <c r="K57" s="371"/>
    </row>
    <row r="58" spans="1:11" ht="13.5" thickBot="1" x14ac:dyDescent="0.25">
      <c r="A58" s="371"/>
      <c r="B58" s="371"/>
      <c r="C58" s="403" t="s">
        <v>770</v>
      </c>
      <c r="D58" s="403"/>
      <c r="E58" s="404"/>
      <c r="F58" s="390">
        <v>13</v>
      </c>
      <c r="G58" s="373"/>
      <c r="H58" s="371"/>
      <c r="I58" s="379"/>
      <c r="J58" s="379" t="s">
        <v>347</v>
      </c>
      <c r="K58" s="388"/>
    </row>
    <row r="59" spans="1:11" x14ac:dyDescent="0.2">
      <c r="A59" s="371"/>
      <c r="B59" s="371"/>
      <c r="C59" s="371"/>
      <c r="D59" s="371"/>
      <c r="E59" s="371"/>
      <c r="F59" s="371"/>
      <c r="G59" s="371"/>
      <c r="H59" s="371"/>
      <c r="I59" s="379"/>
      <c r="J59" s="129" t="s">
        <v>364</v>
      </c>
      <c r="K59" s="379"/>
    </row>
    <row r="60" spans="1:11" x14ac:dyDescent="0.2">
      <c r="A60" s="371"/>
      <c r="B60" s="371"/>
      <c r="C60" s="371"/>
      <c r="D60" s="371"/>
      <c r="E60" s="371"/>
      <c r="F60" s="371" t="s">
        <v>545</v>
      </c>
      <c r="G60" s="371"/>
      <c r="H60" s="371"/>
      <c r="I60" s="382">
        <v>13</v>
      </c>
      <c r="J60" s="379"/>
      <c r="K60" s="379"/>
    </row>
    <row r="61" spans="1:11" ht="13.5" thickBot="1" x14ac:dyDescent="0.25">
      <c r="A61" s="371"/>
      <c r="B61" s="371"/>
      <c r="C61" s="371"/>
      <c r="D61" s="371"/>
      <c r="E61" s="371"/>
      <c r="F61" s="373"/>
      <c r="G61" s="373"/>
      <c r="H61" s="378"/>
      <c r="I61" s="388"/>
      <c r="J61" s="388" t="s">
        <v>545</v>
      </c>
      <c r="K61" s="388"/>
    </row>
    <row r="62" spans="1:11" x14ac:dyDescent="0.2">
      <c r="A62" s="371"/>
      <c r="B62" s="371"/>
      <c r="C62" s="371"/>
      <c r="D62" s="371"/>
      <c r="E62" s="371"/>
      <c r="F62" s="403" t="s">
        <v>768</v>
      </c>
      <c r="G62" s="403"/>
      <c r="H62" s="404"/>
      <c r="I62" s="372">
        <v>3</v>
      </c>
      <c r="J62" s="133" t="s">
        <v>369</v>
      </c>
      <c r="K62" s="379"/>
    </row>
    <row r="63" spans="1:11" x14ac:dyDescent="0.2">
      <c r="A63" s="371"/>
      <c r="B63" s="371"/>
      <c r="C63" s="371"/>
      <c r="D63" s="371"/>
      <c r="E63" s="371"/>
      <c r="F63" s="371"/>
      <c r="G63" s="371"/>
      <c r="H63" s="371"/>
      <c r="I63" s="371"/>
      <c r="J63" s="379"/>
      <c r="K63" s="379"/>
    </row>
    <row r="64" spans="1:11" ht="13.5" thickBot="1" x14ac:dyDescent="0.25">
      <c r="A64" s="371"/>
      <c r="B64" s="371"/>
      <c r="C64" s="371"/>
      <c r="D64" s="371"/>
      <c r="E64" s="371"/>
      <c r="F64" s="371"/>
      <c r="G64" s="379"/>
      <c r="H64" s="379"/>
      <c r="I64" s="371"/>
      <c r="J64" s="388" t="s">
        <v>768</v>
      </c>
      <c r="K64" s="388"/>
    </row>
    <row r="65" spans="1:15" x14ac:dyDescent="0.2">
      <c r="A65" s="371"/>
      <c r="B65" s="371"/>
      <c r="C65" s="371"/>
      <c r="D65" s="371"/>
      <c r="E65" s="371"/>
      <c r="F65" s="371"/>
      <c r="G65" s="379"/>
      <c r="H65" s="379"/>
      <c r="I65" s="371"/>
      <c r="J65" s="120" t="s">
        <v>370</v>
      </c>
      <c r="K65" s="371"/>
    </row>
    <row r="66" spans="1:15" x14ac:dyDescent="0.2">
      <c r="A66" s="371"/>
      <c r="B66" s="371"/>
      <c r="C66" s="371"/>
      <c r="D66" s="371"/>
      <c r="E66" s="371"/>
      <c r="F66" s="371"/>
      <c r="G66" s="379"/>
      <c r="H66" s="379"/>
      <c r="I66" s="371"/>
      <c r="J66" s="120"/>
      <c r="K66" s="371"/>
    </row>
    <row r="67" spans="1:15" x14ac:dyDescent="0.2">
      <c r="A67" s="119" t="s">
        <v>765</v>
      </c>
      <c r="B67" s="371"/>
      <c r="C67" s="371"/>
      <c r="D67" s="371"/>
      <c r="E67" s="371"/>
      <c r="F67" s="371"/>
      <c r="G67" s="371"/>
      <c r="H67" s="371"/>
      <c r="I67" s="371"/>
      <c r="J67" s="371"/>
      <c r="K67" s="371"/>
    </row>
    <row r="68" spans="1:15" x14ac:dyDescent="0.2">
      <c r="A68" s="119"/>
      <c r="B68" s="371"/>
      <c r="C68" s="371"/>
      <c r="D68" s="371"/>
      <c r="E68" s="371"/>
      <c r="F68" s="371"/>
      <c r="G68" s="371"/>
      <c r="H68" s="371"/>
      <c r="I68" s="371"/>
      <c r="J68" s="371"/>
      <c r="K68" s="371"/>
    </row>
    <row r="69" spans="1:15" x14ac:dyDescent="0.2">
      <c r="A69" s="120"/>
      <c r="B69" s="113" t="s">
        <v>406</v>
      </c>
      <c r="C69" s="175" t="s">
        <v>769</v>
      </c>
      <c r="D69" s="175"/>
      <c r="E69" s="175"/>
      <c r="F69" s="260">
        <v>1</v>
      </c>
      <c r="G69" s="175"/>
      <c r="H69" s="175"/>
      <c r="I69" s="175"/>
      <c r="J69" s="175"/>
      <c r="K69" s="175"/>
    </row>
    <row r="70" spans="1:15" x14ac:dyDescent="0.2">
      <c r="A70" s="371"/>
      <c r="B70" s="86"/>
      <c r="C70" s="261"/>
      <c r="D70" s="261"/>
      <c r="E70" s="262"/>
      <c r="F70" s="263" t="s">
        <v>771</v>
      </c>
      <c r="G70" s="264"/>
      <c r="H70" s="264"/>
      <c r="I70" s="260">
        <v>12</v>
      </c>
      <c r="J70" s="175"/>
      <c r="K70" s="175"/>
    </row>
    <row r="71" spans="1:15" x14ac:dyDescent="0.2">
      <c r="A71" s="120"/>
      <c r="B71" s="113" t="s">
        <v>402</v>
      </c>
      <c r="C71" s="264" t="s">
        <v>771</v>
      </c>
      <c r="D71" s="264"/>
      <c r="E71" s="265"/>
      <c r="F71" s="266">
        <v>13</v>
      </c>
      <c r="G71" s="175"/>
      <c r="H71" s="267"/>
      <c r="I71" s="175"/>
      <c r="J71" s="175"/>
      <c r="K71" s="175"/>
    </row>
    <row r="72" spans="1:15" ht="13.5" thickBot="1" x14ac:dyDescent="0.25">
      <c r="A72" s="371"/>
      <c r="B72" s="86"/>
      <c r="C72" s="175"/>
      <c r="D72" s="175"/>
      <c r="E72" s="175"/>
      <c r="F72" s="87"/>
      <c r="G72" s="175"/>
      <c r="H72" s="267"/>
      <c r="I72" s="175"/>
      <c r="J72" s="210" t="s">
        <v>774</v>
      </c>
      <c r="K72" s="210"/>
      <c r="O72" s="279" t="s">
        <v>8</v>
      </c>
    </row>
    <row r="73" spans="1:15" x14ac:dyDescent="0.2">
      <c r="A73" s="120"/>
      <c r="B73" s="113" t="s">
        <v>404</v>
      </c>
      <c r="C73" s="175" t="s">
        <v>774</v>
      </c>
      <c r="D73" s="175"/>
      <c r="E73" s="175"/>
      <c r="F73" s="268">
        <v>13</v>
      </c>
      <c r="G73" s="175"/>
      <c r="H73" s="267"/>
      <c r="I73" s="269"/>
      <c r="J73" s="90" t="s">
        <v>374</v>
      </c>
      <c r="K73" s="87"/>
    </row>
    <row r="74" spans="1:15" x14ac:dyDescent="0.2">
      <c r="A74" s="371"/>
      <c r="B74" s="86"/>
      <c r="C74" s="261"/>
      <c r="D74" s="261"/>
      <c r="E74" s="262"/>
      <c r="F74" s="270" t="s">
        <v>774</v>
      </c>
      <c r="G74" s="175"/>
      <c r="H74" s="265"/>
      <c r="I74" s="268">
        <v>13</v>
      </c>
      <c r="J74" s="87"/>
      <c r="K74" s="87"/>
    </row>
    <row r="75" spans="1:15" ht="13.5" thickBot="1" x14ac:dyDescent="0.25">
      <c r="A75" s="120"/>
      <c r="B75" s="113" t="s">
        <v>405</v>
      </c>
      <c r="C75" s="264" t="s">
        <v>766</v>
      </c>
      <c r="D75" s="264"/>
      <c r="E75" s="265"/>
      <c r="F75" s="271">
        <v>11</v>
      </c>
      <c r="G75" s="261"/>
      <c r="H75" s="175"/>
      <c r="I75" s="87"/>
      <c r="J75" s="210" t="s">
        <v>771</v>
      </c>
      <c r="K75" s="210"/>
      <c r="O75" s="279" t="s">
        <v>8</v>
      </c>
    </row>
    <row r="76" spans="1:15" x14ac:dyDescent="0.2">
      <c r="A76" s="371"/>
      <c r="B76" s="175"/>
      <c r="C76" s="175"/>
      <c r="D76" s="175"/>
      <c r="E76" s="175"/>
      <c r="F76" s="175"/>
      <c r="G76" s="175"/>
      <c r="H76" s="175"/>
      <c r="I76" s="87"/>
      <c r="J76" s="90" t="s">
        <v>390</v>
      </c>
      <c r="K76" s="175"/>
    </row>
    <row r="77" spans="1:15" x14ac:dyDescent="0.2">
      <c r="A77" s="120"/>
      <c r="B77" s="175"/>
      <c r="C77" s="175"/>
      <c r="D77" s="175"/>
      <c r="E77" s="175"/>
      <c r="F77" s="175" t="s">
        <v>769</v>
      </c>
      <c r="G77" s="175"/>
      <c r="H77" s="175"/>
      <c r="I77" s="268">
        <v>12</v>
      </c>
    </row>
    <row r="78" spans="1:15" ht="13.5" thickBot="1" x14ac:dyDescent="0.25">
      <c r="A78" s="371"/>
      <c r="B78" s="175"/>
      <c r="C78" s="175"/>
      <c r="D78" s="175"/>
      <c r="E78" s="175"/>
      <c r="F78" s="261"/>
      <c r="G78" s="261"/>
      <c r="H78" s="262"/>
      <c r="I78" s="210"/>
      <c r="J78" s="388" t="s">
        <v>766</v>
      </c>
      <c r="K78" s="388"/>
    </row>
    <row r="79" spans="1:15" x14ac:dyDescent="0.2">
      <c r="A79" s="120"/>
      <c r="B79" s="175"/>
      <c r="C79" s="175"/>
      <c r="D79" s="175"/>
      <c r="E79" s="175"/>
      <c r="F79" s="264" t="s">
        <v>766</v>
      </c>
      <c r="G79" s="264"/>
      <c r="H79" s="265"/>
      <c r="I79" s="260">
        <v>13</v>
      </c>
      <c r="J79" s="133" t="s">
        <v>391</v>
      </c>
      <c r="K79" s="379"/>
    </row>
    <row r="80" spans="1:15" x14ac:dyDescent="0.2">
      <c r="A80" s="371"/>
      <c r="B80" s="175"/>
      <c r="C80" s="175"/>
      <c r="D80" s="175"/>
      <c r="E80" s="175"/>
      <c r="F80" s="175"/>
      <c r="G80" s="175"/>
      <c r="H80" s="175"/>
      <c r="I80" s="175"/>
      <c r="J80" s="379"/>
      <c r="K80" s="379"/>
    </row>
    <row r="81" spans="1:11" ht="13.5" thickBot="1" x14ac:dyDescent="0.25">
      <c r="A81" s="120"/>
      <c r="B81" s="175"/>
      <c r="C81" s="175"/>
      <c r="D81" s="175"/>
      <c r="E81" s="175"/>
      <c r="F81" s="175"/>
      <c r="G81" s="87"/>
      <c r="H81" s="87"/>
      <c r="I81" s="175"/>
      <c r="J81" s="429" t="s">
        <v>769</v>
      </c>
      <c r="K81" s="388"/>
    </row>
    <row r="82" spans="1:11" x14ac:dyDescent="0.2">
      <c r="A82" s="371"/>
      <c r="B82" s="175"/>
      <c r="C82" s="175"/>
      <c r="D82" s="175"/>
      <c r="E82" s="175"/>
      <c r="F82" s="175"/>
      <c r="G82" s="87"/>
      <c r="H82" s="87"/>
      <c r="I82" s="175"/>
      <c r="J82" s="120" t="s">
        <v>392</v>
      </c>
      <c r="K82" s="371"/>
    </row>
    <row r="83" spans="1:11" x14ac:dyDescent="0.2">
      <c r="A83" s="120"/>
      <c r="B83" s="175"/>
      <c r="C83" s="175"/>
      <c r="D83" s="175"/>
      <c r="E83" s="175"/>
    </row>
    <row r="84" spans="1:11" x14ac:dyDescent="0.2">
      <c r="A84" s="134">
        <v>1</v>
      </c>
      <c r="B84" s="135" t="s">
        <v>772</v>
      </c>
      <c r="C84" s="363"/>
      <c r="D84" s="363"/>
      <c r="E84" s="363"/>
      <c r="F84" s="363"/>
      <c r="G84" s="363"/>
      <c r="H84" s="363"/>
      <c r="I84" s="363"/>
      <c r="J84" s="363"/>
      <c r="K84" s="363"/>
    </row>
    <row r="85" spans="1:11" x14ac:dyDescent="0.2">
      <c r="A85" s="134">
        <v>2</v>
      </c>
      <c r="B85" s="394" t="s">
        <v>538</v>
      </c>
      <c r="C85" s="363"/>
      <c r="D85" s="363"/>
      <c r="E85" s="363"/>
      <c r="F85" s="363"/>
      <c r="G85" s="363"/>
      <c r="H85" s="363"/>
      <c r="I85" s="363"/>
      <c r="J85" s="363"/>
      <c r="K85" s="363"/>
    </row>
    <row r="86" spans="1:11" x14ac:dyDescent="0.2">
      <c r="A86" s="134">
        <v>3</v>
      </c>
      <c r="B86" s="395" t="s">
        <v>767</v>
      </c>
      <c r="C86" s="363"/>
      <c r="D86" s="363"/>
      <c r="E86" s="363"/>
      <c r="F86" s="363"/>
      <c r="G86" s="363"/>
      <c r="H86" s="363"/>
      <c r="I86" s="363"/>
      <c r="J86" s="363"/>
      <c r="K86" s="363"/>
    </row>
    <row r="87" spans="1:11" x14ac:dyDescent="0.2">
      <c r="A87" s="134">
        <v>4</v>
      </c>
      <c r="B87" s="368" t="s">
        <v>773</v>
      </c>
      <c r="C87" s="363"/>
      <c r="D87" s="363"/>
      <c r="E87" s="363"/>
      <c r="F87" s="363"/>
      <c r="G87" s="363"/>
      <c r="H87" s="363"/>
      <c r="I87" s="363"/>
      <c r="J87" s="363"/>
      <c r="K87" s="363"/>
    </row>
    <row r="88" spans="1:11" x14ac:dyDescent="0.2">
      <c r="A88" s="134">
        <v>5</v>
      </c>
      <c r="B88" s="368" t="s">
        <v>770</v>
      </c>
      <c r="C88" s="363"/>
      <c r="D88" s="363"/>
      <c r="E88" s="363"/>
      <c r="F88" s="363"/>
      <c r="G88" s="363"/>
      <c r="H88" s="363"/>
      <c r="I88" s="363"/>
      <c r="J88" s="363"/>
      <c r="K88" s="363"/>
    </row>
    <row r="89" spans="1:11" x14ac:dyDescent="0.2">
      <c r="A89" s="134">
        <v>6</v>
      </c>
      <c r="B89" s="368" t="s">
        <v>347</v>
      </c>
      <c r="C89" s="363"/>
      <c r="D89" s="363"/>
      <c r="E89" s="363"/>
      <c r="F89" s="363"/>
      <c r="G89" s="363"/>
      <c r="H89" s="363"/>
      <c r="I89" s="363"/>
      <c r="J89" s="363"/>
      <c r="K89" s="363"/>
    </row>
    <row r="90" spans="1:11" x14ac:dyDescent="0.2">
      <c r="A90" s="134">
        <v>7</v>
      </c>
      <c r="B90" s="368" t="s">
        <v>545</v>
      </c>
      <c r="C90" s="363"/>
      <c r="D90" s="363"/>
      <c r="E90" s="363"/>
      <c r="F90" s="363"/>
      <c r="G90" s="363"/>
      <c r="H90" s="363"/>
      <c r="I90" s="363"/>
      <c r="J90" s="363"/>
      <c r="K90" s="363"/>
    </row>
    <row r="91" spans="1:11" x14ac:dyDescent="0.2">
      <c r="A91" s="134">
        <v>8</v>
      </c>
      <c r="B91" s="368" t="s">
        <v>768</v>
      </c>
      <c r="C91" s="363"/>
      <c r="D91" s="363"/>
      <c r="E91" s="363"/>
      <c r="F91" s="363"/>
      <c r="G91" s="363"/>
      <c r="H91" s="363"/>
      <c r="I91" s="363"/>
      <c r="J91" s="363"/>
      <c r="K91" s="363"/>
    </row>
    <row r="92" spans="1:11" x14ac:dyDescent="0.2">
      <c r="A92" s="134">
        <v>9</v>
      </c>
      <c r="B92" s="426" t="s">
        <v>774</v>
      </c>
      <c r="C92" s="363"/>
      <c r="D92" s="363"/>
      <c r="E92" s="363"/>
      <c r="F92" s="363"/>
      <c r="G92" s="363"/>
      <c r="H92" s="363"/>
      <c r="I92" s="363"/>
      <c r="J92" s="363"/>
      <c r="K92" s="363"/>
    </row>
    <row r="93" spans="1:11" x14ac:dyDescent="0.2">
      <c r="A93" s="134">
        <v>10</v>
      </c>
      <c r="B93" s="370" t="s">
        <v>771</v>
      </c>
      <c r="C93" s="363"/>
      <c r="D93" s="363"/>
      <c r="E93" s="363"/>
      <c r="F93" s="363"/>
      <c r="G93" s="363"/>
      <c r="H93" s="363"/>
      <c r="I93" s="363"/>
      <c r="J93" s="363"/>
      <c r="K93" s="363"/>
    </row>
    <row r="94" spans="1:11" x14ac:dyDescent="0.2">
      <c r="A94" s="134">
        <v>11</v>
      </c>
      <c r="B94" s="367" t="s">
        <v>766</v>
      </c>
      <c r="C94" s="363"/>
      <c r="D94" s="363"/>
      <c r="E94" s="363"/>
      <c r="F94" s="363"/>
      <c r="G94" s="363"/>
      <c r="H94" s="363"/>
      <c r="I94" s="363"/>
      <c r="J94" s="363"/>
      <c r="K94" s="363"/>
    </row>
    <row r="95" spans="1:11" x14ac:dyDescent="0.2">
      <c r="A95" s="134">
        <v>12</v>
      </c>
      <c r="B95" s="370" t="s">
        <v>769</v>
      </c>
      <c r="C95" s="363"/>
      <c r="D95" s="363"/>
      <c r="E95" s="363"/>
      <c r="F95" s="363"/>
      <c r="G95" s="363"/>
      <c r="H95" s="363"/>
      <c r="I95" s="363"/>
      <c r="J95" s="363"/>
      <c r="K95" s="363"/>
    </row>
  </sheetData>
  <conditionalFormatting sqref="B69:I76 B77:E80 F77:I79">
    <cfRule type="cellIs" dxfId="227" priority="3" stopIfTrue="1" operator="equal">
      <formula>13</formula>
    </cfRule>
  </conditionalFormatting>
  <conditionalFormatting sqref="C6:G28">
    <cfRule type="cellIs" dxfId="226" priority="2" stopIfTrue="1" operator="equal">
      <formula>13</formula>
    </cfRule>
  </conditionalFormatting>
  <conditionalFormatting sqref="C32:I76 C77:E77">
    <cfRule type="cellIs" dxfId="225" priority="1" stopIfTrue="1" operator="equal">
      <formula>13</formula>
    </cfRule>
  </conditionalFormatting>
  <pageMargins left="0.39370078740157483" right="0.39370078740157483" top="0.78740157480314965" bottom="0.31496062992125984" header="0.59055118110236227" footer="0"/>
  <pageSetup paperSize="9" fitToHeight="0" orientation="landscape" r:id="rId1"/>
  <headerFooter>
    <oddHeader>&amp;RPage &amp;P of &amp;N</oddHeader>
  </headerFooter>
  <rowBreaks count="2" manualBreakCount="2">
    <brk id="28" max="16383" man="1"/>
    <brk id="65"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A1:AA64"/>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447" customWidth="1"/>
    <col min="2" max="2" width="18.28515625" style="447" customWidth="1"/>
    <col min="3" max="22" width="2.85546875" style="447" customWidth="1"/>
    <col min="23" max="23" width="3" style="447" bestFit="1" customWidth="1"/>
    <col min="24" max="24" width="10.5703125" style="447" customWidth="1"/>
    <col min="25" max="26" width="4" style="447" hidden="1" customWidth="1"/>
    <col min="27" max="27" width="4.5703125" style="447" hidden="1" customWidth="1"/>
    <col min="28" max="256" width="9.140625" style="447"/>
    <col min="257" max="257" width="3" style="447" customWidth="1"/>
    <col min="258" max="258" width="18.7109375" style="447" customWidth="1"/>
    <col min="259" max="278" width="2.85546875" style="447" customWidth="1"/>
    <col min="279" max="279" width="3" style="447" bestFit="1" customWidth="1"/>
    <col min="280" max="280" width="10.5703125" style="447" customWidth="1"/>
    <col min="281" max="283" width="0" style="447" hidden="1" customWidth="1"/>
    <col min="284" max="512" width="9.140625" style="447"/>
    <col min="513" max="513" width="3" style="447" customWidth="1"/>
    <col min="514" max="514" width="18.7109375" style="447" customWidth="1"/>
    <col min="515" max="534" width="2.85546875" style="447" customWidth="1"/>
    <col min="535" max="535" width="3" style="447" bestFit="1" customWidth="1"/>
    <col min="536" max="536" width="10.5703125" style="447" customWidth="1"/>
    <col min="537" max="539" width="0" style="447" hidden="1" customWidth="1"/>
    <col min="540" max="768" width="9.140625" style="447"/>
    <col min="769" max="769" width="3" style="447" customWidth="1"/>
    <col min="770" max="770" width="18.7109375" style="447" customWidth="1"/>
    <col min="771" max="790" width="2.85546875" style="447" customWidth="1"/>
    <col min="791" max="791" width="3" style="447" bestFit="1" customWidth="1"/>
    <col min="792" max="792" width="10.5703125" style="447" customWidth="1"/>
    <col min="793" max="795" width="0" style="447" hidden="1" customWidth="1"/>
    <col min="796" max="1024" width="9.140625" style="447"/>
    <col min="1025" max="1025" width="3" style="447" customWidth="1"/>
    <col min="1026" max="1026" width="18.7109375" style="447" customWidth="1"/>
    <col min="1027" max="1046" width="2.85546875" style="447" customWidth="1"/>
    <col min="1047" max="1047" width="3" style="447" bestFit="1" customWidth="1"/>
    <col min="1048" max="1048" width="10.5703125" style="447" customWidth="1"/>
    <col min="1049" max="1051" width="0" style="447" hidden="1" customWidth="1"/>
    <col min="1052" max="1280" width="9.140625" style="447"/>
    <col min="1281" max="1281" width="3" style="447" customWidth="1"/>
    <col min="1282" max="1282" width="18.7109375" style="447" customWidth="1"/>
    <col min="1283" max="1302" width="2.85546875" style="447" customWidth="1"/>
    <col min="1303" max="1303" width="3" style="447" bestFit="1" customWidth="1"/>
    <col min="1304" max="1304" width="10.5703125" style="447" customWidth="1"/>
    <col min="1305" max="1307" width="0" style="447" hidden="1" customWidth="1"/>
    <col min="1308" max="1536" width="9.140625" style="447"/>
    <col min="1537" max="1537" width="3" style="447" customWidth="1"/>
    <col min="1538" max="1538" width="18.7109375" style="447" customWidth="1"/>
    <col min="1539" max="1558" width="2.85546875" style="447" customWidth="1"/>
    <col min="1559" max="1559" width="3" style="447" bestFit="1" customWidth="1"/>
    <col min="1560" max="1560" width="10.5703125" style="447" customWidth="1"/>
    <col min="1561" max="1563" width="0" style="447" hidden="1" customWidth="1"/>
    <col min="1564" max="1792" width="9.140625" style="447"/>
    <col min="1793" max="1793" width="3" style="447" customWidth="1"/>
    <col min="1794" max="1794" width="18.7109375" style="447" customWidth="1"/>
    <col min="1795" max="1814" width="2.85546875" style="447" customWidth="1"/>
    <col min="1815" max="1815" width="3" style="447" bestFit="1" customWidth="1"/>
    <col min="1816" max="1816" width="10.5703125" style="447" customWidth="1"/>
    <col min="1817" max="1819" width="0" style="447" hidden="1" customWidth="1"/>
    <col min="1820" max="2048" width="9.140625" style="447"/>
    <col min="2049" max="2049" width="3" style="447" customWidth="1"/>
    <col min="2050" max="2050" width="18.7109375" style="447" customWidth="1"/>
    <col min="2051" max="2070" width="2.85546875" style="447" customWidth="1"/>
    <col min="2071" max="2071" width="3" style="447" bestFit="1" customWidth="1"/>
    <col min="2072" max="2072" width="10.5703125" style="447" customWidth="1"/>
    <col min="2073" max="2075" width="0" style="447" hidden="1" customWidth="1"/>
    <col min="2076" max="2304" width="9.140625" style="447"/>
    <col min="2305" max="2305" width="3" style="447" customWidth="1"/>
    <col min="2306" max="2306" width="18.7109375" style="447" customWidth="1"/>
    <col min="2307" max="2326" width="2.85546875" style="447" customWidth="1"/>
    <col min="2327" max="2327" width="3" style="447" bestFit="1" customWidth="1"/>
    <col min="2328" max="2328" width="10.5703125" style="447" customWidth="1"/>
    <col min="2329" max="2331" width="0" style="447" hidden="1" customWidth="1"/>
    <col min="2332" max="2560" width="9.140625" style="447"/>
    <col min="2561" max="2561" width="3" style="447" customWidth="1"/>
    <col min="2562" max="2562" width="18.7109375" style="447" customWidth="1"/>
    <col min="2563" max="2582" width="2.85546875" style="447" customWidth="1"/>
    <col min="2583" max="2583" width="3" style="447" bestFit="1" customWidth="1"/>
    <col min="2584" max="2584" width="10.5703125" style="447" customWidth="1"/>
    <col min="2585" max="2587" width="0" style="447" hidden="1" customWidth="1"/>
    <col min="2588" max="2816" width="9.140625" style="447"/>
    <col min="2817" max="2817" width="3" style="447" customWidth="1"/>
    <col min="2818" max="2818" width="18.7109375" style="447" customWidth="1"/>
    <col min="2819" max="2838" width="2.85546875" style="447" customWidth="1"/>
    <col min="2839" max="2839" width="3" style="447" bestFit="1" customWidth="1"/>
    <col min="2840" max="2840" width="10.5703125" style="447" customWidth="1"/>
    <col min="2841" max="2843" width="0" style="447" hidden="1" customWidth="1"/>
    <col min="2844" max="3072" width="9.140625" style="447"/>
    <col min="3073" max="3073" width="3" style="447" customWidth="1"/>
    <col min="3074" max="3074" width="18.7109375" style="447" customWidth="1"/>
    <col min="3075" max="3094" width="2.85546875" style="447" customWidth="1"/>
    <col min="3095" max="3095" width="3" style="447" bestFit="1" customWidth="1"/>
    <col min="3096" max="3096" width="10.5703125" style="447" customWidth="1"/>
    <col min="3097" max="3099" width="0" style="447" hidden="1" customWidth="1"/>
    <col min="3100" max="3328" width="9.140625" style="447"/>
    <col min="3329" max="3329" width="3" style="447" customWidth="1"/>
    <col min="3330" max="3330" width="18.7109375" style="447" customWidth="1"/>
    <col min="3331" max="3350" width="2.85546875" style="447" customWidth="1"/>
    <col min="3351" max="3351" width="3" style="447" bestFit="1" customWidth="1"/>
    <col min="3352" max="3352" width="10.5703125" style="447" customWidth="1"/>
    <col min="3353" max="3355" width="0" style="447" hidden="1" customWidth="1"/>
    <col min="3356" max="3584" width="9.140625" style="447"/>
    <col min="3585" max="3585" width="3" style="447" customWidth="1"/>
    <col min="3586" max="3586" width="18.7109375" style="447" customWidth="1"/>
    <col min="3587" max="3606" width="2.85546875" style="447" customWidth="1"/>
    <col min="3607" max="3607" width="3" style="447" bestFit="1" customWidth="1"/>
    <col min="3608" max="3608" width="10.5703125" style="447" customWidth="1"/>
    <col min="3609" max="3611" width="0" style="447" hidden="1" customWidth="1"/>
    <col min="3612" max="3840" width="9.140625" style="447"/>
    <col min="3841" max="3841" width="3" style="447" customWidth="1"/>
    <col min="3842" max="3842" width="18.7109375" style="447" customWidth="1"/>
    <col min="3843" max="3862" width="2.85546875" style="447" customWidth="1"/>
    <col min="3863" max="3863" width="3" style="447" bestFit="1" customWidth="1"/>
    <col min="3864" max="3864" width="10.5703125" style="447" customWidth="1"/>
    <col min="3865" max="3867" width="0" style="447" hidden="1" customWidth="1"/>
    <col min="3868" max="4096" width="9.140625" style="447"/>
    <col min="4097" max="4097" width="3" style="447" customWidth="1"/>
    <col min="4098" max="4098" width="18.7109375" style="447" customWidth="1"/>
    <col min="4099" max="4118" width="2.85546875" style="447" customWidth="1"/>
    <col min="4119" max="4119" width="3" style="447" bestFit="1" customWidth="1"/>
    <col min="4120" max="4120" width="10.5703125" style="447" customWidth="1"/>
    <col min="4121" max="4123" width="0" style="447" hidden="1" customWidth="1"/>
    <col min="4124" max="4352" width="9.140625" style="447"/>
    <col min="4353" max="4353" width="3" style="447" customWidth="1"/>
    <col min="4354" max="4354" width="18.7109375" style="447" customWidth="1"/>
    <col min="4355" max="4374" width="2.85546875" style="447" customWidth="1"/>
    <col min="4375" max="4375" width="3" style="447" bestFit="1" customWidth="1"/>
    <col min="4376" max="4376" width="10.5703125" style="447" customWidth="1"/>
    <col min="4377" max="4379" width="0" style="447" hidden="1" customWidth="1"/>
    <col min="4380" max="4608" width="9.140625" style="447"/>
    <col min="4609" max="4609" width="3" style="447" customWidth="1"/>
    <col min="4610" max="4610" width="18.7109375" style="447" customWidth="1"/>
    <col min="4611" max="4630" width="2.85546875" style="447" customWidth="1"/>
    <col min="4631" max="4631" width="3" style="447" bestFit="1" customWidth="1"/>
    <col min="4632" max="4632" width="10.5703125" style="447" customWidth="1"/>
    <col min="4633" max="4635" width="0" style="447" hidden="1" customWidth="1"/>
    <col min="4636" max="4864" width="9.140625" style="447"/>
    <col min="4865" max="4865" width="3" style="447" customWidth="1"/>
    <col min="4866" max="4866" width="18.7109375" style="447" customWidth="1"/>
    <col min="4867" max="4886" width="2.85546875" style="447" customWidth="1"/>
    <col min="4887" max="4887" width="3" style="447" bestFit="1" customWidth="1"/>
    <col min="4888" max="4888" width="10.5703125" style="447" customWidth="1"/>
    <col min="4889" max="4891" width="0" style="447" hidden="1" customWidth="1"/>
    <col min="4892" max="5120" width="9.140625" style="447"/>
    <col min="5121" max="5121" width="3" style="447" customWidth="1"/>
    <col min="5122" max="5122" width="18.7109375" style="447" customWidth="1"/>
    <col min="5123" max="5142" width="2.85546875" style="447" customWidth="1"/>
    <col min="5143" max="5143" width="3" style="447" bestFit="1" customWidth="1"/>
    <col min="5144" max="5144" width="10.5703125" style="447" customWidth="1"/>
    <col min="5145" max="5147" width="0" style="447" hidden="1" customWidth="1"/>
    <col min="5148" max="5376" width="9.140625" style="447"/>
    <col min="5377" max="5377" width="3" style="447" customWidth="1"/>
    <col min="5378" max="5378" width="18.7109375" style="447" customWidth="1"/>
    <col min="5379" max="5398" width="2.85546875" style="447" customWidth="1"/>
    <col min="5399" max="5399" width="3" style="447" bestFit="1" customWidth="1"/>
    <col min="5400" max="5400" width="10.5703125" style="447" customWidth="1"/>
    <col min="5401" max="5403" width="0" style="447" hidden="1" customWidth="1"/>
    <col min="5404" max="5632" width="9.140625" style="447"/>
    <col min="5633" max="5633" width="3" style="447" customWidth="1"/>
    <col min="5634" max="5634" width="18.7109375" style="447" customWidth="1"/>
    <col min="5635" max="5654" width="2.85546875" style="447" customWidth="1"/>
    <col min="5655" max="5655" width="3" style="447" bestFit="1" customWidth="1"/>
    <col min="5656" max="5656" width="10.5703125" style="447" customWidth="1"/>
    <col min="5657" max="5659" width="0" style="447" hidden="1" customWidth="1"/>
    <col min="5660" max="5888" width="9.140625" style="447"/>
    <col min="5889" max="5889" width="3" style="447" customWidth="1"/>
    <col min="5890" max="5890" width="18.7109375" style="447" customWidth="1"/>
    <col min="5891" max="5910" width="2.85546875" style="447" customWidth="1"/>
    <col min="5911" max="5911" width="3" style="447" bestFit="1" customWidth="1"/>
    <col min="5912" max="5912" width="10.5703125" style="447" customWidth="1"/>
    <col min="5913" max="5915" width="0" style="447" hidden="1" customWidth="1"/>
    <col min="5916" max="6144" width="9.140625" style="447"/>
    <col min="6145" max="6145" width="3" style="447" customWidth="1"/>
    <col min="6146" max="6146" width="18.7109375" style="447" customWidth="1"/>
    <col min="6147" max="6166" width="2.85546875" style="447" customWidth="1"/>
    <col min="6167" max="6167" width="3" style="447" bestFit="1" customWidth="1"/>
    <col min="6168" max="6168" width="10.5703125" style="447" customWidth="1"/>
    <col min="6169" max="6171" width="0" style="447" hidden="1" customWidth="1"/>
    <col min="6172" max="6400" width="9.140625" style="447"/>
    <col min="6401" max="6401" width="3" style="447" customWidth="1"/>
    <col min="6402" max="6402" width="18.7109375" style="447" customWidth="1"/>
    <col min="6403" max="6422" width="2.85546875" style="447" customWidth="1"/>
    <col min="6423" max="6423" width="3" style="447" bestFit="1" customWidth="1"/>
    <col min="6424" max="6424" width="10.5703125" style="447" customWidth="1"/>
    <col min="6425" max="6427" width="0" style="447" hidden="1" customWidth="1"/>
    <col min="6428" max="6656" width="9.140625" style="447"/>
    <col min="6657" max="6657" width="3" style="447" customWidth="1"/>
    <col min="6658" max="6658" width="18.7109375" style="447" customWidth="1"/>
    <col min="6659" max="6678" width="2.85546875" style="447" customWidth="1"/>
    <col min="6679" max="6679" width="3" style="447" bestFit="1" customWidth="1"/>
    <col min="6680" max="6680" width="10.5703125" style="447" customWidth="1"/>
    <col min="6681" max="6683" width="0" style="447" hidden="1" customWidth="1"/>
    <col min="6684" max="6912" width="9.140625" style="447"/>
    <col min="6913" max="6913" width="3" style="447" customWidth="1"/>
    <col min="6914" max="6914" width="18.7109375" style="447" customWidth="1"/>
    <col min="6915" max="6934" width="2.85546875" style="447" customWidth="1"/>
    <col min="6935" max="6935" width="3" style="447" bestFit="1" customWidth="1"/>
    <col min="6936" max="6936" width="10.5703125" style="447" customWidth="1"/>
    <col min="6937" max="6939" width="0" style="447" hidden="1" customWidth="1"/>
    <col min="6940" max="7168" width="9.140625" style="447"/>
    <col min="7169" max="7169" width="3" style="447" customWidth="1"/>
    <col min="7170" max="7170" width="18.7109375" style="447" customWidth="1"/>
    <col min="7171" max="7190" width="2.85546875" style="447" customWidth="1"/>
    <col min="7191" max="7191" width="3" style="447" bestFit="1" customWidth="1"/>
    <col min="7192" max="7192" width="10.5703125" style="447" customWidth="1"/>
    <col min="7193" max="7195" width="0" style="447" hidden="1" customWidth="1"/>
    <col min="7196" max="7424" width="9.140625" style="447"/>
    <col min="7425" max="7425" width="3" style="447" customWidth="1"/>
    <col min="7426" max="7426" width="18.7109375" style="447" customWidth="1"/>
    <col min="7427" max="7446" width="2.85546875" style="447" customWidth="1"/>
    <col min="7447" max="7447" width="3" style="447" bestFit="1" customWidth="1"/>
    <col min="7448" max="7448" width="10.5703125" style="447" customWidth="1"/>
    <col min="7449" max="7451" width="0" style="447" hidden="1" customWidth="1"/>
    <col min="7452" max="7680" width="9.140625" style="447"/>
    <col min="7681" max="7681" width="3" style="447" customWidth="1"/>
    <col min="7682" max="7682" width="18.7109375" style="447" customWidth="1"/>
    <col min="7683" max="7702" width="2.85546875" style="447" customWidth="1"/>
    <col min="7703" max="7703" width="3" style="447" bestFit="1" customWidth="1"/>
    <col min="7704" max="7704" width="10.5703125" style="447" customWidth="1"/>
    <col min="7705" max="7707" width="0" style="447" hidden="1" customWidth="1"/>
    <col min="7708" max="7936" width="9.140625" style="447"/>
    <col min="7937" max="7937" width="3" style="447" customWidth="1"/>
    <col min="7938" max="7938" width="18.7109375" style="447" customWidth="1"/>
    <col min="7939" max="7958" width="2.85546875" style="447" customWidth="1"/>
    <col min="7959" max="7959" width="3" style="447" bestFit="1" customWidth="1"/>
    <col min="7960" max="7960" width="10.5703125" style="447" customWidth="1"/>
    <col min="7961" max="7963" width="0" style="447" hidden="1" customWidth="1"/>
    <col min="7964" max="8192" width="9.140625" style="447"/>
    <col min="8193" max="8193" width="3" style="447" customWidth="1"/>
    <col min="8194" max="8194" width="18.7109375" style="447" customWidth="1"/>
    <col min="8195" max="8214" width="2.85546875" style="447" customWidth="1"/>
    <col min="8215" max="8215" width="3" style="447" bestFit="1" customWidth="1"/>
    <col min="8216" max="8216" width="10.5703125" style="447" customWidth="1"/>
    <col min="8217" max="8219" width="0" style="447" hidden="1" customWidth="1"/>
    <col min="8220" max="8448" width="9.140625" style="447"/>
    <col min="8449" max="8449" width="3" style="447" customWidth="1"/>
    <col min="8450" max="8450" width="18.7109375" style="447" customWidth="1"/>
    <col min="8451" max="8470" width="2.85546875" style="447" customWidth="1"/>
    <col min="8471" max="8471" width="3" style="447" bestFit="1" customWidth="1"/>
    <col min="8472" max="8472" width="10.5703125" style="447" customWidth="1"/>
    <col min="8473" max="8475" width="0" style="447" hidden="1" customWidth="1"/>
    <col min="8476" max="8704" width="9.140625" style="447"/>
    <col min="8705" max="8705" width="3" style="447" customWidth="1"/>
    <col min="8706" max="8706" width="18.7109375" style="447" customWidth="1"/>
    <col min="8707" max="8726" width="2.85546875" style="447" customWidth="1"/>
    <col min="8727" max="8727" width="3" style="447" bestFit="1" customWidth="1"/>
    <col min="8728" max="8728" width="10.5703125" style="447" customWidth="1"/>
    <col min="8729" max="8731" width="0" style="447" hidden="1" customWidth="1"/>
    <col min="8732" max="8960" width="9.140625" style="447"/>
    <col min="8961" max="8961" width="3" style="447" customWidth="1"/>
    <col min="8962" max="8962" width="18.7109375" style="447" customWidth="1"/>
    <col min="8963" max="8982" width="2.85546875" style="447" customWidth="1"/>
    <col min="8983" max="8983" width="3" style="447" bestFit="1" customWidth="1"/>
    <col min="8984" max="8984" width="10.5703125" style="447" customWidth="1"/>
    <col min="8985" max="8987" width="0" style="447" hidden="1" customWidth="1"/>
    <col min="8988" max="9216" width="9.140625" style="447"/>
    <col min="9217" max="9217" width="3" style="447" customWidth="1"/>
    <col min="9218" max="9218" width="18.7109375" style="447" customWidth="1"/>
    <col min="9219" max="9238" width="2.85546875" style="447" customWidth="1"/>
    <col min="9239" max="9239" width="3" style="447" bestFit="1" customWidth="1"/>
    <col min="9240" max="9240" width="10.5703125" style="447" customWidth="1"/>
    <col min="9241" max="9243" width="0" style="447" hidden="1" customWidth="1"/>
    <col min="9244" max="9472" width="9.140625" style="447"/>
    <col min="9473" max="9473" width="3" style="447" customWidth="1"/>
    <col min="9474" max="9474" width="18.7109375" style="447" customWidth="1"/>
    <col min="9475" max="9494" width="2.85546875" style="447" customWidth="1"/>
    <col min="9495" max="9495" width="3" style="447" bestFit="1" customWidth="1"/>
    <col min="9496" max="9496" width="10.5703125" style="447" customWidth="1"/>
    <col min="9497" max="9499" width="0" style="447" hidden="1" customWidth="1"/>
    <col min="9500" max="9728" width="9.140625" style="447"/>
    <col min="9729" max="9729" width="3" style="447" customWidth="1"/>
    <col min="9730" max="9730" width="18.7109375" style="447" customWidth="1"/>
    <col min="9731" max="9750" width="2.85546875" style="447" customWidth="1"/>
    <col min="9751" max="9751" width="3" style="447" bestFit="1" customWidth="1"/>
    <col min="9752" max="9752" width="10.5703125" style="447" customWidth="1"/>
    <col min="9753" max="9755" width="0" style="447" hidden="1" customWidth="1"/>
    <col min="9756" max="9984" width="9.140625" style="447"/>
    <col min="9985" max="9985" width="3" style="447" customWidth="1"/>
    <col min="9986" max="9986" width="18.7109375" style="447" customWidth="1"/>
    <col min="9987" max="10006" width="2.85546875" style="447" customWidth="1"/>
    <col min="10007" max="10007" width="3" style="447" bestFit="1" customWidth="1"/>
    <col min="10008" max="10008" width="10.5703125" style="447" customWidth="1"/>
    <col min="10009" max="10011" width="0" style="447" hidden="1" customWidth="1"/>
    <col min="10012" max="10240" width="9.140625" style="447"/>
    <col min="10241" max="10241" width="3" style="447" customWidth="1"/>
    <col min="10242" max="10242" width="18.7109375" style="447" customWidth="1"/>
    <col min="10243" max="10262" width="2.85546875" style="447" customWidth="1"/>
    <col min="10263" max="10263" width="3" style="447" bestFit="1" customWidth="1"/>
    <col min="10264" max="10264" width="10.5703125" style="447" customWidth="1"/>
    <col min="10265" max="10267" width="0" style="447" hidden="1" customWidth="1"/>
    <col min="10268" max="10496" width="9.140625" style="447"/>
    <col min="10497" max="10497" width="3" style="447" customWidth="1"/>
    <col min="10498" max="10498" width="18.7109375" style="447" customWidth="1"/>
    <col min="10499" max="10518" width="2.85546875" style="447" customWidth="1"/>
    <col min="10519" max="10519" width="3" style="447" bestFit="1" customWidth="1"/>
    <col min="10520" max="10520" width="10.5703125" style="447" customWidth="1"/>
    <col min="10521" max="10523" width="0" style="447" hidden="1" customWidth="1"/>
    <col min="10524" max="10752" width="9.140625" style="447"/>
    <col min="10753" max="10753" width="3" style="447" customWidth="1"/>
    <col min="10754" max="10754" width="18.7109375" style="447" customWidth="1"/>
    <col min="10755" max="10774" width="2.85546875" style="447" customWidth="1"/>
    <col min="10775" max="10775" width="3" style="447" bestFit="1" customWidth="1"/>
    <col min="10776" max="10776" width="10.5703125" style="447" customWidth="1"/>
    <col min="10777" max="10779" width="0" style="447" hidden="1" customWidth="1"/>
    <col min="10780" max="11008" width="9.140625" style="447"/>
    <col min="11009" max="11009" width="3" style="447" customWidth="1"/>
    <col min="11010" max="11010" width="18.7109375" style="447" customWidth="1"/>
    <col min="11011" max="11030" width="2.85546875" style="447" customWidth="1"/>
    <col min="11031" max="11031" width="3" style="447" bestFit="1" customWidth="1"/>
    <col min="11032" max="11032" width="10.5703125" style="447" customWidth="1"/>
    <col min="11033" max="11035" width="0" style="447" hidden="1" customWidth="1"/>
    <col min="11036" max="11264" width="9.140625" style="447"/>
    <col min="11265" max="11265" width="3" style="447" customWidth="1"/>
    <col min="11266" max="11266" width="18.7109375" style="447" customWidth="1"/>
    <col min="11267" max="11286" width="2.85546875" style="447" customWidth="1"/>
    <col min="11287" max="11287" width="3" style="447" bestFit="1" customWidth="1"/>
    <col min="11288" max="11288" width="10.5703125" style="447" customWidth="1"/>
    <col min="11289" max="11291" width="0" style="447" hidden="1" customWidth="1"/>
    <col min="11292" max="11520" width="9.140625" style="447"/>
    <col min="11521" max="11521" width="3" style="447" customWidth="1"/>
    <col min="11522" max="11522" width="18.7109375" style="447" customWidth="1"/>
    <col min="11523" max="11542" width="2.85546875" style="447" customWidth="1"/>
    <col min="11543" max="11543" width="3" style="447" bestFit="1" customWidth="1"/>
    <col min="11544" max="11544" width="10.5703125" style="447" customWidth="1"/>
    <col min="11545" max="11547" width="0" style="447" hidden="1" customWidth="1"/>
    <col min="11548" max="11776" width="9.140625" style="447"/>
    <col min="11777" max="11777" width="3" style="447" customWidth="1"/>
    <col min="11778" max="11778" width="18.7109375" style="447" customWidth="1"/>
    <col min="11779" max="11798" width="2.85546875" style="447" customWidth="1"/>
    <col min="11799" max="11799" width="3" style="447" bestFit="1" customWidth="1"/>
    <col min="11800" max="11800" width="10.5703125" style="447" customWidth="1"/>
    <col min="11801" max="11803" width="0" style="447" hidden="1" customWidth="1"/>
    <col min="11804" max="12032" width="9.140625" style="447"/>
    <col min="12033" max="12033" width="3" style="447" customWidth="1"/>
    <col min="12034" max="12034" width="18.7109375" style="447" customWidth="1"/>
    <col min="12035" max="12054" width="2.85546875" style="447" customWidth="1"/>
    <col min="12055" max="12055" width="3" style="447" bestFit="1" customWidth="1"/>
    <col min="12056" max="12056" width="10.5703125" style="447" customWidth="1"/>
    <col min="12057" max="12059" width="0" style="447" hidden="1" customWidth="1"/>
    <col min="12060" max="12288" width="9.140625" style="447"/>
    <col min="12289" max="12289" width="3" style="447" customWidth="1"/>
    <col min="12290" max="12290" width="18.7109375" style="447" customWidth="1"/>
    <col min="12291" max="12310" width="2.85546875" style="447" customWidth="1"/>
    <col min="12311" max="12311" width="3" style="447" bestFit="1" customWidth="1"/>
    <col min="12312" max="12312" width="10.5703125" style="447" customWidth="1"/>
    <col min="12313" max="12315" width="0" style="447" hidden="1" customWidth="1"/>
    <col min="12316" max="12544" width="9.140625" style="447"/>
    <col min="12545" max="12545" width="3" style="447" customWidth="1"/>
    <col min="12546" max="12546" width="18.7109375" style="447" customWidth="1"/>
    <col min="12547" max="12566" width="2.85546875" style="447" customWidth="1"/>
    <col min="12567" max="12567" width="3" style="447" bestFit="1" customWidth="1"/>
    <col min="12568" max="12568" width="10.5703125" style="447" customWidth="1"/>
    <col min="12569" max="12571" width="0" style="447" hidden="1" customWidth="1"/>
    <col min="12572" max="12800" width="9.140625" style="447"/>
    <col min="12801" max="12801" width="3" style="447" customWidth="1"/>
    <col min="12802" max="12802" width="18.7109375" style="447" customWidth="1"/>
    <col min="12803" max="12822" width="2.85546875" style="447" customWidth="1"/>
    <col min="12823" max="12823" width="3" style="447" bestFit="1" customWidth="1"/>
    <col min="12824" max="12824" width="10.5703125" style="447" customWidth="1"/>
    <col min="12825" max="12827" width="0" style="447" hidden="1" customWidth="1"/>
    <col min="12828" max="13056" width="9.140625" style="447"/>
    <col min="13057" max="13057" width="3" style="447" customWidth="1"/>
    <col min="13058" max="13058" width="18.7109375" style="447" customWidth="1"/>
    <col min="13059" max="13078" width="2.85546875" style="447" customWidth="1"/>
    <col min="13079" max="13079" width="3" style="447" bestFit="1" customWidth="1"/>
    <col min="13080" max="13080" width="10.5703125" style="447" customWidth="1"/>
    <col min="13081" max="13083" width="0" style="447" hidden="1" customWidth="1"/>
    <col min="13084" max="13312" width="9.140625" style="447"/>
    <col min="13313" max="13313" width="3" style="447" customWidth="1"/>
    <col min="13314" max="13314" width="18.7109375" style="447" customWidth="1"/>
    <col min="13315" max="13334" width="2.85546875" style="447" customWidth="1"/>
    <col min="13335" max="13335" width="3" style="447" bestFit="1" customWidth="1"/>
    <col min="13336" max="13336" width="10.5703125" style="447" customWidth="1"/>
    <col min="13337" max="13339" width="0" style="447" hidden="1" customWidth="1"/>
    <col min="13340" max="13568" width="9.140625" style="447"/>
    <col min="13569" max="13569" width="3" style="447" customWidth="1"/>
    <col min="13570" max="13570" width="18.7109375" style="447" customWidth="1"/>
    <col min="13571" max="13590" width="2.85546875" style="447" customWidth="1"/>
    <col min="13591" max="13591" width="3" style="447" bestFit="1" customWidth="1"/>
    <col min="13592" max="13592" width="10.5703125" style="447" customWidth="1"/>
    <col min="13593" max="13595" width="0" style="447" hidden="1" customWidth="1"/>
    <col min="13596" max="13824" width="9.140625" style="447"/>
    <col min="13825" max="13825" width="3" style="447" customWidth="1"/>
    <col min="13826" max="13826" width="18.7109375" style="447" customWidth="1"/>
    <col min="13827" max="13846" width="2.85546875" style="447" customWidth="1"/>
    <col min="13847" max="13847" width="3" style="447" bestFit="1" customWidth="1"/>
    <col min="13848" max="13848" width="10.5703125" style="447" customWidth="1"/>
    <col min="13849" max="13851" width="0" style="447" hidden="1" customWidth="1"/>
    <col min="13852" max="14080" width="9.140625" style="447"/>
    <col min="14081" max="14081" width="3" style="447" customWidth="1"/>
    <col min="14082" max="14082" width="18.7109375" style="447" customWidth="1"/>
    <col min="14083" max="14102" width="2.85546875" style="447" customWidth="1"/>
    <col min="14103" max="14103" width="3" style="447" bestFit="1" customWidth="1"/>
    <col min="14104" max="14104" width="10.5703125" style="447" customWidth="1"/>
    <col min="14105" max="14107" width="0" style="447" hidden="1" customWidth="1"/>
    <col min="14108" max="14336" width="9.140625" style="447"/>
    <col min="14337" max="14337" width="3" style="447" customWidth="1"/>
    <col min="14338" max="14338" width="18.7109375" style="447" customWidth="1"/>
    <col min="14339" max="14358" width="2.85546875" style="447" customWidth="1"/>
    <col min="14359" max="14359" width="3" style="447" bestFit="1" customWidth="1"/>
    <col min="14360" max="14360" width="10.5703125" style="447" customWidth="1"/>
    <col min="14361" max="14363" width="0" style="447" hidden="1" customWidth="1"/>
    <col min="14364" max="14592" width="9.140625" style="447"/>
    <col min="14593" max="14593" width="3" style="447" customWidth="1"/>
    <col min="14594" max="14594" width="18.7109375" style="447" customWidth="1"/>
    <col min="14595" max="14614" width="2.85546875" style="447" customWidth="1"/>
    <col min="14615" max="14615" width="3" style="447" bestFit="1" customWidth="1"/>
    <col min="14616" max="14616" width="10.5703125" style="447" customWidth="1"/>
    <col min="14617" max="14619" width="0" style="447" hidden="1" customWidth="1"/>
    <col min="14620" max="14848" width="9.140625" style="447"/>
    <col min="14849" max="14849" width="3" style="447" customWidth="1"/>
    <col min="14850" max="14850" width="18.7109375" style="447" customWidth="1"/>
    <col min="14851" max="14870" width="2.85546875" style="447" customWidth="1"/>
    <col min="14871" max="14871" width="3" style="447" bestFit="1" customWidth="1"/>
    <col min="14872" max="14872" width="10.5703125" style="447" customWidth="1"/>
    <col min="14873" max="14875" width="0" style="447" hidden="1" customWidth="1"/>
    <col min="14876" max="15104" width="9.140625" style="447"/>
    <col min="15105" max="15105" width="3" style="447" customWidth="1"/>
    <col min="15106" max="15106" width="18.7109375" style="447" customWidth="1"/>
    <col min="15107" max="15126" width="2.85546875" style="447" customWidth="1"/>
    <col min="15127" max="15127" width="3" style="447" bestFit="1" customWidth="1"/>
    <col min="15128" max="15128" width="10.5703125" style="447" customWidth="1"/>
    <col min="15129" max="15131" width="0" style="447" hidden="1" customWidth="1"/>
    <col min="15132" max="15360" width="9.140625" style="447"/>
    <col min="15361" max="15361" width="3" style="447" customWidth="1"/>
    <col min="15362" max="15362" width="18.7109375" style="447" customWidth="1"/>
    <col min="15363" max="15382" width="2.85546875" style="447" customWidth="1"/>
    <col min="15383" max="15383" width="3" style="447" bestFit="1" customWidth="1"/>
    <col min="15384" max="15384" width="10.5703125" style="447" customWidth="1"/>
    <col min="15385" max="15387" width="0" style="447" hidden="1" customWidth="1"/>
    <col min="15388" max="15616" width="9.140625" style="447"/>
    <col min="15617" max="15617" width="3" style="447" customWidth="1"/>
    <col min="15618" max="15618" width="18.7109375" style="447" customWidth="1"/>
    <col min="15619" max="15638" width="2.85546875" style="447" customWidth="1"/>
    <col min="15639" max="15639" width="3" style="447" bestFit="1" customWidth="1"/>
    <col min="15640" max="15640" width="10.5703125" style="447" customWidth="1"/>
    <col min="15641" max="15643" width="0" style="447" hidden="1" customWidth="1"/>
    <col min="15644" max="15872" width="9.140625" style="447"/>
    <col min="15873" max="15873" width="3" style="447" customWidth="1"/>
    <col min="15874" max="15874" width="18.7109375" style="447" customWidth="1"/>
    <col min="15875" max="15894" width="2.85546875" style="447" customWidth="1"/>
    <col min="15895" max="15895" width="3" style="447" bestFit="1" customWidth="1"/>
    <col min="15896" max="15896" width="10.5703125" style="447" customWidth="1"/>
    <col min="15897" max="15899" width="0" style="447" hidden="1" customWidth="1"/>
    <col min="15900" max="16128" width="9.140625" style="447"/>
    <col min="16129" max="16129" width="3" style="447" customWidth="1"/>
    <col min="16130" max="16130" width="18.7109375" style="447" customWidth="1"/>
    <col min="16131" max="16150" width="2.85546875" style="447" customWidth="1"/>
    <col min="16151" max="16151" width="3" style="447" bestFit="1" customWidth="1"/>
    <col min="16152" max="16152" width="10.5703125" style="447" customWidth="1"/>
    <col min="16153" max="16155" width="0" style="447" hidden="1" customWidth="1"/>
    <col min="16156" max="16384" width="9.140625" style="447"/>
  </cols>
  <sheetData>
    <row r="1" spans="1:24" s="421" customFormat="1" x14ac:dyDescent="0.2">
      <c r="A1" s="314" t="str">
        <f>UPPER((Kalend!E27)&amp;" - "&amp;(Kalend!C27)&amp;" - "&amp;(Kalend!D27))</f>
        <v>13M - 16. EESTI MV - TULISTAMINE</v>
      </c>
      <c r="B1" s="528"/>
      <c r="C1" s="528"/>
      <c r="D1" s="528"/>
      <c r="E1" s="528"/>
      <c r="I1" s="507" t="s">
        <v>432</v>
      </c>
      <c r="Q1" s="204" t="str">
        <f>HYPERLINK("#Üldreiting!I1","Reiting")</f>
        <v>Reiting</v>
      </c>
      <c r="R1" s="528"/>
      <c r="S1" s="528"/>
      <c r="T1" s="528"/>
      <c r="U1" s="528"/>
    </row>
    <row r="2" spans="1:24" s="421" customFormat="1" x14ac:dyDescent="0.2">
      <c r="A2" s="309" t="str">
        <f>"Toimumisaeg: "&amp;(Kalend!A27)&amp;" kell "&amp;(Kalend!B27)</f>
        <v>Toimumisaeg: P, 24.07.2016 kell 10:30</v>
      </c>
      <c r="B2" s="528"/>
      <c r="C2" s="528"/>
      <c r="D2" s="528"/>
      <c r="E2" s="528"/>
      <c r="O2" s="528"/>
      <c r="P2" s="528"/>
      <c r="Q2" s="528"/>
      <c r="R2" s="528"/>
      <c r="S2" s="528"/>
      <c r="T2" s="528"/>
    </row>
    <row r="3" spans="1:24" s="421" customFormat="1" x14ac:dyDescent="0.2">
      <c r="A3" s="309" t="str">
        <f>"Toimumiskoht: "&amp;(Kalend!H27)</f>
        <v>Toimumiskoht: Tallinna, Algi 38, petangihalli ees</v>
      </c>
      <c r="B3" s="528"/>
      <c r="C3" s="528"/>
      <c r="D3" s="528"/>
      <c r="E3" s="528"/>
      <c r="O3" s="528"/>
      <c r="P3" s="528"/>
      <c r="Q3" s="528"/>
      <c r="R3" s="528"/>
      <c r="S3" s="528"/>
      <c r="T3" s="528"/>
    </row>
    <row r="4" spans="1:24" s="421" customFormat="1" x14ac:dyDescent="0.2">
      <c r="A4" s="309" t="str">
        <f>"Korraldaja: "&amp;(Kalend!I27)</f>
        <v>Korraldaja: EPKL</v>
      </c>
      <c r="B4" s="528"/>
      <c r="C4" s="528"/>
      <c r="D4" s="528"/>
      <c r="E4" s="528"/>
      <c r="O4" s="528"/>
      <c r="P4" s="528"/>
      <c r="Q4" s="528"/>
      <c r="R4" s="528"/>
      <c r="S4" s="528"/>
      <c r="T4" s="528"/>
    </row>
    <row r="5" spans="1:24" s="421" customFormat="1" ht="13.5" thickBot="1" x14ac:dyDescent="0.25">
      <c r="A5" s="528"/>
      <c r="B5" s="528"/>
      <c r="C5" s="528"/>
      <c r="D5" s="528"/>
      <c r="E5" s="528"/>
      <c r="F5" s="528"/>
      <c r="G5" s="528"/>
      <c r="H5" s="528"/>
      <c r="I5" s="528"/>
      <c r="J5" s="528"/>
      <c r="K5" s="528"/>
    </row>
    <row r="6" spans="1:24" ht="63.75" customHeight="1" thickBot="1" x14ac:dyDescent="0.25">
      <c r="A6" s="815"/>
      <c r="B6" s="816"/>
      <c r="C6" s="817"/>
      <c r="D6" s="817"/>
      <c r="E6" s="817"/>
      <c r="F6" s="817"/>
      <c r="G6" s="818"/>
      <c r="H6" s="817"/>
      <c r="I6" s="817"/>
      <c r="J6" s="819"/>
      <c r="K6" s="817"/>
      <c r="L6" s="817"/>
      <c r="M6" s="817"/>
      <c r="N6" s="817"/>
      <c r="O6" s="818"/>
      <c r="P6" s="817"/>
      <c r="Q6" s="817"/>
      <c r="R6" s="819"/>
      <c r="S6" s="817"/>
      <c r="T6" s="817"/>
      <c r="U6" s="817"/>
      <c r="V6" s="817"/>
      <c r="W6" s="820"/>
      <c r="X6" s="820"/>
    </row>
    <row r="7" spans="1:24" s="448" customFormat="1" ht="13.5" thickBot="1" x14ac:dyDescent="0.25">
      <c r="A7" s="821"/>
      <c r="B7" s="822"/>
      <c r="C7" s="823">
        <v>6</v>
      </c>
      <c r="D7" s="824">
        <v>7</v>
      </c>
      <c r="E7" s="824">
        <v>8</v>
      </c>
      <c r="F7" s="825">
        <v>9</v>
      </c>
      <c r="G7" s="823">
        <v>6</v>
      </c>
      <c r="H7" s="824">
        <v>7</v>
      </c>
      <c r="I7" s="824">
        <v>8</v>
      </c>
      <c r="J7" s="825">
        <v>9</v>
      </c>
      <c r="K7" s="823">
        <v>6</v>
      </c>
      <c r="L7" s="824">
        <v>7</v>
      </c>
      <c r="M7" s="824">
        <v>8</v>
      </c>
      <c r="N7" s="825">
        <v>9</v>
      </c>
      <c r="O7" s="823">
        <v>6</v>
      </c>
      <c r="P7" s="824">
        <v>7</v>
      </c>
      <c r="Q7" s="824">
        <v>8</v>
      </c>
      <c r="R7" s="825">
        <v>9</v>
      </c>
      <c r="S7" s="823">
        <v>6</v>
      </c>
      <c r="T7" s="824">
        <v>7</v>
      </c>
      <c r="U7" s="824">
        <v>8</v>
      </c>
      <c r="V7" s="825">
        <v>9</v>
      </c>
      <c r="W7" s="826" t="s">
        <v>367</v>
      </c>
      <c r="X7" s="827" t="s">
        <v>784</v>
      </c>
    </row>
    <row r="8" spans="1:24" x14ac:dyDescent="0.2">
      <c r="A8" s="828"/>
      <c r="B8" s="829" t="s">
        <v>783</v>
      </c>
      <c r="C8" s="830"/>
      <c r="D8" s="831"/>
      <c r="E8" s="831"/>
      <c r="F8" s="832"/>
      <c r="G8" s="830"/>
      <c r="H8" s="831"/>
      <c r="I8" s="831"/>
      <c r="J8" s="832"/>
      <c r="K8" s="830"/>
      <c r="L8" s="831"/>
      <c r="M8" s="831"/>
      <c r="N8" s="832"/>
      <c r="O8" s="830"/>
      <c r="P8" s="831"/>
      <c r="Q8" s="831"/>
      <c r="R8" s="832"/>
      <c r="S8" s="830"/>
      <c r="T8" s="831"/>
      <c r="U8" s="831"/>
      <c r="V8" s="832"/>
      <c r="W8" s="828"/>
      <c r="X8" s="833"/>
    </row>
    <row r="9" spans="1:24" x14ac:dyDescent="0.2">
      <c r="A9" s="476">
        <v>1</v>
      </c>
      <c r="B9" s="505" t="s">
        <v>62</v>
      </c>
      <c r="C9" s="467">
        <v>0</v>
      </c>
      <c r="D9" s="468">
        <v>0</v>
      </c>
      <c r="E9" s="468">
        <v>0</v>
      </c>
      <c r="F9" s="469">
        <v>3</v>
      </c>
      <c r="G9" s="467">
        <v>0</v>
      </c>
      <c r="H9" s="468">
        <v>3</v>
      </c>
      <c r="I9" s="468">
        <v>0</v>
      </c>
      <c r="J9" s="469">
        <v>0</v>
      </c>
      <c r="K9" s="467">
        <v>0</v>
      </c>
      <c r="L9" s="468">
        <v>0</v>
      </c>
      <c r="M9" s="468">
        <v>0</v>
      </c>
      <c r="N9" s="469">
        <v>1</v>
      </c>
      <c r="O9" s="467">
        <v>0</v>
      </c>
      <c r="P9" s="468">
        <v>0</v>
      </c>
      <c r="Q9" s="468">
        <v>0</v>
      </c>
      <c r="R9" s="469">
        <v>0</v>
      </c>
      <c r="S9" s="467">
        <v>0</v>
      </c>
      <c r="T9" s="468">
        <v>0</v>
      </c>
      <c r="U9" s="468">
        <v>0</v>
      </c>
      <c r="V9" s="469">
        <v>0</v>
      </c>
      <c r="W9" s="470">
        <f>IF(COUNTA(C9:V9)=0,"",SUM(C9:V9)+COUNTIF(C9:V9,5)/100+COUNTIF(C9:V9,3)/10000)</f>
        <v>7.0002000000000004</v>
      </c>
      <c r="X9" s="470">
        <f>IF(COUNTA(C9:V9)=0,"",IF(RANK(W9,$W$9:$W$26)&lt;9,"edasi "&amp;RANK(W9,$W$9:$W$26),RANK(W9,$W$9:$W$26)))</f>
        <v>15</v>
      </c>
    </row>
    <row r="10" spans="1:24" ht="13.5" thickBot="1" x14ac:dyDescent="0.25">
      <c r="A10" s="476">
        <v>2</v>
      </c>
      <c r="B10" s="502" t="s">
        <v>90</v>
      </c>
      <c r="C10" s="1055">
        <v>0</v>
      </c>
      <c r="D10" s="468">
        <v>3</v>
      </c>
      <c r="E10" s="468">
        <v>0</v>
      </c>
      <c r="F10" s="469">
        <v>0</v>
      </c>
      <c r="G10" s="467">
        <v>0</v>
      </c>
      <c r="H10" s="468">
        <v>0</v>
      </c>
      <c r="I10" s="468">
        <v>0</v>
      </c>
      <c r="J10" s="469">
        <v>0</v>
      </c>
      <c r="K10" s="467">
        <v>0</v>
      </c>
      <c r="L10" s="468">
        <v>0</v>
      </c>
      <c r="M10" s="468">
        <v>1</v>
      </c>
      <c r="N10" s="469">
        <v>0</v>
      </c>
      <c r="O10" s="467">
        <v>0</v>
      </c>
      <c r="P10" s="468">
        <v>0</v>
      </c>
      <c r="Q10" s="468">
        <v>0</v>
      </c>
      <c r="R10" s="469">
        <v>0</v>
      </c>
      <c r="S10" s="467">
        <v>0</v>
      </c>
      <c r="T10" s="468">
        <v>0</v>
      </c>
      <c r="U10" s="468">
        <v>0</v>
      </c>
      <c r="V10" s="469">
        <v>0</v>
      </c>
      <c r="W10" s="470">
        <f t="shared" ref="W10:W26" si="0">IF(COUNTA(C10:V10)=0,"",SUM(C10:V10)+COUNTIF(C10:V10,5)/100+COUNTIF(C10:V10,3)/10000)</f>
        <v>4.0000999999999998</v>
      </c>
      <c r="X10" s="470">
        <f t="shared" ref="X10:X26" si="1">IF(COUNTA(C10:V10)=0,"",IF(RANK(W10,$W$9:$W$26)&lt;9,"edasi "&amp;RANK(W10,$W$9:$W$26),RANK(W10,$W$9:$W$26)))</f>
        <v>17</v>
      </c>
    </row>
    <row r="11" spans="1:24" ht="14.25" thickTop="1" thickBot="1" x14ac:dyDescent="0.25">
      <c r="A11" s="474">
        <v>3</v>
      </c>
      <c r="B11" s="1074" t="s">
        <v>84</v>
      </c>
      <c r="C11" s="1071">
        <v>5</v>
      </c>
      <c r="D11" s="1048">
        <v>0</v>
      </c>
      <c r="E11" s="472">
        <v>0</v>
      </c>
      <c r="F11" s="473">
        <v>3</v>
      </c>
      <c r="G11" s="471">
        <v>0</v>
      </c>
      <c r="H11" s="472">
        <v>0</v>
      </c>
      <c r="I11" s="472">
        <v>3</v>
      </c>
      <c r="J11" s="473">
        <v>0</v>
      </c>
      <c r="K11" s="471">
        <v>0</v>
      </c>
      <c r="L11" s="472">
        <v>0</v>
      </c>
      <c r="M11" s="472">
        <v>3</v>
      </c>
      <c r="N11" s="473">
        <v>0</v>
      </c>
      <c r="O11" s="471">
        <v>0</v>
      </c>
      <c r="P11" s="472">
        <v>0</v>
      </c>
      <c r="Q11" s="472">
        <v>0</v>
      </c>
      <c r="R11" s="473">
        <v>0</v>
      </c>
      <c r="S11" s="471">
        <v>0</v>
      </c>
      <c r="T11" s="1057">
        <v>0</v>
      </c>
      <c r="U11" s="472">
        <v>0</v>
      </c>
      <c r="V11" s="473">
        <v>0</v>
      </c>
      <c r="W11" s="455">
        <f t="shared" si="0"/>
        <v>14.010299999999999</v>
      </c>
      <c r="X11" s="455" t="str">
        <f t="shared" si="1"/>
        <v>edasi 8</v>
      </c>
    </row>
    <row r="12" spans="1:24" ht="14.25" thickTop="1" thickBot="1" x14ac:dyDescent="0.25">
      <c r="A12" s="474">
        <v>4</v>
      </c>
      <c r="B12" s="506" t="s">
        <v>519</v>
      </c>
      <c r="C12" s="1062">
        <v>3</v>
      </c>
      <c r="D12" s="472">
        <v>0</v>
      </c>
      <c r="E12" s="472">
        <v>3</v>
      </c>
      <c r="F12" s="473">
        <v>0</v>
      </c>
      <c r="G12" s="471">
        <v>0</v>
      </c>
      <c r="H12" s="472">
        <v>1</v>
      </c>
      <c r="I12" s="472">
        <v>3</v>
      </c>
      <c r="J12" s="473">
        <v>3</v>
      </c>
      <c r="K12" s="471">
        <v>1</v>
      </c>
      <c r="L12" s="472">
        <v>1</v>
      </c>
      <c r="M12" s="472">
        <v>1</v>
      </c>
      <c r="N12" s="473">
        <v>0</v>
      </c>
      <c r="O12" s="471">
        <v>3</v>
      </c>
      <c r="P12" s="472">
        <v>0</v>
      </c>
      <c r="Q12" s="472">
        <v>0</v>
      </c>
      <c r="R12" s="473">
        <v>0</v>
      </c>
      <c r="S12" s="1043">
        <v>0</v>
      </c>
      <c r="T12" s="1071">
        <v>5</v>
      </c>
      <c r="U12" s="1048">
        <v>0</v>
      </c>
      <c r="V12" s="473">
        <v>0</v>
      </c>
      <c r="W12" s="455">
        <f t="shared" si="0"/>
        <v>24.0105</v>
      </c>
      <c r="X12" s="455" t="str">
        <f t="shared" si="1"/>
        <v>edasi 2</v>
      </c>
    </row>
    <row r="13" spans="1:24" ht="14.25" thickTop="1" thickBot="1" x14ac:dyDescent="0.25">
      <c r="A13" s="476">
        <v>5</v>
      </c>
      <c r="B13" s="502" t="s">
        <v>44</v>
      </c>
      <c r="C13" s="467">
        <v>0</v>
      </c>
      <c r="D13" s="468">
        <v>3</v>
      </c>
      <c r="E13" s="468">
        <v>0</v>
      </c>
      <c r="F13" s="469">
        <v>0</v>
      </c>
      <c r="G13" s="467">
        <v>0</v>
      </c>
      <c r="H13" s="468">
        <v>0</v>
      </c>
      <c r="I13" s="468">
        <v>0</v>
      </c>
      <c r="J13" s="469">
        <v>0</v>
      </c>
      <c r="K13" s="1055">
        <v>1</v>
      </c>
      <c r="L13" s="468">
        <v>3</v>
      </c>
      <c r="M13" s="468">
        <v>0</v>
      </c>
      <c r="N13" s="1058">
        <v>0</v>
      </c>
      <c r="O13" s="467">
        <v>0</v>
      </c>
      <c r="P13" s="468">
        <v>0</v>
      </c>
      <c r="Q13" s="468">
        <v>3</v>
      </c>
      <c r="R13" s="469">
        <v>0</v>
      </c>
      <c r="S13" s="467">
        <v>0</v>
      </c>
      <c r="T13" s="1064">
        <v>3</v>
      </c>
      <c r="U13" s="468">
        <v>0</v>
      </c>
      <c r="V13" s="469">
        <v>0</v>
      </c>
      <c r="W13" s="470">
        <f t="shared" si="0"/>
        <v>13.000400000000001</v>
      </c>
      <c r="X13" s="470">
        <f t="shared" si="1"/>
        <v>9</v>
      </c>
    </row>
    <row r="14" spans="1:24" ht="14.25" thickTop="1" thickBot="1" x14ac:dyDescent="0.25">
      <c r="A14" s="476">
        <v>6</v>
      </c>
      <c r="B14" s="505" t="s">
        <v>345</v>
      </c>
      <c r="C14" s="467">
        <v>0</v>
      </c>
      <c r="D14" s="468">
        <v>0</v>
      </c>
      <c r="E14" s="468">
        <v>0</v>
      </c>
      <c r="F14" s="469">
        <v>0</v>
      </c>
      <c r="G14" s="467">
        <v>0</v>
      </c>
      <c r="H14" s="468">
        <v>0</v>
      </c>
      <c r="I14" s="468">
        <v>0</v>
      </c>
      <c r="J14" s="469">
        <v>0</v>
      </c>
      <c r="K14" s="1070">
        <v>5</v>
      </c>
      <c r="L14" s="1047">
        <v>0</v>
      </c>
      <c r="M14" s="469">
        <v>0</v>
      </c>
      <c r="N14" s="1070">
        <v>5</v>
      </c>
      <c r="O14" s="1047">
        <v>0</v>
      </c>
      <c r="P14" s="468">
        <v>0</v>
      </c>
      <c r="Q14" s="468">
        <v>0</v>
      </c>
      <c r="R14" s="469">
        <v>0</v>
      </c>
      <c r="S14" s="467">
        <v>0</v>
      </c>
      <c r="T14" s="468">
        <v>0</v>
      </c>
      <c r="U14" s="468">
        <v>0</v>
      </c>
      <c r="V14" s="469">
        <v>0</v>
      </c>
      <c r="W14" s="470">
        <f t="shared" si="0"/>
        <v>10.02</v>
      </c>
      <c r="X14" s="470">
        <f t="shared" si="1"/>
        <v>12</v>
      </c>
    </row>
    <row r="15" spans="1:24" ht="13.5" thickTop="1" x14ac:dyDescent="0.2">
      <c r="A15" s="474">
        <v>7</v>
      </c>
      <c r="B15" s="504" t="s">
        <v>80</v>
      </c>
      <c r="C15" s="471">
        <v>0</v>
      </c>
      <c r="D15" s="472">
        <v>0</v>
      </c>
      <c r="E15" s="472">
        <v>3</v>
      </c>
      <c r="F15" s="473">
        <v>0</v>
      </c>
      <c r="G15" s="471">
        <v>0</v>
      </c>
      <c r="H15" s="472">
        <v>0</v>
      </c>
      <c r="I15" s="472">
        <v>0</v>
      </c>
      <c r="J15" s="473">
        <v>1</v>
      </c>
      <c r="K15" s="1062">
        <v>1</v>
      </c>
      <c r="L15" s="472">
        <v>1</v>
      </c>
      <c r="M15" s="472">
        <v>1</v>
      </c>
      <c r="N15" s="1065">
        <v>1</v>
      </c>
      <c r="O15" s="471">
        <v>3</v>
      </c>
      <c r="P15" s="472">
        <v>0</v>
      </c>
      <c r="Q15" s="472">
        <v>0</v>
      </c>
      <c r="R15" s="473">
        <v>0</v>
      </c>
      <c r="S15" s="471">
        <v>0</v>
      </c>
      <c r="T15" s="472">
        <v>0</v>
      </c>
      <c r="U15" s="472">
        <v>0</v>
      </c>
      <c r="V15" s="473">
        <v>0</v>
      </c>
      <c r="W15" s="455">
        <f t="shared" si="0"/>
        <v>11.0002</v>
      </c>
      <c r="X15" s="455">
        <f t="shared" si="1"/>
        <v>11</v>
      </c>
    </row>
    <row r="16" spans="1:24" ht="13.5" thickBot="1" x14ac:dyDescent="0.25">
      <c r="A16" s="474">
        <v>8</v>
      </c>
      <c r="B16" s="503" t="s">
        <v>40</v>
      </c>
      <c r="C16" s="471">
        <v>0</v>
      </c>
      <c r="D16" s="472">
        <v>0</v>
      </c>
      <c r="E16" s="472">
        <v>3</v>
      </c>
      <c r="F16" s="473">
        <v>0</v>
      </c>
      <c r="G16" s="471">
        <v>0</v>
      </c>
      <c r="H16" s="472">
        <v>0</v>
      </c>
      <c r="I16" s="472">
        <v>0</v>
      </c>
      <c r="J16" s="473">
        <v>3</v>
      </c>
      <c r="K16" s="471">
        <v>1</v>
      </c>
      <c r="L16" s="472">
        <v>1</v>
      </c>
      <c r="M16" s="472">
        <v>1</v>
      </c>
      <c r="N16" s="473">
        <v>0</v>
      </c>
      <c r="O16" s="471">
        <v>3</v>
      </c>
      <c r="P16" s="472">
        <v>0</v>
      </c>
      <c r="Q16" s="472">
        <v>0</v>
      </c>
      <c r="R16" s="473">
        <v>0</v>
      </c>
      <c r="S16" s="471">
        <v>0</v>
      </c>
      <c r="T16" s="472">
        <v>0</v>
      </c>
      <c r="U16" s="472">
        <v>0</v>
      </c>
      <c r="V16" s="1076">
        <v>0</v>
      </c>
      <c r="W16" s="455">
        <f t="shared" si="0"/>
        <v>12.000299999999999</v>
      </c>
      <c r="X16" s="455">
        <f t="shared" si="1"/>
        <v>10</v>
      </c>
    </row>
    <row r="17" spans="1:27" ht="14.25" thickTop="1" thickBot="1" x14ac:dyDescent="0.25">
      <c r="A17" s="476">
        <v>9</v>
      </c>
      <c r="B17" s="502" t="s">
        <v>553</v>
      </c>
      <c r="C17" s="1055">
        <v>0</v>
      </c>
      <c r="D17" s="468">
        <v>0</v>
      </c>
      <c r="E17" s="468">
        <v>0</v>
      </c>
      <c r="F17" s="469">
        <v>3</v>
      </c>
      <c r="G17" s="467">
        <v>0</v>
      </c>
      <c r="H17" s="468">
        <v>3</v>
      </c>
      <c r="I17" s="468">
        <v>0</v>
      </c>
      <c r="J17" s="469">
        <v>0</v>
      </c>
      <c r="K17" s="467">
        <v>0</v>
      </c>
      <c r="L17" s="468">
        <v>0</v>
      </c>
      <c r="M17" s="468">
        <v>0</v>
      </c>
      <c r="N17" s="469">
        <v>0</v>
      </c>
      <c r="O17" s="467">
        <v>3</v>
      </c>
      <c r="P17" s="468">
        <v>0</v>
      </c>
      <c r="Q17" s="468">
        <v>0</v>
      </c>
      <c r="R17" s="469">
        <v>0</v>
      </c>
      <c r="S17" s="467">
        <v>0</v>
      </c>
      <c r="T17" s="468">
        <v>0</v>
      </c>
      <c r="U17" s="469">
        <v>3</v>
      </c>
      <c r="V17" s="1070">
        <v>5</v>
      </c>
      <c r="W17" s="1050">
        <f t="shared" si="0"/>
        <v>17.010400000000001</v>
      </c>
      <c r="X17" s="470" t="str">
        <f t="shared" si="1"/>
        <v>edasi 5</v>
      </c>
    </row>
    <row r="18" spans="1:27" ht="14.25" thickTop="1" thickBot="1" x14ac:dyDescent="0.25">
      <c r="A18" s="476">
        <v>10</v>
      </c>
      <c r="B18" s="1075" t="s">
        <v>68</v>
      </c>
      <c r="C18" s="1070">
        <v>5</v>
      </c>
      <c r="D18" s="1047">
        <v>3</v>
      </c>
      <c r="E18" s="468">
        <v>0</v>
      </c>
      <c r="F18" s="469">
        <v>0</v>
      </c>
      <c r="G18" s="467">
        <v>0</v>
      </c>
      <c r="H18" s="468">
        <v>0</v>
      </c>
      <c r="I18" s="468">
        <v>3</v>
      </c>
      <c r="J18" s="469">
        <v>0</v>
      </c>
      <c r="K18" s="467">
        <v>1</v>
      </c>
      <c r="L18" s="468">
        <v>1</v>
      </c>
      <c r="M18" s="468">
        <v>3</v>
      </c>
      <c r="N18" s="469">
        <v>0</v>
      </c>
      <c r="O18" s="467">
        <v>0</v>
      </c>
      <c r="P18" s="468">
        <v>0</v>
      </c>
      <c r="Q18" s="468">
        <v>0</v>
      </c>
      <c r="R18" s="469">
        <v>0</v>
      </c>
      <c r="S18" s="467">
        <v>0</v>
      </c>
      <c r="T18" s="468">
        <v>0</v>
      </c>
      <c r="U18" s="468">
        <v>0</v>
      </c>
      <c r="V18" s="1085">
        <v>0</v>
      </c>
      <c r="W18" s="470">
        <f t="shared" si="0"/>
        <v>16.010300000000001</v>
      </c>
      <c r="X18" s="470" t="str">
        <f t="shared" si="1"/>
        <v>edasi 6</v>
      </c>
    </row>
    <row r="19" spans="1:27" ht="13.5" thickTop="1" x14ac:dyDescent="0.2">
      <c r="A19" s="474">
        <v>11</v>
      </c>
      <c r="B19" s="506" t="s">
        <v>49</v>
      </c>
      <c r="C19" s="1062">
        <v>0</v>
      </c>
      <c r="D19" s="472">
        <v>3</v>
      </c>
      <c r="E19" s="472">
        <v>0</v>
      </c>
      <c r="F19" s="473">
        <v>0</v>
      </c>
      <c r="G19" s="471">
        <v>0</v>
      </c>
      <c r="H19" s="472">
        <v>0</v>
      </c>
      <c r="I19" s="472">
        <v>0</v>
      </c>
      <c r="J19" s="473">
        <v>0</v>
      </c>
      <c r="K19" s="471">
        <v>0</v>
      </c>
      <c r="L19" s="472">
        <v>0</v>
      </c>
      <c r="M19" s="472">
        <v>0</v>
      </c>
      <c r="N19" s="473">
        <v>0</v>
      </c>
      <c r="O19" s="471">
        <v>0</v>
      </c>
      <c r="P19" s="472">
        <v>0</v>
      </c>
      <c r="Q19" s="472">
        <v>0</v>
      </c>
      <c r="R19" s="473">
        <v>0</v>
      </c>
      <c r="S19" s="471">
        <v>0</v>
      </c>
      <c r="T19" s="472">
        <v>0</v>
      </c>
      <c r="U19" s="472">
        <v>0</v>
      </c>
      <c r="V19" s="473">
        <v>0</v>
      </c>
      <c r="W19" s="455">
        <f t="shared" si="0"/>
        <v>3.0001000000000002</v>
      </c>
      <c r="X19" s="455">
        <f t="shared" si="1"/>
        <v>18</v>
      </c>
    </row>
    <row r="20" spans="1:27" ht="13.5" thickBot="1" x14ac:dyDescent="0.25">
      <c r="A20" s="474">
        <v>12</v>
      </c>
      <c r="B20" s="503" t="s">
        <v>51</v>
      </c>
      <c r="C20" s="471">
        <v>0</v>
      </c>
      <c r="D20" s="1057">
        <v>0</v>
      </c>
      <c r="E20" s="472">
        <v>0</v>
      </c>
      <c r="F20" s="473">
        <v>0</v>
      </c>
      <c r="G20" s="471">
        <v>3</v>
      </c>
      <c r="H20" s="472">
        <v>0</v>
      </c>
      <c r="I20" s="472">
        <v>0</v>
      </c>
      <c r="J20" s="473">
        <v>0</v>
      </c>
      <c r="K20" s="471">
        <v>1</v>
      </c>
      <c r="L20" s="472">
        <v>0</v>
      </c>
      <c r="M20" s="472">
        <v>0</v>
      </c>
      <c r="N20" s="473">
        <v>0</v>
      </c>
      <c r="O20" s="471">
        <v>0</v>
      </c>
      <c r="P20" s="472">
        <v>0</v>
      </c>
      <c r="Q20" s="472">
        <v>0</v>
      </c>
      <c r="R20" s="473">
        <v>3</v>
      </c>
      <c r="S20" s="471">
        <v>0</v>
      </c>
      <c r="T20" s="472">
        <v>0</v>
      </c>
      <c r="U20" s="472">
        <v>0</v>
      </c>
      <c r="V20" s="473">
        <v>0</v>
      </c>
      <c r="W20" s="455">
        <f t="shared" si="0"/>
        <v>7.0002000000000004</v>
      </c>
      <c r="X20" s="455">
        <f t="shared" si="1"/>
        <v>15</v>
      </c>
      <c r="Y20" s="458"/>
      <c r="Z20" s="459"/>
      <c r="AA20" s="459"/>
    </row>
    <row r="21" spans="1:27" ht="14.25" thickTop="1" thickBot="1" x14ac:dyDescent="0.25">
      <c r="A21" s="476">
        <v>13</v>
      </c>
      <c r="B21" s="502" t="s">
        <v>47</v>
      </c>
      <c r="C21" s="1044">
        <v>3</v>
      </c>
      <c r="D21" s="1070">
        <v>5</v>
      </c>
      <c r="E21" s="1047">
        <v>0</v>
      </c>
      <c r="F21" s="469">
        <v>0</v>
      </c>
      <c r="G21" s="467">
        <v>0</v>
      </c>
      <c r="H21" s="468">
        <v>0</v>
      </c>
      <c r="I21" s="468">
        <v>0</v>
      </c>
      <c r="J21" s="469">
        <v>0</v>
      </c>
      <c r="K21" s="467">
        <v>1</v>
      </c>
      <c r="L21" s="468">
        <v>1</v>
      </c>
      <c r="M21" s="468">
        <v>0</v>
      </c>
      <c r="N21" s="469">
        <v>0</v>
      </c>
      <c r="O21" s="1055">
        <v>0</v>
      </c>
      <c r="P21" s="468">
        <v>0</v>
      </c>
      <c r="Q21" s="468">
        <v>0</v>
      </c>
      <c r="R21" s="469">
        <v>0</v>
      </c>
      <c r="S21" s="467">
        <v>0</v>
      </c>
      <c r="T21" s="468">
        <v>0</v>
      </c>
      <c r="U21" s="468">
        <v>0</v>
      </c>
      <c r="V21" s="469">
        <v>0</v>
      </c>
      <c r="W21" s="470">
        <f t="shared" si="0"/>
        <v>10.0101</v>
      </c>
      <c r="X21" s="470">
        <f t="shared" si="1"/>
        <v>13</v>
      </c>
    </row>
    <row r="22" spans="1:27" ht="14.25" thickTop="1" thickBot="1" x14ac:dyDescent="0.25">
      <c r="A22" s="476">
        <v>14</v>
      </c>
      <c r="B22" s="502" t="s">
        <v>71</v>
      </c>
      <c r="C22" s="467">
        <v>3</v>
      </c>
      <c r="D22" s="1064">
        <v>3</v>
      </c>
      <c r="E22" s="468">
        <v>0</v>
      </c>
      <c r="F22" s="469">
        <v>3</v>
      </c>
      <c r="G22" s="467">
        <v>0</v>
      </c>
      <c r="H22" s="468">
        <v>1</v>
      </c>
      <c r="I22" s="468">
        <v>3</v>
      </c>
      <c r="J22" s="469">
        <v>0</v>
      </c>
      <c r="K22" s="467">
        <v>1</v>
      </c>
      <c r="L22" s="468">
        <v>0</v>
      </c>
      <c r="M22" s="468">
        <v>1</v>
      </c>
      <c r="N22" s="469">
        <v>0</v>
      </c>
      <c r="O22" s="1070">
        <v>5</v>
      </c>
      <c r="P22" s="1047">
        <v>3</v>
      </c>
      <c r="Q22" s="468">
        <v>0</v>
      </c>
      <c r="R22" s="469">
        <v>0</v>
      </c>
      <c r="S22" s="467">
        <v>0</v>
      </c>
      <c r="T22" s="468">
        <v>0</v>
      </c>
      <c r="U22" s="468">
        <v>0</v>
      </c>
      <c r="V22" s="469">
        <v>0</v>
      </c>
      <c r="W22" s="470">
        <f t="shared" si="0"/>
        <v>23.0105</v>
      </c>
      <c r="X22" s="470" t="str">
        <f t="shared" si="1"/>
        <v>edasi 3</v>
      </c>
    </row>
    <row r="23" spans="1:27" ht="14.25" thickTop="1" thickBot="1" x14ac:dyDescent="0.25">
      <c r="A23" s="474">
        <v>15</v>
      </c>
      <c r="B23" s="500" t="s">
        <v>36</v>
      </c>
      <c r="C23" s="471">
        <v>3</v>
      </c>
      <c r="D23" s="472">
        <v>0</v>
      </c>
      <c r="E23" s="472">
        <v>3</v>
      </c>
      <c r="F23" s="473">
        <v>0</v>
      </c>
      <c r="G23" s="471">
        <v>0</v>
      </c>
      <c r="H23" s="472">
        <v>0</v>
      </c>
      <c r="I23" s="472">
        <v>0</v>
      </c>
      <c r="J23" s="473">
        <v>0</v>
      </c>
      <c r="K23" s="471">
        <v>3</v>
      </c>
      <c r="L23" s="472">
        <v>3</v>
      </c>
      <c r="M23" s="472">
        <v>0</v>
      </c>
      <c r="N23" s="473">
        <v>0</v>
      </c>
      <c r="O23" s="1062">
        <v>0</v>
      </c>
      <c r="P23" s="472">
        <v>0</v>
      </c>
      <c r="Q23" s="472">
        <v>0</v>
      </c>
      <c r="R23" s="473">
        <v>0</v>
      </c>
      <c r="S23" s="471">
        <v>3</v>
      </c>
      <c r="T23" s="472">
        <v>0</v>
      </c>
      <c r="U23" s="1057">
        <v>0</v>
      </c>
      <c r="V23" s="473">
        <v>0</v>
      </c>
      <c r="W23" s="455">
        <f t="shared" si="0"/>
        <v>15.000500000000001</v>
      </c>
      <c r="X23" s="455" t="str">
        <f t="shared" si="1"/>
        <v>edasi 7</v>
      </c>
    </row>
    <row r="24" spans="1:27" ht="14.25" thickTop="1" thickBot="1" x14ac:dyDescent="0.25">
      <c r="A24" s="488">
        <v>16</v>
      </c>
      <c r="B24" s="489" t="s">
        <v>38</v>
      </c>
      <c r="C24" s="490">
        <v>3</v>
      </c>
      <c r="D24" s="491">
        <v>0</v>
      </c>
      <c r="E24" s="491">
        <v>0</v>
      </c>
      <c r="F24" s="492">
        <v>0</v>
      </c>
      <c r="G24" s="490">
        <v>0</v>
      </c>
      <c r="H24" s="491">
        <v>0</v>
      </c>
      <c r="I24" s="491">
        <v>0</v>
      </c>
      <c r="J24" s="492">
        <v>3</v>
      </c>
      <c r="K24" s="490">
        <v>3</v>
      </c>
      <c r="L24" s="491">
        <v>0</v>
      </c>
      <c r="M24" s="491">
        <v>0</v>
      </c>
      <c r="N24" s="492">
        <v>1</v>
      </c>
      <c r="O24" s="490">
        <v>0</v>
      </c>
      <c r="P24" s="491">
        <v>0</v>
      </c>
      <c r="Q24" s="491">
        <v>0</v>
      </c>
      <c r="R24" s="492">
        <v>0</v>
      </c>
      <c r="S24" s="490">
        <v>0</v>
      </c>
      <c r="T24" s="1076">
        <v>0</v>
      </c>
      <c r="U24" s="1071">
        <v>5</v>
      </c>
      <c r="V24" s="1079">
        <v>3</v>
      </c>
      <c r="W24" s="455">
        <f t="shared" si="0"/>
        <v>18.010400000000001</v>
      </c>
      <c r="X24" s="455" t="str">
        <f t="shared" si="1"/>
        <v>edasi 4</v>
      </c>
    </row>
    <row r="25" spans="1:27" ht="14.25" thickTop="1" thickBot="1" x14ac:dyDescent="0.25">
      <c r="A25" s="476">
        <v>17</v>
      </c>
      <c r="B25" s="502" t="s">
        <v>33</v>
      </c>
      <c r="C25" s="1055">
        <v>0</v>
      </c>
      <c r="D25" s="468">
        <v>0</v>
      </c>
      <c r="E25" s="468">
        <v>3</v>
      </c>
      <c r="F25" s="469">
        <v>3</v>
      </c>
      <c r="G25" s="467">
        <v>3</v>
      </c>
      <c r="H25" s="468">
        <v>0</v>
      </c>
      <c r="I25" s="468">
        <v>0</v>
      </c>
      <c r="J25" s="469">
        <v>3</v>
      </c>
      <c r="K25" s="467">
        <v>1</v>
      </c>
      <c r="L25" s="468">
        <v>0</v>
      </c>
      <c r="M25" s="468">
        <v>0</v>
      </c>
      <c r="N25" s="469">
        <v>0</v>
      </c>
      <c r="O25" s="467">
        <v>0</v>
      </c>
      <c r="P25" s="468">
        <v>0</v>
      </c>
      <c r="Q25" s="468">
        <v>3</v>
      </c>
      <c r="R25" s="469">
        <v>0</v>
      </c>
      <c r="S25" s="1044">
        <v>3</v>
      </c>
      <c r="T25" s="1070">
        <v>5</v>
      </c>
      <c r="U25" s="1070">
        <v>5</v>
      </c>
      <c r="V25" s="1049">
        <v>0</v>
      </c>
      <c r="W25" s="470">
        <f t="shared" si="0"/>
        <v>29.020599999999998</v>
      </c>
      <c r="X25" s="470" t="str">
        <f t="shared" si="1"/>
        <v>edasi 1</v>
      </c>
    </row>
    <row r="26" spans="1:27" ht="14.25" thickTop="1" thickBot="1" x14ac:dyDescent="0.25">
      <c r="A26" s="493">
        <v>18</v>
      </c>
      <c r="B26" s="1077" t="s">
        <v>41</v>
      </c>
      <c r="C26" s="1070">
        <v>5</v>
      </c>
      <c r="D26" s="1080">
        <v>0</v>
      </c>
      <c r="E26" s="495">
        <v>0</v>
      </c>
      <c r="F26" s="496">
        <v>0</v>
      </c>
      <c r="G26" s="494">
        <v>0</v>
      </c>
      <c r="H26" s="495">
        <v>0</v>
      </c>
      <c r="I26" s="495">
        <v>0</v>
      </c>
      <c r="J26" s="496">
        <v>0</v>
      </c>
      <c r="K26" s="494">
        <v>1</v>
      </c>
      <c r="L26" s="495">
        <v>1</v>
      </c>
      <c r="M26" s="495">
        <v>3</v>
      </c>
      <c r="N26" s="496">
        <v>0</v>
      </c>
      <c r="O26" s="494">
        <v>0</v>
      </c>
      <c r="P26" s="495">
        <v>0</v>
      </c>
      <c r="Q26" s="495">
        <v>0</v>
      </c>
      <c r="R26" s="496">
        <v>0</v>
      </c>
      <c r="S26" s="494">
        <v>0</v>
      </c>
      <c r="T26" s="1086">
        <v>0</v>
      </c>
      <c r="U26" s="1086">
        <v>0</v>
      </c>
      <c r="V26" s="496">
        <v>0</v>
      </c>
      <c r="W26" s="497">
        <f t="shared" si="0"/>
        <v>10.0101</v>
      </c>
      <c r="X26" s="497">
        <f t="shared" si="1"/>
        <v>13</v>
      </c>
    </row>
    <row r="27" spans="1:27" ht="13.5" thickBot="1" x14ac:dyDescent="0.25">
      <c r="A27" s="478"/>
      <c r="B27" s="475" t="s">
        <v>776</v>
      </c>
      <c r="C27" s="1087"/>
      <c r="D27" s="450"/>
      <c r="E27" s="450"/>
      <c r="F27" s="451"/>
      <c r="G27" s="449"/>
      <c r="H27" s="450"/>
      <c r="I27" s="450"/>
      <c r="J27" s="451"/>
      <c r="K27" s="449"/>
      <c r="L27" s="450"/>
      <c r="M27" s="450"/>
      <c r="N27" s="451"/>
      <c r="O27" s="449"/>
      <c r="P27" s="450"/>
      <c r="Q27" s="450"/>
      <c r="R27" s="451"/>
      <c r="S27" s="449"/>
      <c r="T27" s="450"/>
      <c r="U27" s="450"/>
      <c r="V27" s="1060"/>
      <c r="W27" s="452"/>
      <c r="X27" s="452"/>
      <c r="Y27" s="453"/>
      <c r="Z27" s="454" t="s">
        <v>777</v>
      </c>
      <c r="AA27" s="454" t="s">
        <v>778</v>
      </c>
    </row>
    <row r="28" spans="1:27" ht="14.25" thickTop="1" thickBot="1" x14ac:dyDescent="0.25">
      <c r="A28" s="834">
        <v>1</v>
      </c>
      <c r="B28" s="835" t="s">
        <v>33</v>
      </c>
      <c r="C28" s="836">
        <v>0</v>
      </c>
      <c r="D28" s="837">
        <v>0</v>
      </c>
      <c r="E28" s="837">
        <v>0</v>
      </c>
      <c r="F28" s="838">
        <v>0</v>
      </c>
      <c r="G28" s="836">
        <v>0</v>
      </c>
      <c r="H28" s="837">
        <v>0</v>
      </c>
      <c r="I28" s="837">
        <v>0</v>
      </c>
      <c r="J28" s="838">
        <v>0</v>
      </c>
      <c r="K28" s="836">
        <v>1</v>
      </c>
      <c r="L28" s="837">
        <v>0</v>
      </c>
      <c r="M28" s="837">
        <v>0</v>
      </c>
      <c r="N28" s="838">
        <v>0</v>
      </c>
      <c r="O28" s="836">
        <v>0</v>
      </c>
      <c r="P28" s="837">
        <v>3</v>
      </c>
      <c r="Q28" s="837">
        <v>0</v>
      </c>
      <c r="R28" s="838">
        <v>0</v>
      </c>
      <c r="S28" s="836">
        <v>0</v>
      </c>
      <c r="T28" s="837">
        <v>3</v>
      </c>
      <c r="U28" s="838">
        <v>0</v>
      </c>
      <c r="V28" s="1072">
        <v>5</v>
      </c>
      <c r="W28" s="1050">
        <f t="shared" ref="W28:W35" si="2">SUM(C28:V28)</f>
        <v>12</v>
      </c>
      <c r="X28" s="839" t="str">
        <f>IF(ISBLANK(C28),"",IF(W28=W29,"edasi "&amp;RANK(W28,$AA$28:$AA$35),(IF(RANK(Y28,$Y$28:$Y$29)&lt;2,"edasi "&amp;RANK(W28,$AA$28:$AA$35),RANK(W28,$Z$28:$Z$35)+4))))</f>
        <v>edasi 3</v>
      </c>
      <c r="Y28" s="456">
        <f>IF(COUNTA(C28:V28)=0,100,W28+IF(RANK(W28,$W$28:$W$29)=1,100,0))</f>
        <v>112</v>
      </c>
      <c r="Z28" s="454">
        <f>MIN(W28:W29)</f>
        <v>6</v>
      </c>
      <c r="AA28" s="454">
        <f>MAX(W28:W29)</f>
        <v>12</v>
      </c>
    </row>
    <row r="29" spans="1:27" ht="13.5" thickTop="1" x14ac:dyDescent="0.2">
      <c r="A29" s="834">
        <v>8</v>
      </c>
      <c r="B29" s="505" t="s">
        <v>84</v>
      </c>
      <c r="C29" s="836">
        <v>0</v>
      </c>
      <c r="D29" s="837">
        <v>0</v>
      </c>
      <c r="E29" s="837">
        <v>0</v>
      </c>
      <c r="F29" s="838">
        <v>0</v>
      </c>
      <c r="G29" s="836">
        <v>0</v>
      </c>
      <c r="H29" s="837">
        <v>0</v>
      </c>
      <c r="I29" s="837">
        <v>3</v>
      </c>
      <c r="J29" s="838">
        <v>0</v>
      </c>
      <c r="K29" s="836">
        <v>0</v>
      </c>
      <c r="L29" s="837">
        <v>0</v>
      </c>
      <c r="M29" s="837">
        <v>0</v>
      </c>
      <c r="N29" s="838">
        <v>0</v>
      </c>
      <c r="O29" s="836">
        <v>0</v>
      </c>
      <c r="P29" s="837">
        <v>0</v>
      </c>
      <c r="Q29" s="837">
        <v>0</v>
      </c>
      <c r="R29" s="838">
        <v>0</v>
      </c>
      <c r="S29" s="836">
        <v>0</v>
      </c>
      <c r="T29" s="837">
        <v>3</v>
      </c>
      <c r="U29" s="837">
        <v>0</v>
      </c>
      <c r="V29" s="1066">
        <v>0</v>
      </c>
      <c r="W29" s="470">
        <f t="shared" si="2"/>
        <v>6</v>
      </c>
      <c r="X29" s="839">
        <f>IF(ISBLANK(C29),"",IF(RANK(Y29,$Y$28:$Y$29)&lt;2,"edasi "&amp;RANK(W29,$AA$28:$AA$35),RANK(W29,$Z$28:$Z$35)+4))</f>
        <v>8</v>
      </c>
      <c r="Y29" s="457">
        <f>IF(COUNTA(C29:V29)=0,0,W29+IF(RANK(W29,$W$28:$W$29)=1,100,0))</f>
        <v>6</v>
      </c>
      <c r="Z29" s="454"/>
      <c r="AA29" s="454"/>
    </row>
    <row r="30" spans="1:27" x14ac:dyDescent="0.2">
      <c r="A30" s="478">
        <v>4</v>
      </c>
      <c r="B30" s="498" t="s">
        <v>38</v>
      </c>
      <c r="C30" s="449">
        <v>3</v>
      </c>
      <c r="D30" s="450">
        <v>0</v>
      </c>
      <c r="E30" s="450">
        <v>0</v>
      </c>
      <c r="F30" s="451">
        <v>0</v>
      </c>
      <c r="G30" s="449">
        <v>0</v>
      </c>
      <c r="H30" s="450">
        <v>0</v>
      </c>
      <c r="I30" s="450">
        <v>0</v>
      </c>
      <c r="J30" s="451">
        <v>0</v>
      </c>
      <c r="K30" s="449">
        <v>1</v>
      </c>
      <c r="L30" s="450">
        <v>0</v>
      </c>
      <c r="M30" s="450">
        <v>0</v>
      </c>
      <c r="N30" s="451">
        <v>0</v>
      </c>
      <c r="O30" s="449">
        <v>3</v>
      </c>
      <c r="P30" s="450">
        <v>0</v>
      </c>
      <c r="Q30" s="450">
        <v>0</v>
      </c>
      <c r="R30" s="451">
        <v>0</v>
      </c>
      <c r="S30" s="449">
        <v>0</v>
      </c>
      <c r="T30" s="450">
        <v>0</v>
      </c>
      <c r="U30" s="450">
        <v>0</v>
      </c>
      <c r="V30" s="451">
        <v>0</v>
      </c>
      <c r="W30" s="455">
        <f t="shared" si="2"/>
        <v>7</v>
      </c>
      <c r="X30" s="452">
        <f>IF(ISBLANK(C30),"",IF(RANK(Y30,$Y$30:$Y$31)&lt;2,"edasi "&amp;RANK(W30,$AA$28:$AA$35),RANK(W30,$Z$28:$Z$35)+4))</f>
        <v>7</v>
      </c>
      <c r="Y30" s="456">
        <f>IF(COUNTA(C30:V30)=0,100,W30+IF(RANK(W30,$W$30:$W$31)=1,100,0))</f>
        <v>7</v>
      </c>
      <c r="Z30" s="454">
        <f>MIN(W30:W31)</f>
        <v>7</v>
      </c>
      <c r="AA30" s="454">
        <f>MAX(W30:W31)</f>
        <v>11</v>
      </c>
    </row>
    <row r="31" spans="1:27" ht="13.5" thickBot="1" x14ac:dyDescent="0.25">
      <c r="A31" s="478">
        <v>5</v>
      </c>
      <c r="B31" s="501" t="s">
        <v>553</v>
      </c>
      <c r="C31" s="449">
        <v>0</v>
      </c>
      <c r="D31" s="450">
        <v>3</v>
      </c>
      <c r="E31" s="450">
        <v>1</v>
      </c>
      <c r="F31" s="451">
        <v>0</v>
      </c>
      <c r="G31" s="449">
        <v>0</v>
      </c>
      <c r="H31" s="450">
        <v>3</v>
      </c>
      <c r="I31" s="450">
        <v>0</v>
      </c>
      <c r="J31" s="451">
        <v>0</v>
      </c>
      <c r="K31" s="449">
        <v>1</v>
      </c>
      <c r="L31" s="450">
        <v>0</v>
      </c>
      <c r="M31" s="450">
        <v>0</v>
      </c>
      <c r="N31" s="451">
        <v>0</v>
      </c>
      <c r="O31" s="449">
        <v>0</v>
      </c>
      <c r="P31" s="450">
        <v>0</v>
      </c>
      <c r="Q31" s="450">
        <v>3</v>
      </c>
      <c r="R31" s="451">
        <v>0</v>
      </c>
      <c r="S31" s="449">
        <v>0</v>
      </c>
      <c r="T31" s="450">
        <v>0</v>
      </c>
      <c r="U31" s="1059">
        <v>0</v>
      </c>
      <c r="V31" s="451">
        <v>0</v>
      </c>
      <c r="W31" s="455">
        <f t="shared" si="2"/>
        <v>11</v>
      </c>
      <c r="X31" s="452" t="str">
        <f>IF(ISBLANK(C31),"",IF(RANK(Y31,$Y$30:$Y$31)&lt;2,"edasi "&amp;RANK(W31,$AA$28:$AA$35),RANK(W31,$Z$28:$Z$35)+4))</f>
        <v>edasi 4</v>
      </c>
      <c r="Y31" s="457">
        <f>IF(COUNTA(C31:V31)=0,0,W31+IF(RANK(W31,$W$30:$W$31)=1,100,0))</f>
        <v>111</v>
      </c>
      <c r="Z31" s="454"/>
      <c r="AA31" s="454"/>
    </row>
    <row r="32" spans="1:27" ht="14.25" thickTop="1" thickBot="1" x14ac:dyDescent="0.25">
      <c r="A32" s="834">
        <v>3</v>
      </c>
      <c r="B32" s="840" t="s">
        <v>71</v>
      </c>
      <c r="C32" s="836">
        <v>3</v>
      </c>
      <c r="D32" s="837">
        <v>3</v>
      </c>
      <c r="E32" s="837">
        <v>3</v>
      </c>
      <c r="F32" s="838">
        <v>0</v>
      </c>
      <c r="G32" s="836">
        <v>0</v>
      </c>
      <c r="H32" s="837">
        <v>0</v>
      </c>
      <c r="I32" s="837">
        <v>0</v>
      </c>
      <c r="J32" s="838">
        <v>0</v>
      </c>
      <c r="K32" s="836">
        <v>1</v>
      </c>
      <c r="L32" s="837">
        <v>0</v>
      </c>
      <c r="M32" s="837">
        <v>1</v>
      </c>
      <c r="N32" s="838">
        <v>0</v>
      </c>
      <c r="O32" s="836">
        <v>0</v>
      </c>
      <c r="P32" s="837">
        <v>3</v>
      </c>
      <c r="Q32" s="837">
        <v>0</v>
      </c>
      <c r="R32" s="838">
        <v>0</v>
      </c>
      <c r="S32" s="836">
        <v>0</v>
      </c>
      <c r="T32" s="838">
        <v>0</v>
      </c>
      <c r="U32" s="1072">
        <v>5</v>
      </c>
      <c r="V32" s="1081">
        <v>0</v>
      </c>
      <c r="W32" s="470">
        <f t="shared" si="2"/>
        <v>19</v>
      </c>
      <c r="X32" s="839">
        <f>IF(ISBLANK(C32),"",IF(RANK(Y32,$Y$32:$Y$33)&lt;2,"edasi "&amp;RANK(W32,$AA$28:$AA$35),RANK(W32,$Z$28:$Z$35)+4))</f>
        <v>6</v>
      </c>
      <c r="Y32" s="456">
        <f>IF(COUNTA(C32:V32)=0,100,W32+IF(RANK(W32,$W$32:$W$33)=1,100,0))</f>
        <v>19</v>
      </c>
      <c r="Z32" s="454">
        <f>MIN(W32:W33)</f>
        <v>19</v>
      </c>
      <c r="AA32" s="454">
        <f>MAX(W32:W33)</f>
        <v>30</v>
      </c>
    </row>
    <row r="33" spans="1:27" ht="14.25" thickTop="1" thickBot="1" x14ac:dyDescent="0.25">
      <c r="A33" s="834">
        <v>6</v>
      </c>
      <c r="B33" s="840" t="s">
        <v>68</v>
      </c>
      <c r="C33" s="836">
        <v>3</v>
      </c>
      <c r="D33" s="837">
        <v>3</v>
      </c>
      <c r="E33" s="837">
        <v>3</v>
      </c>
      <c r="F33" s="838">
        <v>0</v>
      </c>
      <c r="G33" s="836">
        <v>0</v>
      </c>
      <c r="H33" s="837">
        <v>1</v>
      </c>
      <c r="I33" s="837">
        <v>3</v>
      </c>
      <c r="J33" s="838">
        <v>0</v>
      </c>
      <c r="K33" s="836">
        <v>1</v>
      </c>
      <c r="L33" s="837">
        <v>3</v>
      </c>
      <c r="M33" s="837">
        <v>1</v>
      </c>
      <c r="N33" s="838">
        <v>3</v>
      </c>
      <c r="O33" s="836">
        <v>3</v>
      </c>
      <c r="P33" s="837">
        <v>3</v>
      </c>
      <c r="Q33" s="837">
        <v>0</v>
      </c>
      <c r="R33" s="838">
        <v>3</v>
      </c>
      <c r="S33" s="836">
        <v>0</v>
      </c>
      <c r="T33" s="1083">
        <v>0</v>
      </c>
      <c r="U33" s="1088">
        <v>0</v>
      </c>
      <c r="V33" s="838">
        <v>0</v>
      </c>
      <c r="W33" s="470">
        <f t="shared" si="2"/>
        <v>30</v>
      </c>
      <c r="X33" s="839" t="str">
        <f>IF(ISBLANK(C33),"",IF(RANK(Y33,$Y$32:$Y$33)&lt;2,"edasi "&amp;RANK(W33,$AA$28:$AA$35),RANK(W33,$Z$28:$Z$35)+4))</f>
        <v>edasi 2</v>
      </c>
      <c r="Y33" s="457">
        <f>IF(COUNTA(C33:V33)=0,0,W33+IF(RANK(W33,$W$32:$W$33)=1,100,0))</f>
        <v>130</v>
      </c>
      <c r="Z33" s="454"/>
      <c r="AA33" s="454"/>
    </row>
    <row r="34" spans="1:27" ht="14.25" thickTop="1" thickBot="1" x14ac:dyDescent="0.25">
      <c r="A34" s="478">
        <v>2</v>
      </c>
      <c r="B34" s="498" t="s">
        <v>519</v>
      </c>
      <c r="C34" s="449">
        <v>0</v>
      </c>
      <c r="D34" s="450">
        <v>0</v>
      </c>
      <c r="E34" s="1059">
        <v>0</v>
      </c>
      <c r="F34" s="451">
        <v>3</v>
      </c>
      <c r="G34" s="449">
        <v>0</v>
      </c>
      <c r="H34" s="450">
        <v>0</v>
      </c>
      <c r="I34" s="450">
        <v>0</v>
      </c>
      <c r="J34" s="451">
        <v>0</v>
      </c>
      <c r="K34" s="449">
        <v>1</v>
      </c>
      <c r="L34" s="450">
        <v>0</v>
      </c>
      <c r="M34" s="450">
        <v>1</v>
      </c>
      <c r="N34" s="451">
        <v>3</v>
      </c>
      <c r="O34" s="449">
        <v>3</v>
      </c>
      <c r="P34" s="450">
        <v>0</v>
      </c>
      <c r="Q34" s="450">
        <v>0</v>
      </c>
      <c r="R34" s="451">
        <v>0</v>
      </c>
      <c r="S34" s="1045">
        <v>0</v>
      </c>
      <c r="T34" s="1073">
        <v>5</v>
      </c>
      <c r="U34" s="1073">
        <v>5</v>
      </c>
      <c r="V34" s="1082">
        <v>0</v>
      </c>
      <c r="W34" s="455">
        <f t="shared" si="2"/>
        <v>21</v>
      </c>
      <c r="X34" s="452">
        <f>IF(ISBLANK(C34),"",IF(RANK(Y34,$Y$34:$Y$35)&lt;2,"edasi "&amp;RANK(W34,$AA$28:$AA$35),RANK(W34,$Z$28:$Z$35)+4))</f>
        <v>5</v>
      </c>
      <c r="Y34" s="456">
        <f>IF(COUNTA(C34:V34)=0,100,W34+IF(RANK(W34,$W$34:$W$35)=1,100,0))</f>
        <v>21</v>
      </c>
      <c r="Z34" s="454">
        <f>MIN(W34:W35)</f>
        <v>21</v>
      </c>
      <c r="AA34" s="454">
        <f>MAX(W34:W35)</f>
        <v>33</v>
      </c>
    </row>
    <row r="35" spans="1:27" ht="14.25" thickTop="1" thickBot="1" x14ac:dyDescent="0.25">
      <c r="A35" s="478">
        <v>7</v>
      </c>
      <c r="B35" s="498" t="s">
        <v>36</v>
      </c>
      <c r="C35" s="449">
        <v>3</v>
      </c>
      <c r="D35" s="451">
        <v>3</v>
      </c>
      <c r="E35" s="1073">
        <v>5</v>
      </c>
      <c r="F35" s="1082">
        <v>3</v>
      </c>
      <c r="G35" s="449">
        <v>3</v>
      </c>
      <c r="H35" s="450">
        <v>3</v>
      </c>
      <c r="I35" s="450">
        <v>0</v>
      </c>
      <c r="J35" s="451">
        <v>0</v>
      </c>
      <c r="K35" s="449">
        <v>1</v>
      </c>
      <c r="L35" s="450">
        <v>1</v>
      </c>
      <c r="M35" s="450">
        <v>0</v>
      </c>
      <c r="N35" s="451">
        <v>0</v>
      </c>
      <c r="O35" s="449">
        <v>0</v>
      </c>
      <c r="P35" s="450">
        <v>0</v>
      </c>
      <c r="Q35" s="450">
        <v>3</v>
      </c>
      <c r="R35" s="451">
        <v>0</v>
      </c>
      <c r="S35" s="449">
        <v>3</v>
      </c>
      <c r="T35" s="1089">
        <v>0</v>
      </c>
      <c r="U35" s="1073">
        <v>5</v>
      </c>
      <c r="V35" s="1082">
        <v>0</v>
      </c>
      <c r="W35" s="455">
        <f t="shared" si="2"/>
        <v>33</v>
      </c>
      <c r="X35" s="452" t="str">
        <f>IF(ISBLANK(C35),"",IF(RANK(Y35,$Y$34:$Y$35)&lt;2,"edasi "&amp;RANK(W35,$AA$28:$AA$35),RANK(W35,$Z$28:$Z$35)+4))</f>
        <v>edasi 1</v>
      </c>
      <c r="Y35" s="457">
        <f>IF(COUNTA(C35:V35)=0,0,W35+IF(RANK(W35,$W$34:$W$35)=1,100,0))</f>
        <v>133</v>
      </c>
      <c r="Z35" s="454"/>
      <c r="AA35" s="454"/>
    </row>
    <row r="36" spans="1:27" ht="14.25" thickTop="1" thickBot="1" x14ac:dyDescent="0.25">
      <c r="A36" s="478"/>
      <c r="B36" s="479" t="s">
        <v>779</v>
      </c>
      <c r="C36" s="449"/>
      <c r="D36" s="450"/>
      <c r="E36" s="1067"/>
      <c r="F36" s="451"/>
      <c r="G36" s="449"/>
      <c r="H36" s="450"/>
      <c r="I36" s="450"/>
      <c r="J36" s="451"/>
      <c r="K36" s="449"/>
      <c r="L36" s="1059"/>
      <c r="M36" s="450"/>
      <c r="N36" s="451"/>
      <c r="O36" s="449"/>
      <c r="P36" s="450"/>
      <c r="Q36" s="450"/>
      <c r="R36" s="451"/>
      <c r="S36" s="1061"/>
      <c r="T36" s="450"/>
      <c r="U36" s="1067"/>
      <c r="V36" s="1060"/>
      <c r="W36" s="452"/>
      <c r="X36" s="452"/>
    </row>
    <row r="37" spans="1:27" ht="14.25" thickTop="1" thickBot="1" x14ac:dyDescent="0.25">
      <c r="A37" s="834">
        <v>1</v>
      </c>
      <c r="B37" s="840" t="s">
        <v>36</v>
      </c>
      <c r="C37" s="836">
        <v>3</v>
      </c>
      <c r="D37" s="837">
        <v>1</v>
      </c>
      <c r="E37" s="837">
        <v>1</v>
      </c>
      <c r="F37" s="838">
        <v>0</v>
      </c>
      <c r="G37" s="836">
        <v>0</v>
      </c>
      <c r="H37" s="837">
        <v>1</v>
      </c>
      <c r="I37" s="837">
        <v>3</v>
      </c>
      <c r="J37" s="838">
        <v>3</v>
      </c>
      <c r="K37" s="1078">
        <v>1</v>
      </c>
      <c r="L37" s="1072">
        <v>5</v>
      </c>
      <c r="M37" s="1051">
        <v>0</v>
      </c>
      <c r="N37" s="838">
        <v>0</v>
      </c>
      <c r="O37" s="836">
        <v>3</v>
      </c>
      <c r="P37" s="837">
        <v>3</v>
      </c>
      <c r="Q37" s="837">
        <v>0</v>
      </c>
      <c r="R37" s="838">
        <v>1</v>
      </c>
      <c r="S37" s="1072">
        <v>5</v>
      </c>
      <c r="T37" s="1051">
        <v>0</v>
      </c>
      <c r="U37" s="838">
        <v>0</v>
      </c>
      <c r="V37" s="1072">
        <v>5</v>
      </c>
      <c r="W37" s="1050">
        <f>SUM(C37:V37)</f>
        <v>35</v>
      </c>
      <c r="X37" s="839" t="str">
        <f>IF(COUNTA(C37:V37)=0,"",IF(W37=W38,"ümbervisk",IF(W37&gt;W38,"finaali "&amp;(IF(W37&lt;MAX(W39:W40),2,IF(W37=MAX(W39:W40),"",1))),"pronksi "&amp;(IF(W37&lt;MIN(W39:W40),2,IF(W37=MIN(W39:W40),"",1))))))</f>
        <v>finaali 2</v>
      </c>
    </row>
    <row r="38" spans="1:27" ht="14.25" thickTop="1" thickBot="1" x14ac:dyDescent="0.25">
      <c r="A38" s="834">
        <v>4</v>
      </c>
      <c r="B38" s="505" t="s">
        <v>553</v>
      </c>
      <c r="C38" s="836">
        <v>3</v>
      </c>
      <c r="D38" s="837">
        <v>0</v>
      </c>
      <c r="E38" s="1083">
        <v>0</v>
      </c>
      <c r="F38" s="838">
        <v>0</v>
      </c>
      <c r="G38" s="1084">
        <v>0</v>
      </c>
      <c r="H38" s="837">
        <v>0</v>
      </c>
      <c r="I38" s="1083">
        <v>0</v>
      </c>
      <c r="J38" s="838">
        <v>0</v>
      </c>
      <c r="K38" s="836">
        <v>1</v>
      </c>
      <c r="L38" s="1090">
        <v>1</v>
      </c>
      <c r="M38" s="837">
        <v>3</v>
      </c>
      <c r="N38" s="838">
        <v>3</v>
      </c>
      <c r="O38" s="836">
        <v>0</v>
      </c>
      <c r="P38" s="837">
        <v>0</v>
      </c>
      <c r="Q38" s="837">
        <v>3</v>
      </c>
      <c r="R38" s="838">
        <v>3</v>
      </c>
      <c r="S38" s="1091">
        <v>0</v>
      </c>
      <c r="T38" s="1083">
        <v>0</v>
      </c>
      <c r="U38" s="838">
        <v>0</v>
      </c>
      <c r="V38" s="1072">
        <v>5</v>
      </c>
      <c r="W38" s="1050">
        <f>SUM(C38:V38)</f>
        <v>22</v>
      </c>
      <c r="X38" s="839" t="str">
        <f>IF(COUNTA(C38:V38)=0,"",IF(W37=W38,"ümbervisk",IF(W38&gt;W37,"finaali "&amp;(IF(W38&lt;MAX(W39:W40),2,IF(W38=MAX(W39:W40),"",1))),"pronksi "&amp;(IF(W38&lt;MIN(W39:W40),2,IF(W38=MIN(W39:W40),"",1))))))</f>
        <v>pronksi 1</v>
      </c>
    </row>
    <row r="39" spans="1:27" ht="14.25" thickTop="1" thickBot="1" x14ac:dyDescent="0.25">
      <c r="A39" s="478">
        <v>2</v>
      </c>
      <c r="B39" s="498" t="s">
        <v>68</v>
      </c>
      <c r="C39" s="449">
        <v>3</v>
      </c>
      <c r="D39" s="451">
        <v>0</v>
      </c>
      <c r="E39" s="1073">
        <v>5</v>
      </c>
      <c r="F39" s="1082">
        <v>0</v>
      </c>
      <c r="G39" s="1073">
        <v>5</v>
      </c>
      <c r="H39" s="1082">
        <v>1</v>
      </c>
      <c r="I39" s="1073">
        <v>5</v>
      </c>
      <c r="J39" s="1082">
        <v>1</v>
      </c>
      <c r="K39" s="449">
        <v>1</v>
      </c>
      <c r="L39" s="450">
        <v>3</v>
      </c>
      <c r="M39" s="450">
        <v>1</v>
      </c>
      <c r="N39" s="451">
        <v>3</v>
      </c>
      <c r="O39" s="449">
        <v>3</v>
      </c>
      <c r="P39" s="450">
        <v>0</v>
      </c>
      <c r="Q39" s="450">
        <v>0</v>
      </c>
      <c r="R39" s="451">
        <v>0</v>
      </c>
      <c r="S39" s="1045">
        <v>0</v>
      </c>
      <c r="T39" s="1073">
        <v>5</v>
      </c>
      <c r="U39" s="1052">
        <v>0</v>
      </c>
      <c r="V39" s="1089">
        <v>0</v>
      </c>
      <c r="W39" s="455">
        <f>SUM(C39:V39)</f>
        <v>36</v>
      </c>
      <c r="X39" s="452" t="str">
        <f>IF(COUNTA(C39:V39)=0,"",IF(W39=W40,"ümbervisk",IF(W39&gt;W40,"finaali "&amp;(IF(W39&lt;MAX(W37:W38),2,IF(W39=MAX(W37:W38),"",1))),"pronksi "&amp;(IF(W39&lt;MIN(W37:W38),2,IF(W39=MIN(W37:W38),"",1))))))</f>
        <v>finaali 1</v>
      </c>
    </row>
    <row r="40" spans="1:27" ht="13.5" thickTop="1" x14ac:dyDescent="0.2">
      <c r="A40" s="478">
        <v>3</v>
      </c>
      <c r="B40" s="498" t="s">
        <v>33</v>
      </c>
      <c r="C40" s="449">
        <v>3</v>
      </c>
      <c r="D40" s="450">
        <v>0</v>
      </c>
      <c r="E40" s="1067">
        <v>0</v>
      </c>
      <c r="F40" s="451">
        <v>0</v>
      </c>
      <c r="G40" s="1087">
        <v>0</v>
      </c>
      <c r="H40" s="450">
        <v>1</v>
      </c>
      <c r="I40" s="1067">
        <v>1</v>
      </c>
      <c r="J40" s="451">
        <v>0</v>
      </c>
      <c r="K40" s="449">
        <v>1</v>
      </c>
      <c r="L40" s="450">
        <v>0</v>
      </c>
      <c r="M40" s="450">
        <v>0</v>
      </c>
      <c r="N40" s="451">
        <v>0</v>
      </c>
      <c r="O40" s="449">
        <v>0</v>
      </c>
      <c r="P40" s="450">
        <v>0</v>
      </c>
      <c r="Q40" s="450">
        <v>0</v>
      </c>
      <c r="R40" s="451">
        <v>0</v>
      </c>
      <c r="S40" s="449">
        <v>0</v>
      </c>
      <c r="T40" s="1067">
        <v>0</v>
      </c>
      <c r="U40" s="450">
        <v>3</v>
      </c>
      <c r="V40" s="451">
        <v>0</v>
      </c>
      <c r="W40" s="455">
        <f>SUM(C40:V40)</f>
        <v>9</v>
      </c>
      <c r="X40" s="452" t="str">
        <f>IF(COUNTA(C40:V40)=0,"",IF(W39=W40,"ümbervisk",IF(W40&gt;W39,"finaali "&amp;(IF(W40&lt;MAX(W37:W38),2,IF(W40=MAX(W37:W38),"",1))),"pronksi "&amp;(IF(W40&lt;MIN(W37:W38),2,IF(W40=MIN(W37:W38),"",1))))))</f>
        <v>pronksi 2</v>
      </c>
    </row>
    <row r="41" spans="1:27" x14ac:dyDescent="0.2">
      <c r="A41" s="478"/>
      <c r="B41" s="480" t="s">
        <v>780</v>
      </c>
      <c r="C41" s="449"/>
      <c r="D41" s="450"/>
      <c r="E41" s="450"/>
      <c r="F41" s="451"/>
      <c r="G41" s="449"/>
      <c r="H41" s="450"/>
      <c r="I41" s="450"/>
      <c r="J41" s="451"/>
      <c r="K41" s="449"/>
      <c r="L41" s="450"/>
      <c r="M41" s="450"/>
      <c r="N41" s="451"/>
      <c r="O41" s="449"/>
      <c r="P41" s="450"/>
      <c r="Q41" s="450"/>
      <c r="R41" s="451"/>
      <c r="S41" s="449"/>
      <c r="T41" s="450"/>
      <c r="U41" s="450"/>
      <c r="V41" s="451"/>
      <c r="W41" s="455"/>
      <c r="X41" s="452"/>
    </row>
    <row r="42" spans="1:27" ht="13.5" thickBot="1" x14ac:dyDescent="0.25">
      <c r="A42" s="478"/>
      <c r="B42" s="500" t="s">
        <v>553</v>
      </c>
      <c r="C42" s="449">
        <v>0</v>
      </c>
      <c r="D42" s="450">
        <v>0</v>
      </c>
      <c r="E42" s="450">
        <v>0</v>
      </c>
      <c r="F42" s="451">
        <v>0</v>
      </c>
      <c r="G42" s="449">
        <v>0</v>
      </c>
      <c r="H42" s="450">
        <v>0</v>
      </c>
      <c r="I42" s="450">
        <v>0</v>
      </c>
      <c r="J42" s="451">
        <v>3</v>
      </c>
      <c r="K42" s="449">
        <v>0</v>
      </c>
      <c r="L42" s="450">
        <v>3</v>
      </c>
      <c r="M42" s="450">
        <v>0</v>
      </c>
      <c r="N42" s="451">
        <v>1</v>
      </c>
      <c r="O42" s="449">
        <v>0</v>
      </c>
      <c r="P42" s="1059">
        <v>0</v>
      </c>
      <c r="Q42" s="450">
        <v>0</v>
      </c>
      <c r="R42" s="451">
        <v>0</v>
      </c>
      <c r="S42" s="449">
        <v>0</v>
      </c>
      <c r="T42" s="450">
        <v>0</v>
      </c>
      <c r="U42" s="450">
        <v>3</v>
      </c>
      <c r="V42" s="451">
        <v>0</v>
      </c>
      <c r="W42" s="455">
        <f>SUM(C42:V42)</f>
        <v>10</v>
      </c>
      <c r="X42" s="460">
        <f ca="1">IF( INDIRECT("RC[-1]",0)=MAX(( INDIRECT("R[-1]C[-1]",0)):( INDIRECT("R[1]C[-1]",0))),3,4)</f>
        <v>4</v>
      </c>
    </row>
    <row r="43" spans="1:27" ht="14.25" thickTop="1" thickBot="1" x14ac:dyDescent="0.25">
      <c r="A43" s="478"/>
      <c r="B43" s="498" t="s">
        <v>33</v>
      </c>
      <c r="C43" s="449">
        <v>3</v>
      </c>
      <c r="D43" s="450">
        <v>3</v>
      </c>
      <c r="E43" s="450">
        <v>3</v>
      </c>
      <c r="F43" s="451">
        <v>0</v>
      </c>
      <c r="G43" s="449">
        <v>0</v>
      </c>
      <c r="H43" s="450">
        <v>0</v>
      </c>
      <c r="I43" s="450">
        <v>0</v>
      </c>
      <c r="J43" s="481">
        <v>0</v>
      </c>
      <c r="K43" s="449">
        <v>1</v>
      </c>
      <c r="L43" s="450">
        <v>3</v>
      </c>
      <c r="M43" s="450">
        <v>0</v>
      </c>
      <c r="N43" s="451">
        <v>0</v>
      </c>
      <c r="O43" s="1045">
        <v>1</v>
      </c>
      <c r="P43" s="1073">
        <v>5</v>
      </c>
      <c r="Q43" s="1052">
        <v>0</v>
      </c>
      <c r="R43" s="451">
        <v>0</v>
      </c>
      <c r="S43" s="449">
        <v>0</v>
      </c>
      <c r="T43" s="450">
        <v>0</v>
      </c>
      <c r="U43" s="450">
        <v>0</v>
      </c>
      <c r="V43" s="451">
        <v>0</v>
      </c>
      <c r="W43" s="455">
        <f>SUM(C43:V43)</f>
        <v>19</v>
      </c>
      <c r="X43" s="460">
        <f ca="1">IF( INDIRECT("RC[-1]",0)=MAX(( INDIRECT("R[-1]C[-1]",0)):( INDIRECT("R[1]C[-1]",0))),3,4)</f>
        <v>3</v>
      </c>
    </row>
    <row r="44" spans="1:27" ht="14.25" thickTop="1" thickBot="1" x14ac:dyDescent="0.25">
      <c r="A44" s="478"/>
      <c r="B44" s="480" t="s">
        <v>781</v>
      </c>
      <c r="C44" s="449"/>
      <c r="D44" s="450"/>
      <c r="E44" s="450"/>
      <c r="F44" s="451"/>
      <c r="G44" s="449"/>
      <c r="H44" s="450"/>
      <c r="I44" s="450"/>
      <c r="J44" s="451"/>
      <c r="K44" s="1061"/>
      <c r="L44" s="450"/>
      <c r="M44" s="450"/>
      <c r="N44" s="451"/>
      <c r="O44" s="449"/>
      <c r="P44" s="1067"/>
      <c r="Q44" s="450"/>
      <c r="R44" s="451"/>
      <c r="S44" s="1061"/>
      <c r="T44" s="450"/>
      <c r="U44" s="450"/>
      <c r="V44" s="451"/>
      <c r="W44" s="455"/>
      <c r="X44" s="452"/>
    </row>
    <row r="45" spans="1:27" ht="14.25" thickTop="1" thickBot="1" x14ac:dyDescent="0.25">
      <c r="A45" s="478"/>
      <c r="B45" s="498" t="s">
        <v>36</v>
      </c>
      <c r="C45" s="449">
        <v>3</v>
      </c>
      <c r="D45" s="450">
        <v>0</v>
      </c>
      <c r="E45" s="450">
        <v>3</v>
      </c>
      <c r="F45" s="451">
        <v>3</v>
      </c>
      <c r="G45" s="449">
        <v>0</v>
      </c>
      <c r="H45" s="450">
        <v>3</v>
      </c>
      <c r="I45" s="450">
        <v>3</v>
      </c>
      <c r="J45" s="451">
        <v>0</v>
      </c>
      <c r="K45" s="1073">
        <v>5</v>
      </c>
      <c r="L45" s="1052">
        <v>3</v>
      </c>
      <c r="M45" s="450">
        <v>0</v>
      </c>
      <c r="N45" s="451">
        <v>0</v>
      </c>
      <c r="O45" s="449">
        <v>3</v>
      </c>
      <c r="P45" s="450">
        <v>3</v>
      </c>
      <c r="Q45" s="450">
        <v>0</v>
      </c>
      <c r="R45" s="451">
        <v>0</v>
      </c>
      <c r="S45" s="1073">
        <v>5</v>
      </c>
      <c r="T45" s="1052">
        <v>3</v>
      </c>
      <c r="U45" s="450">
        <v>0</v>
      </c>
      <c r="V45" s="451">
        <v>0</v>
      </c>
      <c r="W45" s="455">
        <f>SUM(C45:V45)</f>
        <v>37</v>
      </c>
      <c r="X45" s="460">
        <f ca="1">IF( INDIRECT("RC[-1]",0)=MAX(( INDIRECT("R[-1]C[-1]",0)):( INDIRECT("R[1]C[-1]",0))),1,2)</f>
        <v>1</v>
      </c>
    </row>
    <row r="46" spans="1:27" ht="14.25" thickTop="1" thickBot="1" x14ac:dyDescent="0.25">
      <c r="A46" s="482"/>
      <c r="B46" s="499" t="s">
        <v>68</v>
      </c>
      <c r="C46" s="461">
        <v>3</v>
      </c>
      <c r="D46" s="462">
        <v>0</v>
      </c>
      <c r="E46" s="462">
        <v>3</v>
      </c>
      <c r="F46" s="463">
        <v>0</v>
      </c>
      <c r="G46" s="461">
        <v>0</v>
      </c>
      <c r="H46" s="462">
        <v>0</v>
      </c>
      <c r="I46" s="462">
        <v>0</v>
      </c>
      <c r="J46" s="463">
        <v>0</v>
      </c>
      <c r="K46" s="1092">
        <v>0</v>
      </c>
      <c r="L46" s="462">
        <v>0</v>
      </c>
      <c r="M46" s="462">
        <v>1</v>
      </c>
      <c r="N46" s="463">
        <v>1</v>
      </c>
      <c r="O46" s="461">
        <v>0</v>
      </c>
      <c r="P46" s="462">
        <v>0</v>
      </c>
      <c r="Q46" s="462">
        <v>0</v>
      </c>
      <c r="R46" s="463">
        <v>0</v>
      </c>
      <c r="S46" s="1073">
        <v>5</v>
      </c>
      <c r="T46" s="1054">
        <v>3</v>
      </c>
      <c r="U46" s="462">
        <v>0</v>
      </c>
      <c r="V46" s="463">
        <v>0</v>
      </c>
      <c r="W46" s="464">
        <f>SUM(C46:V46)</f>
        <v>16</v>
      </c>
      <c r="X46" s="465">
        <f ca="1">IF( INDIRECT("RC[-1]",0)=MAX(( INDIRECT("R[-1]C[-1]",0)):( INDIRECT("R[1]C[-1]",0))),1,2)</f>
        <v>2</v>
      </c>
    </row>
    <row r="47" spans="1:27" x14ac:dyDescent="0.2">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row>
    <row r="48" spans="1:27" x14ac:dyDescent="0.2">
      <c r="A48" s="483">
        <v>1</v>
      </c>
      <c r="B48" s="508" t="s">
        <v>36</v>
      </c>
      <c r="C48" s="477"/>
      <c r="D48" s="477"/>
      <c r="E48" s="477"/>
      <c r="F48" s="477"/>
      <c r="G48" s="483">
        <v>11</v>
      </c>
      <c r="H48" s="841" t="s">
        <v>80</v>
      </c>
      <c r="I48" s="842"/>
      <c r="J48" s="842"/>
      <c r="K48" s="842"/>
      <c r="L48" s="842"/>
      <c r="M48" s="842"/>
      <c r="N48" s="843"/>
      <c r="O48" s="477"/>
      <c r="P48" s="477"/>
      <c r="Q48" s="477"/>
      <c r="R48" s="477"/>
      <c r="S48" s="477"/>
      <c r="T48" s="477"/>
      <c r="U48" s="477"/>
      <c r="V48" s="477"/>
      <c r="W48" s="477"/>
      <c r="X48" s="477"/>
    </row>
    <row r="49" spans="1:24" x14ac:dyDescent="0.2">
      <c r="A49" s="483">
        <v>2</v>
      </c>
      <c r="B49" s="484" t="s">
        <v>68</v>
      </c>
      <c r="C49" s="477"/>
      <c r="D49" s="477"/>
      <c r="E49" s="477"/>
      <c r="F49" s="477"/>
      <c r="G49" s="483">
        <v>12</v>
      </c>
      <c r="H49" s="844" t="s">
        <v>345</v>
      </c>
      <c r="I49" s="842"/>
      <c r="J49" s="842"/>
      <c r="K49" s="842"/>
      <c r="L49" s="842"/>
      <c r="M49" s="842"/>
      <c r="N49" s="843"/>
      <c r="O49" s="477"/>
      <c r="P49" s="477"/>
      <c r="Q49" s="477"/>
      <c r="R49" s="477"/>
      <c r="S49" s="477"/>
      <c r="T49" s="477"/>
      <c r="U49" s="477"/>
      <c r="V49" s="477"/>
      <c r="W49" s="477"/>
      <c r="X49" s="477"/>
    </row>
    <row r="50" spans="1:24" x14ac:dyDescent="0.2">
      <c r="A50" s="483">
        <v>3</v>
      </c>
      <c r="B50" s="485" t="s">
        <v>33</v>
      </c>
      <c r="C50" s="477"/>
      <c r="D50" s="477"/>
      <c r="E50" s="477"/>
      <c r="F50" s="477"/>
      <c r="G50" s="483">
        <v>13</v>
      </c>
      <c r="H50" s="844" t="s">
        <v>47</v>
      </c>
      <c r="I50" s="842"/>
      <c r="J50" s="842"/>
      <c r="K50" s="842"/>
      <c r="L50" s="842"/>
      <c r="M50" s="842"/>
      <c r="N50" s="843"/>
      <c r="O50" s="477"/>
      <c r="P50" s="477"/>
      <c r="Q50" s="477"/>
      <c r="R50" s="477"/>
      <c r="S50" s="477"/>
      <c r="T50" s="477"/>
      <c r="U50" s="477"/>
      <c r="V50" s="477"/>
      <c r="W50" s="477"/>
      <c r="X50" s="477"/>
    </row>
    <row r="51" spans="1:24" x14ac:dyDescent="0.2">
      <c r="A51" s="483">
        <v>4</v>
      </c>
      <c r="B51" s="486" t="s">
        <v>553</v>
      </c>
      <c r="C51" s="477"/>
      <c r="D51" s="477"/>
      <c r="E51" s="477"/>
      <c r="F51" s="477"/>
      <c r="G51" s="483">
        <v>13</v>
      </c>
      <c r="H51" s="841" t="s">
        <v>41</v>
      </c>
      <c r="I51" s="842"/>
      <c r="J51" s="842"/>
      <c r="K51" s="842"/>
      <c r="L51" s="842"/>
      <c r="M51" s="842"/>
      <c r="N51" s="843"/>
      <c r="O51" s="477"/>
      <c r="P51" s="477"/>
      <c r="Q51" s="477"/>
      <c r="R51" s="477"/>
      <c r="S51" s="477"/>
      <c r="T51" s="477"/>
      <c r="U51" s="477"/>
      <c r="V51" s="477"/>
      <c r="W51" s="477"/>
      <c r="X51" s="477"/>
    </row>
    <row r="52" spans="1:24" x14ac:dyDescent="0.2">
      <c r="A52" s="483">
        <v>5</v>
      </c>
      <c r="B52" s="487" t="s">
        <v>519</v>
      </c>
      <c r="C52" s="477"/>
      <c r="D52" s="477"/>
      <c r="E52" s="477"/>
      <c r="F52" s="477"/>
      <c r="G52" s="483">
        <v>15</v>
      </c>
      <c r="H52" s="845" t="s">
        <v>51</v>
      </c>
      <c r="I52" s="842"/>
      <c r="J52" s="842"/>
      <c r="K52" s="842"/>
      <c r="L52" s="842"/>
      <c r="M52" s="842"/>
      <c r="N52" s="843"/>
      <c r="O52" s="477"/>
      <c r="P52" s="477"/>
      <c r="Q52" s="477"/>
      <c r="R52" s="477"/>
      <c r="S52" s="477"/>
      <c r="T52" s="477"/>
      <c r="U52" s="477"/>
      <c r="V52" s="477"/>
      <c r="W52" s="477"/>
      <c r="X52" s="477"/>
    </row>
    <row r="53" spans="1:24" x14ac:dyDescent="0.2">
      <c r="A53" s="483">
        <v>6</v>
      </c>
      <c r="B53" s="466" t="s">
        <v>71</v>
      </c>
      <c r="C53" s="477"/>
      <c r="D53" s="477"/>
      <c r="E53" s="477"/>
      <c r="F53" s="477"/>
      <c r="G53" s="483">
        <v>15</v>
      </c>
      <c r="H53" s="841" t="s">
        <v>62</v>
      </c>
      <c r="I53" s="842"/>
      <c r="J53" s="842"/>
      <c r="K53" s="842"/>
      <c r="L53" s="842"/>
      <c r="M53" s="842"/>
      <c r="N53" s="843"/>
      <c r="O53" s="477"/>
      <c r="P53" s="477"/>
      <c r="Q53" s="477"/>
      <c r="R53" s="477"/>
      <c r="S53" s="477"/>
      <c r="T53" s="477"/>
      <c r="U53" s="477"/>
      <c r="V53" s="477"/>
      <c r="W53" s="477"/>
      <c r="X53" s="477"/>
    </row>
    <row r="54" spans="1:24" x14ac:dyDescent="0.2">
      <c r="A54" s="483">
        <v>7</v>
      </c>
      <c r="B54" s="486" t="s">
        <v>38</v>
      </c>
      <c r="C54" s="477"/>
      <c r="D54" s="477"/>
      <c r="E54" s="477"/>
      <c r="F54" s="477"/>
      <c r="G54" s="483">
        <v>17</v>
      </c>
      <c r="H54" s="841" t="s">
        <v>90</v>
      </c>
      <c r="I54" s="842"/>
      <c r="J54" s="842"/>
      <c r="K54" s="842"/>
      <c r="L54" s="842"/>
      <c r="M54" s="842"/>
      <c r="N54" s="843"/>
      <c r="O54" s="477"/>
      <c r="P54" s="477"/>
      <c r="Q54" s="477"/>
      <c r="R54" s="477"/>
      <c r="S54" s="477"/>
      <c r="T54" s="477"/>
      <c r="U54" s="477"/>
      <c r="V54" s="477"/>
      <c r="W54" s="477"/>
      <c r="X54" s="477"/>
    </row>
    <row r="55" spans="1:24" x14ac:dyDescent="0.2">
      <c r="A55" s="483">
        <v>8</v>
      </c>
      <c r="B55" s="466" t="s">
        <v>84</v>
      </c>
      <c r="C55" s="477"/>
      <c r="D55" s="477"/>
      <c r="E55" s="477"/>
      <c r="F55" s="477"/>
      <c r="G55" s="483">
        <v>18</v>
      </c>
      <c r="H55" s="845" t="s">
        <v>49</v>
      </c>
      <c r="I55" s="842"/>
      <c r="J55" s="842"/>
      <c r="K55" s="842"/>
      <c r="L55" s="842"/>
      <c r="M55" s="842"/>
      <c r="N55" s="843"/>
      <c r="O55" s="477"/>
      <c r="P55" s="477"/>
      <c r="Q55" s="477"/>
      <c r="R55" s="477"/>
      <c r="S55" s="477"/>
      <c r="T55" s="477"/>
      <c r="U55" s="477"/>
      <c r="V55" s="477"/>
      <c r="W55" s="477"/>
      <c r="X55" s="477"/>
    </row>
    <row r="56" spans="1:24" x14ac:dyDescent="0.2">
      <c r="A56" s="483">
        <v>9</v>
      </c>
      <c r="B56" s="466" t="s">
        <v>44</v>
      </c>
      <c r="C56" s="477"/>
      <c r="D56" s="477"/>
      <c r="E56" s="477"/>
      <c r="F56" s="477"/>
      <c r="G56" s="477"/>
      <c r="H56" s="477"/>
      <c r="I56" s="477"/>
      <c r="J56" s="477"/>
      <c r="K56" s="477"/>
      <c r="L56" s="477"/>
      <c r="M56" s="477"/>
      <c r="N56" s="477"/>
      <c r="O56" s="477"/>
      <c r="P56" s="477"/>
      <c r="Q56" s="477"/>
      <c r="R56" s="477"/>
      <c r="S56" s="477"/>
      <c r="T56" s="477"/>
      <c r="U56" s="477"/>
      <c r="V56" s="477"/>
      <c r="W56" s="477"/>
      <c r="X56" s="477"/>
    </row>
    <row r="57" spans="1:24" x14ac:dyDescent="0.2">
      <c r="A57" s="483">
        <v>10</v>
      </c>
      <c r="B57" s="486" t="s">
        <v>40</v>
      </c>
      <c r="C57" s="477"/>
      <c r="D57" s="477"/>
      <c r="E57" s="477"/>
      <c r="F57" s="477"/>
      <c r="G57" s="477"/>
      <c r="H57" s="477"/>
      <c r="I57" s="477"/>
      <c r="J57" s="477"/>
      <c r="K57" s="477"/>
      <c r="L57" s="477"/>
      <c r="M57" s="477"/>
      <c r="N57" s="477"/>
      <c r="O57" s="477"/>
      <c r="P57" s="477"/>
      <c r="Q57" s="477"/>
      <c r="R57" s="477"/>
      <c r="S57" s="477"/>
      <c r="T57" s="477"/>
      <c r="U57" s="477"/>
      <c r="V57" s="477"/>
      <c r="W57" s="477"/>
      <c r="X57" s="477"/>
    </row>
    <row r="58" spans="1:24" x14ac:dyDescent="0.2">
      <c r="C58" s="477"/>
      <c r="D58" s="477"/>
      <c r="E58" s="477"/>
      <c r="F58" s="477"/>
      <c r="G58" s="477"/>
      <c r="H58" s="477"/>
      <c r="I58" s="477"/>
      <c r="J58" s="477"/>
      <c r="K58" s="477"/>
      <c r="L58" s="477"/>
      <c r="M58" s="477"/>
      <c r="N58" s="477"/>
      <c r="O58" s="477"/>
      <c r="P58" s="477"/>
      <c r="Q58" s="477"/>
      <c r="R58" s="477"/>
      <c r="S58" s="477"/>
      <c r="T58" s="477"/>
      <c r="U58" s="477"/>
      <c r="V58" s="477"/>
      <c r="W58" s="477"/>
      <c r="X58" s="477"/>
    </row>
    <row r="59" spans="1:24" x14ac:dyDescent="0.2">
      <c r="C59" s="477"/>
      <c r="D59" s="477"/>
      <c r="E59" s="477"/>
      <c r="F59" s="477"/>
      <c r="G59" s="477"/>
      <c r="H59" s="477"/>
      <c r="I59" s="477"/>
      <c r="J59" s="477"/>
      <c r="K59" s="477"/>
      <c r="L59" s="477"/>
      <c r="M59" s="477"/>
      <c r="N59" s="477"/>
      <c r="O59" s="477"/>
      <c r="P59" s="477"/>
      <c r="Q59" s="477"/>
      <c r="R59" s="477"/>
      <c r="S59" s="477"/>
      <c r="T59" s="477"/>
      <c r="U59" s="477"/>
      <c r="V59" s="477"/>
      <c r="W59" s="477"/>
      <c r="X59" s="477"/>
    </row>
    <row r="60" spans="1:24" x14ac:dyDescent="0.2">
      <c r="C60" s="477"/>
      <c r="D60" s="477"/>
      <c r="E60" s="477"/>
      <c r="F60" s="477"/>
      <c r="G60" s="477"/>
      <c r="H60" s="477"/>
      <c r="I60" s="477"/>
      <c r="J60" s="477"/>
      <c r="K60" s="477"/>
      <c r="L60" s="477"/>
      <c r="M60" s="477"/>
      <c r="N60" s="477"/>
      <c r="O60" s="477"/>
      <c r="P60" s="477"/>
      <c r="Q60" s="477"/>
      <c r="R60" s="477"/>
      <c r="S60" s="477"/>
      <c r="T60" s="477"/>
      <c r="U60" s="477"/>
      <c r="V60" s="477"/>
      <c r="W60" s="477"/>
      <c r="X60" s="477"/>
    </row>
    <row r="61" spans="1:24" x14ac:dyDescent="0.2">
      <c r="C61" s="477"/>
      <c r="D61" s="477"/>
      <c r="E61" s="477"/>
      <c r="F61" s="477"/>
      <c r="G61" s="477"/>
      <c r="H61" s="477"/>
      <c r="I61" s="477"/>
      <c r="J61" s="477"/>
      <c r="K61" s="477"/>
      <c r="L61" s="477"/>
      <c r="M61" s="477"/>
      <c r="N61" s="477"/>
      <c r="O61" s="477"/>
      <c r="P61" s="477"/>
      <c r="Q61" s="477"/>
      <c r="R61" s="477"/>
      <c r="S61" s="477"/>
      <c r="T61" s="477"/>
      <c r="U61" s="477"/>
      <c r="V61" s="477"/>
      <c r="W61" s="477"/>
      <c r="X61" s="477"/>
    </row>
    <row r="62" spans="1:24" x14ac:dyDescent="0.2">
      <c r="C62" s="477"/>
      <c r="D62" s="477"/>
      <c r="E62" s="477"/>
      <c r="F62" s="477"/>
      <c r="G62" s="477"/>
      <c r="H62" s="477"/>
      <c r="I62" s="477"/>
      <c r="J62" s="477"/>
      <c r="K62" s="477"/>
      <c r="L62" s="477"/>
      <c r="M62" s="477"/>
      <c r="N62" s="477"/>
      <c r="O62" s="477"/>
      <c r="P62" s="477"/>
      <c r="Q62" s="477"/>
      <c r="R62" s="477"/>
      <c r="S62" s="477"/>
      <c r="T62" s="477"/>
      <c r="U62" s="477"/>
      <c r="V62" s="477"/>
      <c r="W62" s="477"/>
      <c r="X62" s="477"/>
    </row>
    <row r="63" spans="1:24" x14ac:dyDescent="0.2">
      <c r="C63" s="477"/>
      <c r="D63" s="477"/>
      <c r="E63" s="477"/>
      <c r="F63" s="477"/>
      <c r="G63" s="477"/>
      <c r="H63" s="477"/>
      <c r="I63" s="477"/>
      <c r="J63" s="477"/>
      <c r="K63" s="477"/>
      <c r="L63" s="477"/>
      <c r="M63" s="477"/>
      <c r="N63" s="477"/>
      <c r="O63" s="477"/>
      <c r="P63" s="477"/>
      <c r="Q63" s="477"/>
      <c r="R63" s="477"/>
      <c r="S63" s="477"/>
      <c r="T63" s="477"/>
      <c r="U63" s="477"/>
      <c r="V63" s="477"/>
      <c r="W63" s="477"/>
      <c r="X63" s="477"/>
    </row>
    <row r="64" spans="1:24" x14ac:dyDescent="0.2">
      <c r="C64" s="477"/>
      <c r="D64" s="477"/>
      <c r="E64" s="477"/>
      <c r="F64" s="477"/>
      <c r="G64" s="477"/>
      <c r="H64" s="477"/>
      <c r="I64" s="477"/>
      <c r="J64" s="477"/>
      <c r="K64" s="477"/>
      <c r="L64" s="477"/>
      <c r="M64" s="477"/>
      <c r="N64" s="477"/>
      <c r="O64" s="477"/>
      <c r="P64" s="477"/>
      <c r="Q64" s="477"/>
      <c r="R64" s="477"/>
      <c r="S64" s="477"/>
      <c r="T64" s="477"/>
      <c r="U64" s="477"/>
      <c r="V64" s="477"/>
      <c r="W64" s="477"/>
      <c r="X64" s="477"/>
    </row>
  </sheetData>
  <conditionalFormatting sqref="W45:W46">
    <cfRule type="top10" dxfId="224" priority="6" rank="1"/>
  </conditionalFormatting>
  <conditionalFormatting sqref="W28:W29">
    <cfRule type="top10" dxfId="223" priority="13" rank="1"/>
  </conditionalFormatting>
  <conditionalFormatting sqref="W30:W31">
    <cfRule type="top10" dxfId="222" priority="12" rank="1"/>
  </conditionalFormatting>
  <conditionalFormatting sqref="W32:W33">
    <cfRule type="top10" dxfId="221" priority="11" rank="1"/>
  </conditionalFormatting>
  <conditionalFormatting sqref="W34:W35">
    <cfRule type="top10" dxfId="220" priority="10" rank="1"/>
  </conditionalFormatting>
  <conditionalFormatting sqref="W37:W38">
    <cfRule type="top10" dxfId="219" priority="9" rank="1"/>
  </conditionalFormatting>
  <conditionalFormatting sqref="W39:W40">
    <cfRule type="top10" dxfId="218" priority="8" rank="1"/>
  </conditionalFormatting>
  <conditionalFormatting sqref="W42:W43">
    <cfRule type="top10" dxfId="217" priority="7" rank="1"/>
  </conditionalFormatting>
  <conditionalFormatting sqref="X9:X26">
    <cfRule type="duplicateValues" dxfId="216" priority="4"/>
    <cfRule type="top10" dxfId="215" priority="5" stopIfTrue="1" rank="100"/>
  </conditionalFormatting>
  <conditionalFormatting sqref="B9:B26">
    <cfRule type="duplicateValues" dxfId="214" priority="3" stopIfTrue="1"/>
  </conditionalFormatting>
  <conditionalFormatting sqref="B48:B57 H48:H55">
    <cfRule type="duplicateValues" dxfId="213" priority="2" stopIfTrue="1"/>
  </conditionalFormatting>
  <conditionalFormatting sqref="X37:X40">
    <cfRule type="duplicateValues" dxfId="212" priority="14"/>
  </conditionalFormatting>
  <conditionalFormatting sqref="X28:X35">
    <cfRule type="duplicateValues" dxfId="211" priority="15"/>
    <cfRule type="top10" dxfId="210" priority="16" stopIfTrue="1" rank="4"/>
  </conditionalFormatting>
  <conditionalFormatting sqref="W9:W46">
    <cfRule type="top10" dxfId="209" priority="17" rank="1"/>
  </conditionalFormatting>
  <pageMargins left="0.78740157480314965" right="0.39370078740157483" top="0.51181102362204722" bottom="0.31496062992125984" header="0.31496062992125984" footer="0"/>
  <pageSetup paperSize="9" fitToHeight="0" orientation="portrait" r:id="rId1"/>
  <headerFooter alignWithMargins="0">
    <oddHeader>&amp;R&amp;"Arial,Regular"&amp;9Page &amp;P of &amp;N</oddHead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A39"/>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447" customWidth="1"/>
    <col min="2" max="2" width="18.28515625" style="447" customWidth="1"/>
    <col min="3" max="22" width="2.85546875" style="447" customWidth="1"/>
    <col min="23" max="23" width="3" style="447" bestFit="1" customWidth="1"/>
    <col min="24" max="24" width="10.5703125" style="447" bestFit="1" customWidth="1"/>
    <col min="25" max="26" width="4" style="447" hidden="1" customWidth="1"/>
    <col min="27" max="27" width="4.5703125" style="447" hidden="1" customWidth="1"/>
    <col min="28" max="256" width="9.140625" style="447"/>
    <col min="257" max="257" width="3" style="447" customWidth="1"/>
    <col min="258" max="258" width="18.7109375" style="447" customWidth="1"/>
    <col min="259" max="278" width="2.85546875" style="447" customWidth="1"/>
    <col min="279" max="279" width="3" style="447" bestFit="1" customWidth="1"/>
    <col min="280" max="280" width="10.5703125" style="447" bestFit="1" customWidth="1"/>
    <col min="281" max="283" width="0" style="447" hidden="1" customWidth="1"/>
    <col min="284" max="512" width="9.140625" style="447"/>
    <col min="513" max="513" width="3" style="447" customWidth="1"/>
    <col min="514" max="514" width="18.7109375" style="447" customWidth="1"/>
    <col min="515" max="534" width="2.85546875" style="447" customWidth="1"/>
    <col min="535" max="535" width="3" style="447" bestFit="1" customWidth="1"/>
    <col min="536" max="536" width="10.5703125" style="447" bestFit="1" customWidth="1"/>
    <col min="537" max="539" width="0" style="447" hidden="1" customWidth="1"/>
    <col min="540" max="768" width="9.140625" style="447"/>
    <col min="769" max="769" width="3" style="447" customWidth="1"/>
    <col min="770" max="770" width="18.7109375" style="447" customWidth="1"/>
    <col min="771" max="790" width="2.85546875" style="447" customWidth="1"/>
    <col min="791" max="791" width="3" style="447" bestFit="1" customWidth="1"/>
    <col min="792" max="792" width="10.5703125" style="447" bestFit="1" customWidth="1"/>
    <col min="793" max="795" width="0" style="447" hidden="1" customWidth="1"/>
    <col min="796" max="1024" width="9.140625" style="447"/>
    <col min="1025" max="1025" width="3" style="447" customWidth="1"/>
    <col min="1026" max="1026" width="18.7109375" style="447" customWidth="1"/>
    <col min="1027" max="1046" width="2.85546875" style="447" customWidth="1"/>
    <col min="1047" max="1047" width="3" style="447" bestFit="1" customWidth="1"/>
    <col min="1048" max="1048" width="10.5703125" style="447" bestFit="1" customWidth="1"/>
    <col min="1049" max="1051" width="0" style="447" hidden="1" customWidth="1"/>
    <col min="1052" max="1280" width="9.140625" style="447"/>
    <col min="1281" max="1281" width="3" style="447" customWidth="1"/>
    <col min="1282" max="1282" width="18.7109375" style="447" customWidth="1"/>
    <col min="1283" max="1302" width="2.85546875" style="447" customWidth="1"/>
    <col min="1303" max="1303" width="3" style="447" bestFit="1" customWidth="1"/>
    <col min="1304" max="1304" width="10.5703125" style="447" bestFit="1" customWidth="1"/>
    <col min="1305" max="1307" width="0" style="447" hidden="1" customWidth="1"/>
    <col min="1308" max="1536" width="9.140625" style="447"/>
    <col min="1537" max="1537" width="3" style="447" customWidth="1"/>
    <col min="1538" max="1538" width="18.7109375" style="447" customWidth="1"/>
    <col min="1539" max="1558" width="2.85546875" style="447" customWidth="1"/>
    <col min="1559" max="1559" width="3" style="447" bestFit="1" customWidth="1"/>
    <col min="1560" max="1560" width="10.5703125" style="447" bestFit="1" customWidth="1"/>
    <col min="1561" max="1563" width="0" style="447" hidden="1" customWidth="1"/>
    <col min="1564" max="1792" width="9.140625" style="447"/>
    <col min="1793" max="1793" width="3" style="447" customWidth="1"/>
    <col min="1794" max="1794" width="18.7109375" style="447" customWidth="1"/>
    <col min="1795" max="1814" width="2.85546875" style="447" customWidth="1"/>
    <col min="1815" max="1815" width="3" style="447" bestFit="1" customWidth="1"/>
    <col min="1816" max="1816" width="10.5703125" style="447" bestFit="1" customWidth="1"/>
    <col min="1817" max="1819" width="0" style="447" hidden="1" customWidth="1"/>
    <col min="1820" max="2048" width="9.140625" style="447"/>
    <col min="2049" max="2049" width="3" style="447" customWidth="1"/>
    <col min="2050" max="2050" width="18.7109375" style="447" customWidth="1"/>
    <col min="2051" max="2070" width="2.85546875" style="447" customWidth="1"/>
    <col min="2071" max="2071" width="3" style="447" bestFit="1" customWidth="1"/>
    <col min="2072" max="2072" width="10.5703125" style="447" bestFit="1" customWidth="1"/>
    <col min="2073" max="2075" width="0" style="447" hidden="1" customWidth="1"/>
    <col min="2076" max="2304" width="9.140625" style="447"/>
    <col min="2305" max="2305" width="3" style="447" customWidth="1"/>
    <col min="2306" max="2306" width="18.7109375" style="447" customWidth="1"/>
    <col min="2307" max="2326" width="2.85546875" style="447" customWidth="1"/>
    <col min="2327" max="2327" width="3" style="447" bestFit="1" customWidth="1"/>
    <col min="2328" max="2328" width="10.5703125" style="447" bestFit="1" customWidth="1"/>
    <col min="2329" max="2331" width="0" style="447" hidden="1" customWidth="1"/>
    <col min="2332" max="2560" width="9.140625" style="447"/>
    <col min="2561" max="2561" width="3" style="447" customWidth="1"/>
    <col min="2562" max="2562" width="18.7109375" style="447" customWidth="1"/>
    <col min="2563" max="2582" width="2.85546875" style="447" customWidth="1"/>
    <col min="2583" max="2583" width="3" style="447" bestFit="1" customWidth="1"/>
    <col min="2584" max="2584" width="10.5703125" style="447" bestFit="1" customWidth="1"/>
    <col min="2585" max="2587" width="0" style="447" hidden="1" customWidth="1"/>
    <col min="2588" max="2816" width="9.140625" style="447"/>
    <col min="2817" max="2817" width="3" style="447" customWidth="1"/>
    <col min="2818" max="2818" width="18.7109375" style="447" customWidth="1"/>
    <col min="2819" max="2838" width="2.85546875" style="447" customWidth="1"/>
    <col min="2839" max="2839" width="3" style="447" bestFit="1" customWidth="1"/>
    <col min="2840" max="2840" width="10.5703125" style="447" bestFit="1" customWidth="1"/>
    <col min="2841" max="2843" width="0" style="447" hidden="1" customWidth="1"/>
    <col min="2844" max="3072" width="9.140625" style="447"/>
    <col min="3073" max="3073" width="3" style="447" customWidth="1"/>
    <col min="3074" max="3074" width="18.7109375" style="447" customWidth="1"/>
    <col min="3075" max="3094" width="2.85546875" style="447" customWidth="1"/>
    <col min="3095" max="3095" width="3" style="447" bestFit="1" customWidth="1"/>
    <col min="3096" max="3096" width="10.5703125" style="447" bestFit="1" customWidth="1"/>
    <col min="3097" max="3099" width="0" style="447" hidden="1" customWidth="1"/>
    <col min="3100" max="3328" width="9.140625" style="447"/>
    <col min="3329" max="3329" width="3" style="447" customWidth="1"/>
    <col min="3330" max="3330" width="18.7109375" style="447" customWidth="1"/>
    <col min="3331" max="3350" width="2.85546875" style="447" customWidth="1"/>
    <col min="3351" max="3351" width="3" style="447" bestFit="1" customWidth="1"/>
    <col min="3352" max="3352" width="10.5703125" style="447" bestFit="1" customWidth="1"/>
    <col min="3353" max="3355" width="0" style="447" hidden="1" customWidth="1"/>
    <col min="3356" max="3584" width="9.140625" style="447"/>
    <col min="3585" max="3585" width="3" style="447" customWidth="1"/>
    <col min="3586" max="3586" width="18.7109375" style="447" customWidth="1"/>
    <col min="3587" max="3606" width="2.85546875" style="447" customWidth="1"/>
    <col min="3607" max="3607" width="3" style="447" bestFit="1" customWidth="1"/>
    <col min="3608" max="3608" width="10.5703125" style="447" bestFit="1" customWidth="1"/>
    <col min="3609" max="3611" width="0" style="447" hidden="1" customWidth="1"/>
    <col min="3612" max="3840" width="9.140625" style="447"/>
    <col min="3841" max="3841" width="3" style="447" customWidth="1"/>
    <col min="3842" max="3842" width="18.7109375" style="447" customWidth="1"/>
    <col min="3843" max="3862" width="2.85546875" style="447" customWidth="1"/>
    <col min="3863" max="3863" width="3" style="447" bestFit="1" customWidth="1"/>
    <col min="3864" max="3864" width="10.5703125" style="447" bestFit="1" customWidth="1"/>
    <col min="3865" max="3867" width="0" style="447" hidden="1" customWidth="1"/>
    <col min="3868" max="4096" width="9.140625" style="447"/>
    <col min="4097" max="4097" width="3" style="447" customWidth="1"/>
    <col min="4098" max="4098" width="18.7109375" style="447" customWidth="1"/>
    <col min="4099" max="4118" width="2.85546875" style="447" customWidth="1"/>
    <col min="4119" max="4119" width="3" style="447" bestFit="1" customWidth="1"/>
    <col min="4120" max="4120" width="10.5703125" style="447" bestFit="1" customWidth="1"/>
    <col min="4121" max="4123" width="0" style="447" hidden="1" customWidth="1"/>
    <col min="4124" max="4352" width="9.140625" style="447"/>
    <col min="4353" max="4353" width="3" style="447" customWidth="1"/>
    <col min="4354" max="4354" width="18.7109375" style="447" customWidth="1"/>
    <col min="4355" max="4374" width="2.85546875" style="447" customWidth="1"/>
    <col min="4375" max="4375" width="3" style="447" bestFit="1" customWidth="1"/>
    <col min="4376" max="4376" width="10.5703125" style="447" bestFit="1" customWidth="1"/>
    <col min="4377" max="4379" width="0" style="447" hidden="1" customWidth="1"/>
    <col min="4380" max="4608" width="9.140625" style="447"/>
    <col min="4609" max="4609" width="3" style="447" customWidth="1"/>
    <col min="4610" max="4610" width="18.7109375" style="447" customWidth="1"/>
    <col min="4611" max="4630" width="2.85546875" style="447" customWidth="1"/>
    <col min="4631" max="4631" width="3" style="447" bestFit="1" customWidth="1"/>
    <col min="4632" max="4632" width="10.5703125" style="447" bestFit="1" customWidth="1"/>
    <col min="4633" max="4635" width="0" style="447" hidden="1" customWidth="1"/>
    <col min="4636" max="4864" width="9.140625" style="447"/>
    <col min="4865" max="4865" width="3" style="447" customWidth="1"/>
    <col min="4866" max="4866" width="18.7109375" style="447" customWidth="1"/>
    <col min="4867" max="4886" width="2.85546875" style="447" customWidth="1"/>
    <col min="4887" max="4887" width="3" style="447" bestFit="1" customWidth="1"/>
    <col min="4888" max="4888" width="10.5703125" style="447" bestFit="1" customWidth="1"/>
    <col min="4889" max="4891" width="0" style="447" hidden="1" customWidth="1"/>
    <col min="4892" max="5120" width="9.140625" style="447"/>
    <col min="5121" max="5121" width="3" style="447" customWidth="1"/>
    <col min="5122" max="5122" width="18.7109375" style="447" customWidth="1"/>
    <col min="5123" max="5142" width="2.85546875" style="447" customWidth="1"/>
    <col min="5143" max="5143" width="3" style="447" bestFit="1" customWidth="1"/>
    <col min="5144" max="5144" width="10.5703125" style="447" bestFit="1" customWidth="1"/>
    <col min="5145" max="5147" width="0" style="447" hidden="1" customWidth="1"/>
    <col min="5148" max="5376" width="9.140625" style="447"/>
    <col min="5377" max="5377" width="3" style="447" customWidth="1"/>
    <col min="5378" max="5378" width="18.7109375" style="447" customWidth="1"/>
    <col min="5379" max="5398" width="2.85546875" style="447" customWidth="1"/>
    <col min="5399" max="5399" width="3" style="447" bestFit="1" customWidth="1"/>
    <col min="5400" max="5400" width="10.5703125" style="447" bestFit="1" customWidth="1"/>
    <col min="5401" max="5403" width="0" style="447" hidden="1" customWidth="1"/>
    <col min="5404" max="5632" width="9.140625" style="447"/>
    <col min="5633" max="5633" width="3" style="447" customWidth="1"/>
    <col min="5634" max="5634" width="18.7109375" style="447" customWidth="1"/>
    <col min="5635" max="5654" width="2.85546875" style="447" customWidth="1"/>
    <col min="5655" max="5655" width="3" style="447" bestFit="1" customWidth="1"/>
    <col min="5656" max="5656" width="10.5703125" style="447" bestFit="1" customWidth="1"/>
    <col min="5657" max="5659" width="0" style="447" hidden="1" customWidth="1"/>
    <col min="5660" max="5888" width="9.140625" style="447"/>
    <col min="5889" max="5889" width="3" style="447" customWidth="1"/>
    <col min="5890" max="5890" width="18.7109375" style="447" customWidth="1"/>
    <col min="5891" max="5910" width="2.85546875" style="447" customWidth="1"/>
    <col min="5911" max="5911" width="3" style="447" bestFit="1" customWidth="1"/>
    <col min="5912" max="5912" width="10.5703125" style="447" bestFit="1" customWidth="1"/>
    <col min="5913" max="5915" width="0" style="447" hidden="1" customWidth="1"/>
    <col min="5916" max="6144" width="9.140625" style="447"/>
    <col min="6145" max="6145" width="3" style="447" customWidth="1"/>
    <col min="6146" max="6146" width="18.7109375" style="447" customWidth="1"/>
    <col min="6147" max="6166" width="2.85546875" style="447" customWidth="1"/>
    <col min="6167" max="6167" width="3" style="447" bestFit="1" customWidth="1"/>
    <col min="6168" max="6168" width="10.5703125" style="447" bestFit="1" customWidth="1"/>
    <col min="6169" max="6171" width="0" style="447" hidden="1" customWidth="1"/>
    <col min="6172" max="6400" width="9.140625" style="447"/>
    <col min="6401" max="6401" width="3" style="447" customWidth="1"/>
    <col min="6402" max="6402" width="18.7109375" style="447" customWidth="1"/>
    <col min="6403" max="6422" width="2.85546875" style="447" customWidth="1"/>
    <col min="6423" max="6423" width="3" style="447" bestFit="1" customWidth="1"/>
    <col min="6424" max="6424" width="10.5703125" style="447" bestFit="1" customWidth="1"/>
    <col min="6425" max="6427" width="0" style="447" hidden="1" customWidth="1"/>
    <col min="6428" max="6656" width="9.140625" style="447"/>
    <col min="6657" max="6657" width="3" style="447" customWidth="1"/>
    <col min="6658" max="6658" width="18.7109375" style="447" customWidth="1"/>
    <col min="6659" max="6678" width="2.85546875" style="447" customWidth="1"/>
    <col min="6679" max="6679" width="3" style="447" bestFit="1" customWidth="1"/>
    <col min="6680" max="6680" width="10.5703125" style="447" bestFit="1" customWidth="1"/>
    <col min="6681" max="6683" width="0" style="447" hidden="1" customWidth="1"/>
    <col min="6684" max="6912" width="9.140625" style="447"/>
    <col min="6913" max="6913" width="3" style="447" customWidth="1"/>
    <col min="6914" max="6914" width="18.7109375" style="447" customWidth="1"/>
    <col min="6915" max="6934" width="2.85546875" style="447" customWidth="1"/>
    <col min="6935" max="6935" width="3" style="447" bestFit="1" customWidth="1"/>
    <col min="6936" max="6936" width="10.5703125" style="447" bestFit="1" customWidth="1"/>
    <col min="6937" max="6939" width="0" style="447" hidden="1" customWidth="1"/>
    <col min="6940" max="7168" width="9.140625" style="447"/>
    <col min="7169" max="7169" width="3" style="447" customWidth="1"/>
    <col min="7170" max="7170" width="18.7109375" style="447" customWidth="1"/>
    <col min="7171" max="7190" width="2.85546875" style="447" customWidth="1"/>
    <col min="7191" max="7191" width="3" style="447" bestFit="1" customWidth="1"/>
    <col min="7192" max="7192" width="10.5703125" style="447" bestFit="1" customWidth="1"/>
    <col min="7193" max="7195" width="0" style="447" hidden="1" customWidth="1"/>
    <col min="7196" max="7424" width="9.140625" style="447"/>
    <col min="7425" max="7425" width="3" style="447" customWidth="1"/>
    <col min="7426" max="7426" width="18.7109375" style="447" customWidth="1"/>
    <col min="7427" max="7446" width="2.85546875" style="447" customWidth="1"/>
    <col min="7447" max="7447" width="3" style="447" bestFit="1" customWidth="1"/>
    <col min="7448" max="7448" width="10.5703125" style="447" bestFit="1" customWidth="1"/>
    <col min="7449" max="7451" width="0" style="447" hidden="1" customWidth="1"/>
    <col min="7452" max="7680" width="9.140625" style="447"/>
    <col min="7681" max="7681" width="3" style="447" customWidth="1"/>
    <col min="7682" max="7682" width="18.7109375" style="447" customWidth="1"/>
    <col min="7683" max="7702" width="2.85546875" style="447" customWidth="1"/>
    <col min="7703" max="7703" width="3" style="447" bestFit="1" customWidth="1"/>
    <col min="7704" max="7704" width="10.5703125" style="447" bestFit="1" customWidth="1"/>
    <col min="7705" max="7707" width="0" style="447" hidden="1" customWidth="1"/>
    <col min="7708" max="7936" width="9.140625" style="447"/>
    <col min="7937" max="7937" width="3" style="447" customWidth="1"/>
    <col min="7938" max="7938" width="18.7109375" style="447" customWidth="1"/>
    <col min="7939" max="7958" width="2.85546875" style="447" customWidth="1"/>
    <col min="7959" max="7959" width="3" style="447" bestFit="1" customWidth="1"/>
    <col min="7960" max="7960" width="10.5703125" style="447" bestFit="1" customWidth="1"/>
    <col min="7961" max="7963" width="0" style="447" hidden="1" customWidth="1"/>
    <col min="7964" max="8192" width="9.140625" style="447"/>
    <col min="8193" max="8193" width="3" style="447" customWidth="1"/>
    <col min="8194" max="8194" width="18.7109375" style="447" customWidth="1"/>
    <col min="8195" max="8214" width="2.85546875" style="447" customWidth="1"/>
    <col min="8215" max="8215" width="3" style="447" bestFit="1" customWidth="1"/>
    <col min="8216" max="8216" width="10.5703125" style="447" bestFit="1" customWidth="1"/>
    <col min="8217" max="8219" width="0" style="447" hidden="1" customWidth="1"/>
    <col min="8220" max="8448" width="9.140625" style="447"/>
    <col min="8449" max="8449" width="3" style="447" customWidth="1"/>
    <col min="8450" max="8450" width="18.7109375" style="447" customWidth="1"/>
    <col min="8451" max="8470" width="2.85546875" style="447" customWidth="1"/>
    <col min="8471" max="8471" width="3" style="447" bestFit="1" customWidth="1"/>
    <col min="8472" max="8472" width="10.5703125" style="447" bestFit="1" customWidth="1"/>
    <col min="8473" max="8475" width="0" style="447" hidden="1" customWidth="1"/>
    <col min="8476" max="8704" width="9.140625" style="447"/>
    <col min="8705" max="8705" width="3" style="447" customWidth="1"/>
    <col min="8706" max="8706" width="18.7109375" style="447" customWidth="1"/>
    <col min="8707" max="8726" width="2.85546875" style="447" customWidth="1"/>
    <col min="8727" max="8727" width="3" style="447" bestFit="1" customWidth="1"/>
    <col min="8728" max="8728" width="10.5703125" style="447" bestFit="1" customWidth="1"/>
    <col min="8729" max="8731" width="0" style="447" hidden="1" customWidth="1"/>
    <col min="8732" max="8960" width="9.140625" style="447"/>
    <col min="8961" max="8961" width="3" style="447" customWidth="1"/>
    <col min="8962" max="8962" width="18.7109375" style="447" customWidth="1"/>
    <col min="8963" max="8982" width="2.85546875" style="447" customWidth="1"/>
    <col min="8983" max="8983" width="3" style="447" bestFit="1" customWidth="1"/>
    <col min="8984" max="8984" width="10.5703125" style="447" bestFit="1" customWidth="1"/>
    <col min="8985" max="8987" width="0" style="447" hidden="1" customWidth="1"/>
    <col min="8988" max="9216" width="9.140625" style="447"/>
    <col min="9217" max="9217" width="3" style="447" customWidth="1"/>
    <col min="9218" max="9218" width="18.7109375" style="447" customWidth="1"/>
    <col min="9219" max="9238" width="2.85546875" style="447" customWidth="1"/>
    <col min="9239" max="9239" width="3" style="447" bestFit="1" customWidth="1"/>
    <col min="9240" max="9240" width="10.5703125" style="447" bestFit="1" customWidth="1"/>
    <col min="9241" max="9243" width="0" style="447" hidden="1" customWidth="1"/>
    <col min="9244" max="9472" width="9.140625" style="447"/>
    <col min="9473" max="9473" width="3" style="447" customWidth="1"/>
    <col min="9474" max="9474" width="18.7109375" style="447" customWidth="1"/>
    <col min="9475" max="9494" width="2.85546875" style="447" customWidth="1"/>
    <col min="9495" max="9495" width="3" style="447" bestFit="1" customWidth="1"/>
    <col min="9496" max="9496" width="10.5703125" style="447" bestFit="1" customWidth="1"/>
    <col min="9497" max="9499" width="0" style="447" hidden="1" customWidth="1"/>
    <col min="9500" max="9728" width="9.140625" style="447"/>
    <col min="9729" max="9729" width="3" style="447" customWidth="1"/>
    <col min="9730" max="9730" width="18.7109375" style="447" customWidth="1"/>
    <col min="9731" max="9750" width="2.85546875" style="447" customWidth="1"/>
    <col min="9751" max="9751" width="3" style="447" bestFit="1" customWidth="1"/>
    <col min="9752" max="9752" width="10.5703125" style="447" bestFit="1" customWidth="1"/>
    <col min="9753" max="9755" width="0" style="447" hidden="1" customWidth="1"/>
    <col min="9756" max="9984" width="9.140625" style="447"/>
    <col min="9985" max="9985" width="3" style="447" customWidth="1"/>
    <col min="9986" max="9986" width="18.7109375" style="447" customWidth="1"/>
    <col min="9987" max="10006" width="2.85546875" style="447" customWidth="1"/>
    <col min="10007" max="10007" width="3" style="447" bestFit="1" customWidth="1"/>
    <col min="10008" max="10008" width="10.5703125" style="447" bestFit="1" customWidth="1"/>
    <col min="10009" max="10011" width="0" style="447" hidden="1" customWidth="1"/>
    <col min="10012" max="10240" width="9.140625" style="447"/>
    <col min="10241" max="10241" width="3" style="447" customWidth="1"/>
    <col min="10242" max="10242" width="18.7109375" style="447" customWidth="1"/>
    <col min="10243" max="10262" width="2.85546875" style="447" customWidth="1"/>
    <col min="10263" max="10263" width="3" style="447" bestFit="1" customWidth="1"/>
    <col min="10264" max="10264" width="10.5703125" style="447" bestFit="1" customWidth="1"/>
    <col min="10265" max="10267" width="0" style="447" hidden="1" customWidth="1"/>
    <col min="10268" max="10496" width="9.140625" style="447"/>
    <col min="10497" max="10497" width="3" style="447" customWidth="1"/>
    <col min="10498" max="10498" width="18.7109375" style="447" customWidth="1"/>
    <col min="10499" max="10518" width="2.85546875" style="447" customWidth="1"/>
    <col min="10519" max="10519" width="3" style="447" bestFit="1" customWidth="1"/>
    <col min="10520" max="10520" width="10.5703125" style="447" bestFit="1" customWidth="1"/>
    <col min="10521" max="10523" width="0" style="447" hidden="1" customWidth="1"/>
    <col min="10524" max="10752" width="9.140625" style="447"/>
    <col min="10753" max="10753" width="3" style="447" customWidth="1"/>
    <col min="10754" max="10754" width="18.7109375" style="447" customWidth="1"/>
    <col min="10755" max="10774" width="2.85546875" style="447" customWidth="1"/>
    <col min="10775" max="10775" width="3" style="447" bestFit="1" customWidth="1"/>
    <col min="10776" max="10776" width="10.5703125" style="447" bestFit="1" customWidth="1"/>
    <col min="10777" max="10779" width="0" style="447" hidden="1" customWidth="1"/>
    <col min="10780" max="11008" width="9.140625" style="447"/>
    <col min="11009" max="11009" width="3" style="447" customWidth="1"/>
    <col min="11010" max="11010" width="18.7109375" style="447" customWidth="1"/>
    <col min="11011" max="11030" width="2.85546875" style="447" customWidth="1"/>
    <col min="11031" max="11031" width="3" style="447" bestFit="1" customWidth="1"/>
    <col min="11032" max="11032" width="10.5703125" style="447" bestFit="1" customWidth="1"/>
    <col min="11033" max="11035" width="0" style="447" hidden="1" customWidth="1"/>
    <col min="11036" max="11264" width="9.140625" style="447"/>
    <col min="11265" max="11265" width="3" style="447" customWidth="1"/>
    <col min="11266" max="11266" width="18.7109375" style="447" customWidth="1"/>
    <col min="11267" max="11286" width="2.85546875" style="447" customWidth="1"/>
    <col min="11287" max="11287" width="3" style="447" bestFit="1" customWidth="1"/>
    <col min="11288" max="11288" width="10.5703125" style="447" bestFit="1" customWidth="1"/>
    <col min="11289" max="11291" width="0" style="447" hidden="1" customWidth="1"/>
    <col min="11292" max="11520" width="9.140625" style="447"/>
    <col min="11521" max="11521" width="3" style="447" customWidth="1"/>
    <col min="11522" max="11522" width="18.7109375" style="447" customWidth="1"/>
    <col min="11523" max="11542" width="2.85546875" style="447" customWidth="1"/>
    <col min="11543" max="11543" width="3" style="447" bestFit="1" customWidth="1"/>
    <col min="11544" max="11544" width="10.5703125" style="447" bestFit="1" customWidth="1"/>
    <col min="11545" max="11547" width="0" style="447" hidden="1" customWidth="1"/>
    <col min="11548" max="11776" width="9.140625" style="447"/>
    <col min="11777" max="11777" width="3" style="447" customWidth="1"/>
    <col min="11778" max="11778" width="18.7109375" style="447" customWidth="1"/>
    <col min="11779" max="11798" width="2.85546875" style="447" customWidth="1"/>
    <col min="11799" max="11799" width="3" style="447" bestFit="1" customWidth="1"/>
    <col min="11800" max="11800" width="10.5703125" style="447" bestFit="1" customWidth="1"/>
    <col min="11801" max="11803" width="0" style="447" hidden="1" customWidth="1"/>
    <col min="11804" max="12032" width="9.140625" style="447"/>
    <col min="12033" max="12033" width="3" style="447" customWidth="1"/>
    <col min="12034" max="12034" width="18.7109375" style="447" customWidth="1"/>
    <col min="12035" max="12054" width="2.85546875" style="447" customWidth="1"/>
    <col min="12055" max="12055" width="3" style="447" bestFit="1" customWidth="1"/>
    <col min="12056" max="12056" width="10.5703125" style="447" bestFit="1" customWidth="1"/>
    <col min="12057" max="12059" width="0" style="447" hidden="1" customWidth="1"/>
    <col min="12060" max="12288" width="9.140625" style="447"/>
    <col min="12289" max="12289" width="3" style="447" customWidth="1"/>
    <col min="12290" max="12290" width="18.7109375" style="447" customWidth="1"/>
    <col min="12291" max="12310" width="2.85546875" style="447" customWidth="1"/>
    <col min="12311" max="12311" width="3" style="447" bestFit="1" customWidth="1"/>
    <col min="12312" max="12312" width="10.5703125" style="447" bestFit="1" customWidth="1"/>
    <col min="12313" max="12315" width="0" style="447" hidden="1" customWidth="1"/>
    <col min="12316" max="12544" width="9.140625" style="447"/>
    <col min="12545" max="12545" width="3" style="447" customWidth="1"/>
    <col min="12546" max="12546" width="18.7109375" style="447" customWidth="1"/>
    <col min="12547" max="12566" width="2.85546875" style="447" customWidth="1"/>
    <col min="12567" max="12567" width="3" style="447" bestFit="1" customWidth="1"/>
    <col min="12568" max="12568" width="10.5703125" style="447" bestFit="1" customWidth="1"/>
    <col min="12569" max="12571" width="0" style="447" hidden="1" customWidth="1"/>
    <col min="12572" max="12800" width="9.140625" style="447"/>
    <col min="12801" max="12801" width="3" style="447" customWidth="1"/>
    <col min="12802" max="12802" width="18.7109375" style="447" customWidth="1"/>
    <col min="12803" max="12822" width="2.85546875" style="447" customWidth="1"/>
    <col min="12823" max="12823" width="3" style="447" bestFit="1" customWidth="1"/>
    <col min="12824" max="12824" width="10.5703125" style="447" bestFit="1" customWidth="1"/>
    <col min="12825" max="12827" width="0" style="447" hidden="1" customWidth="1"/>
    <col min="12828" max="13056" width="9.140625" style="447"/>
    <col min="13057" max="13057" width="3" style="447" customWidth="1"/>
    <col min="13058" max="13058" width="18.7109375" style="447" customWidth="1"/>
    <col min="13059" max="13078" width="2.85546875" style="447" customWidth="1"/>
    <col min="13079" max="13079" width="3" style="447" bestFit="1" customWidth="1"/>
    <col min="13080" max="13080" width="10.5703125" style="447" bestFit="1" customWidth="1"/>
    <col min="13081" max="13083" width="0" style="447" hidden="1" customWidth="1"/>
    <col min="13084" max="13312" width="9.140625" style="447"/>
    <col min="13313" max="13313" width="3" style="447" customWidth="1"/>
    <col min="13314" max="13314" width="18.7109375" style="447" customWidth="1"/>
    <col min="13315" max="13334" width="2.85546875" style="447" customWidth="1"/>
    <col min="13335" max="13335" width="3" style="447" bestFit="1" customWidth="1"/>
    <col min="13336" max="13336" width="10.5703125" style="447" bestFit="1" customWidth="1"/>
    <col min="13337" max="13339" width="0" style="447" hidden="1" customWidth="1"/>
    <col min="13340" max="13568" width="9.140625" style="447"/>
    <col min="13569" max="13569" width="3" style="447" customWidth="1"/>
    <col min="13570" max="13570" width="18.7109375" style="447" customWidth="1"/>
    <col min="13571" max="13590" width="2.85546875" style="447" customWidth="1"/>
    <col min="13591" max="13591" width="3" style="447" bestFit="1" customWidth="1"/>
    <col min="13592" max="13592" width="10.5703125" style="447" bestFit="1" customWidth="1"/>
    <col min="13593" max="13595" width="0" style="447" hidden="1" customWidth="1"/>
    <col min="13596" max="13824" width="9.140625" style="447"/>
    <col min="13825" max="13825" width="3" style="447" customWidth="1"/>
    <col min="13826" max="13826" width="18.7109375" style="447" customWidth="1"/>
    <col min="13827" max="13846" width="2.85546875" style="447" customWidth="1"/>
    <col min="13847" max="13847" width="3" style="447" bestFit="1" customWidth="1"/>
    <col min="13848" max="13848" width="10.5703125" style="447" bestFit="1" customWidth="1"/>
    <col min="13849" max="13851" width="0" style="447" hidden="1" customWidth="1"/>
    <col min="13852" max="14080" width="9.140625" style="447"/>
    <col min="14081" max="14081" width="3" style="447" customWidth="1"/>
    <col min="14082" max="14082" width="18.7109375" style="447" customWidth="1"/>
    <col min="14083" max="14102" width="2.85546875" style="447" customWidth="1"/>
    <col min="14103" max="14103" width="3" style="447" bestFit="1" customWidth="1"/>
    <col min="14104" max="14104" width="10.5703125" style="447" bestFit="1" customWidth="1"/>
    <col min="14105" max="14107" width="0" style="447" hidden="1" customWidth="1"/>
    <col min="14108" max="14336" width="9.140625" style="447"/>
    <col min="14337" max="14337" width="3" style="447" customWidth="1"/>
    <col min="14338" max="14338" width="18.7109375" style="447" customWidth="1"/>
    <col min="14339" max="14358" width="2.85546875" style="447" customWidth="1"/>
    <col min="14359" max="14359" width="3" style="447" bestFit="1" customWidth="1"/>
    <col min="14360" max="14360" width="10.5703125" style="447" bestFit="1" customWidth="1"/>
    <col min="14361" max="14363" width="0" style="447" hidden="1" customWidth="1"/>
    <col min="14364" max="14592" width="9.140625" style="447"/>
    <col min="14593" max="14593" width="3" style="447" customWidth="1"/>
    <col min="14594" max="14594" width="18.7109375" style="447" customWidth="1"/>
    <col min="14595" max="14614" width="2.85546875" style="447" customWidth="1"/>
    <col min="14615" max="14615" width="3" style="447" bestFit="1" customWidth="1"/>
    <col min="14616" max="14616" width="10.5703125" style="447" bestFit="1" customWidth="1"/>
    <col min="14617" max="14619" width="0" style="447" hidden="1" customWidth="1"/>
    <col min="14620" max="14848" width="9.140625" style="447"/>
    <col min="14849" max="14849" width="3" style="447" customWidth="1"/>
    <col min="14850" max="14850" width="18.7109375" style="447" customWidth="1"/>
    <col min="14851" max="14870" width="2.85546875" style="447" customWidth="1"/>
    <col min="14871" max="14871" width="3" style="447" bestFit="1" customWidth="1"/>
    <col min="14872" max="14872" width="10.5703125" style="447" bestFit="1" customWidth="1"/>
    <col min="14873" max="14875" width="0" style="447" hidden="1" customWidth="1"/>
    <col min="14876" max="15104" width="9.140625" style="447"/>
    <col min="15105" max="15105" width="3" style="447" customWidth="1"/>
    <col min="15106" max="15106" width="18.7109375" style="447" customWidth="1"/>
    <col min="15107" max="15126" width="2.85546875" style="447" customWidth="1"/>
    <col min="15127" max="15127" width="3" style="447" bestFit="1" customWidth="1"/>
    <col min="15128" max="15128" width="10.5703125" style="447" bestFit="1" customWidth="1"/>
    <col min="15129" max="15131" width="0" style="447" hidden="1" customWidth="1"/>
    <col min="15132" max="15360" width="9.140625" style="447"/>
    <col min="15361" max="15361" width="3" style="447" customWidth="1"/>
    <col min="15362" max="15362" width="18.7109375" style="447" customWidth="1"/>
    <col min="15363" max="15382" width="2.85546875" style="447" customWidth="1"/>
    <col min="15383" max="15383" width="3" style="447" bestFit="1" customWidth="1"/>
    <col min="15384" max="15384" width="10.5703125" style="447" bestFit="1" customWidth="1"/>
    <col min="15385" max="15387" width="0" style="447" hidden="1" customWidth="1"/>
    <col min="15388" max="15616" width="9.140625" style="447"/>
    <col min="15617" max="15617" width="3" style="447" customWidth="1"/>
    <col min="15618" max="15618" width="18.7109375" style="447" customWidth="1"/>
    <col min="15619" max="15638" width="2.85546875" style="447" customWidth="1"/>
    <col min="15639" max="15639" width="3" style="447" bestFit="1" customWidth="1"/>
    <col min="15640" max="15640" width="10.5703125" style="447" bestFit="1" customWidth="1"/>
    <col min="15641" max="15643" width="0" style="447" hidden="1" customWidth="1"/>
    <col min="15644" max="15872" width="9.140625" style="447"/>
    <col min="15873" max="15873" width="3" style="447" customWidth="1"/>
    <col min="15874" max="15874" width="18.7109375" style="447" customWidth="1"/>
    <col min="15875" max="15894" width="2.85546875" style="447" customWidth="1"/>
    <col min="15895" max="15895" width="3" style="447" bestFit="1" customWidth="1"/>
    <col min="15896" max="15896" width="10.5703125" style="447" bestFit="1" customWidth="1"/>
    <col min="15897" max="15899" width="0" style="447" hidden="1" customWidth="1"/>
    <col min="15900" max="16128" width="9.140625" style="447"/>
    <col min="16129" max="16129" width="3" style="447" customWidth="1"/>
    <col min="16130" max="16130" width="18.7109375" style="447" customWidth="1"/>
    <col min="16131" max="16150" width="2.85546875" style="447" customWidth="1"/>
    <col min="16151" max="16151" width="3" style="447" bestFit="1" customWidth="1"/>
    <col min="16152" max="16152" width="10.5703125" style="447" bestFit="1" customWidth="1"/>
    <col min="16153" max="16155" width="0" style="447" hidden="1" customWidth="1"/>
    <col min="16156" max="16384" width="9.140625" style="447"/>
  </cols>
  <sheetData>
    <row r="1" spans="1:24" s="421" customFormat="1" x14ac:dyDescent="0.2">
      <c r="A1" s="314" t="str">
        <f>UPPER((Kalend!E27)&amp;" - "&amp;(Kalend!C27)&amp;" - "&amp;(Kalend!D27))</f>
        <v>13M - 16. EESTI MV - TULISTAMINE</v>
      </c>
      <c r="B1" s="528"/>
      <c r="C1" s="528"/>
      <c r="D1" s="528"/>
      <c r="E1" s="528"/>
      <c r="I1" s="509" t="s">
        <v>433</v>
      </c>
      <c r="Q1" s="204" t="str">
        <f>HYPERLINK("#Üldreiting!I1","Reiting")</f>
        <v>Reiting</v>
      </c>
      <c r="R1" s="528"/>
      <c r="S1" s="528"/>
      <c r="T1" s="528"/>
      <c r="U1" s="528"/>
      <c r="V1" s="528"/>
    </row>
    <row r="2" spans="1:24" s="421" customFormat="1" x14ac:dyDescent="0.2">
      <c r="A2" s="309" t="str">
        <f>"Toimumisaeg: "&amp;(Kalend!A27)&amp;" kell "&amp;(Kalend!B27)</f>
        <v>Toimumisaeg: P, 24.07.2016 kell 10:30</v>
      </c>
      <c r="B2" s="528"/>
      <c r="C2" s="528"/>
      <c r="D2" s="528"/>
      <c r="E2" s="528"/>
      <c r="O2" s="528"/>
      <c r="P2" s="528"/>
      <c r="Q2" s="528"/>
      <c r="R2" s="528"/>
      <c r="S2" s="528"/>
      <c r="T2" s="528"/>
    </row>
    <row r="3" spans="1:24" s="421" customFormat="1" x14ac:dyDescent="0.2">
      <c r="A3" s="309" t="str">
        <f>"Toimumiskoht: "&amp;(Kalend!H27)</f>
        <v>Toimumiskoht: Tallinna, Algi 38, petangihalli ees</v>
      </c>
      <c r="B3" s="528"/>
      <c r="C3" s="528"/>
      <c r="D3" s="528"/>
      <c r="E3" s="528"/>
      <c r="O3" s="528"/>
      <c r="P3" s="528"/>
      <c r="Q3" s="528"/>
      <c r="R3" s="528"/>
      <c r="S3" s="528"/>
      <c r="T3" s="528"/>
    </row>
    <row r="4" spans="1:24" s="421" customFormat="1" x14ac:dyDescent="0.2">
      <c r="A4" s="309" t="str">
        <f>"Korraldaja: "&amp;(Kalend!I27)</f>
        <v>Korraldaja: EPKL</v>
      </c>
      <c r="B4" s="528"/>
      <c r="C4" s="528"/>
      <c r="D4" s="528"/>
      <c r="E4" s="528"/>
      <c r="O4" s="528"/>
      <c r="P4" s="528"/>
      <c r="Q4" s="528"/>
      <c r="R4" s="528"/>
      <c r="S4" s="528"/>
      <c r="T4" s="528"/>
    </row>
    <row r="5" spans="1:24" s="421" customFormat="1" ht="13.5" thickBot="1" x14ac:dyDescent="0.25">
      <c r="A5" s="528"/>
      <c r="B5" s="528"/>
      <c r="C5" s="528"/>
      <c r="D5" s="528"/>
      <c r="E5" s="528"/>
      <c r="F5" s="528"/>
      <c r="G5" s="528"/>
      <c r="H5" s="528"/>
      <c r="I5" s="528"/>
      <c r="J5" s="528"/>
      <c r="K5" s="528"/>
    </row>
    <row r="6" spans="1:24" ht="63.75" customHeight="1" thickBot="1" x14ac:dyDescent="0.25">
      <c r="A6" s="815"/>
      <c r="B6" s="816"/>
      <c r="C6" s="817"/>
      <c r="D6" s="817"/>
      <c r="E6" s="817"/>
      <c r="F6" s="817"/>
      <c r="G6" s="818"/>
      <c r="H6" s="817"/>
      <c r="I6" s="817"/>
      <c r="J6" s="819"/>
      <c r="K6" s="817"/>
      <c r="L6" s="817"/>
      <c r="M6" s="817"/>
      <c r="N6" s="817"/>
      <c r="O6" s="818"/>
      <c r="P6" s="817"/>
      <c r="Q6" s="817"/>
      <c r="R6" s="819"/>
      <c r="S6" s="817"/>
      <c r="T6" s="817"/>
      <c r="U6" s="817"/>
      <c r="V6" s="817"/>
      <c r="W6" s="820"/>
      <c r="X6" s="820"/>
    </row>
    <row r="7" spans="1:24" s="448" customFormat="1" ht="13.5" thickBot="1" x14ac:dyDescent="0.25">
      <c r="A7" s="821"/>
      <c r="B7" s="822"/>
      <c r="C7" s="823">
        <v>6</v>
      </c>
      <c r="D7" s="824">
        <v>7</v>
      </c>
      <c r="E7" s="824">
        <v>8</v>
      </c>
      <c r="F7" s="825">
        <v>9</v>
      </c>
      <c r="G7" s="823">
        <v>6</v>
      </c>
      <c r="H7" s="824">
        <v>7</v>
      </c>
      <c r="I7" s="824">
        <v>8</v>
      </c>
      <c r="J7" s="825">
        <v>9</v>
      </c>
      <c r="K7" s="823">
        <v>6</v>
      </c>
      <c r="L7" s="824">
        <v>7</v>
      </c>
      <c r="M7" s="824">
        <v>8</v>
      </c>
      <c r="N7" s="825">
        <v>9</v>
      </c>
      <c r="O7" s="823">
        <v>6</v>
      </c>
      <c r="P7" s="824">
        <v>7</v>
      </c>
      <c r="Q7" s="824">
        <v>8</v>
      </c>
      <c r="R7" s="825">
        <v>9</v>
      </c>
      <c r="S7" s="823">
        <v>6</v>
      </c>
      <c r="T7" s="824">
        <v>7</v>
      </c>
      <c r="U7" s="824">
        <v>8</v>
      </c>
      <c r="V7" s="825">
        <v>9</v>
      </c>
      <c r="W7" s="826" t="s">
        <v>367</v>
      </c>
      <c r="X7" s="827" t="s">
        <v>784</v>
      </c>
    </row>
    <row r="8" spans="1:24" x14ac:dyDescent="0.2">
      <c r="A8" s="828"/>
      <c r="B8" s="829" t="s">
        <v>783</v>
      </c>
      <c r="C8" s="830"/>
      <c r="D8" s="831"/>
      <c r="E8" s="831"/>
      <c r="F8" s="832"/>
      <c r="G8" s="830"/>
      <c r="H8" s="831"/>
      <c r="I8" s="831"/>
      <c r="J8" s="832"/>
      <c r="K8" s="830"/>
      <c r="L8" s="831"/>
      <c r="M8" s="831"/>
      <c r="N8" s="832"/>
      <c r="O8" s="830"/>
      <c r="P8" s="831"/>
      <c r="Q8" s="831"/>
      <c r="R8" s="832"/>
      <c r="S8" s="830"/>
      <c r="T8" s="831"/>
      <c r="U8" s="831"/>
      <c r="V8" s="832"/>
      <c r="W8" s="828"/>
      <c r="X8" s="833"/>
    </row>
    <row r="9" spans="1:24" ht="13.5" thickBot="1" x14ac:dyDescent="0.25">
      <c r="A9" s="476">
        <v>1</v>
      </c>
      <c r="B9" s="505" t="s">
        <v>39</v>
      </c>
      <c r="C9" s="467">
        <v>3</v>
      </c>
      <c r="D9" s="468">
        <v>3</v>
      </c>
      <c r="E9" s="468">
        <v>0</v>
      </c>
      <c r="F9" s="469">
        <v>0</v>
      </c>
      <c r="G9" s="467">
        <v>0</v>
      </c>
      <c r="H9" s="468">
        <v>0</v>
      </c>
      <c r="I9" s="468">
        <v>0</v>
      </c>
      <c r="J9" s="469">
        <v>0</v>
      </c>
      <c r="K9" s="1055">
        <v>1</v>
      </c>
      <c r="L9" s="468">
        <v>1</v>
      </c>
      <c r="M9" s="468">
        <v>1</v>
      </c>
      <c r="N9" s="469">
        <v>0</v>
      </c>
      <c r="O9" s="467">
        <v>0</v>
      </c>
      <c r="P9" s="468">
        <v>0</v>
      </c>
      <c r="Q9" s="468">
        <v>0</v>
      </c>
      <c r="R9" s="469">
        <v>0</v>
      </c>
      <c r="S9" s="467">
        <v>0</v>
      </c>
      <c r="T9" s="468">
        <v>0</v>
      </c>
      <c r="U9" s="468">
        <v>3</v>
      </c>
      <c r="V9" s="469">
        <v>3</v>
      </c>
      <c r="W9" s="470">
        <f>IF(COUNTA(C9:V9)=0,"",SUM(C9:V9)+COUNTIF(C9:V9,5)/100+COUNTIF(C9:V9,3)/10000)</f>
        <v>15.000400000000001</v>
      </c>
      <c r="X9" s="470" t="str">
        <f>IF(COUNTA(C9:V9)=0,"",IF(RANK(W9,$W$9:$W$15)&lt;3,"edasi "&amp;RANK(W9,$W$9:$W$15),IF(RANK(W9,$W$9:$W$15)&lt;7,"vahevooru "&amp;RANK(W9,$W$9:$W$15),RANK(W9,$W$9:$W$15))))</f>
        <v>vahevooru 3</v>
      </c>
    </row>
    <row r="10" spans="1:24" ht="14.25" thickTop="1" thickBot="1" x14ac:dyDescent="0.25">
      <c r="A10" s="476">
        <v>2</v>
      </c>
      <c r="B10" s="502" t="s">
        <v>70</v>
      </c>
      <c r="C10" s="467">
        <v>0</v>
      </c>
      <c r="D10" s="468">
        <v>3</v>
      </c>
      <c r="E10" s="468">
        <v>0</v>
      </c>
      <c r="F10" s="469">
        <v>0</v>
      </c>
      <c r="G10" s="467">
        <v>0</v>
      </c>
      <c r="H10" s="1056">
        <v>0</v>
      </c>
      <c r="I10" s="468">
        <v>0</v>
      </c>
      <c r="J10" s="469">
        <v>0</v>
      </c>
      <c r="K10" s="1070">
        <v>5</v>
      </c>
      <c r="L10" s="1047">
        <v>0</v>
      </c>
      <c r="M10" s="468">
        <v>1</v>
      </c>
      <c r="N10" s="469">
        <v>0</v>
      </c>
      <c r="O10" s="467">
        <v>0</v>
      </c>
      <c r="P10" s="468">
        <v>3</v>
      </c>
      <c r="Q10" s="468">
        <v>0</v>
      </c>
      <c r="R10" s="469">
        <v>0</v>
      </c>
      <c r="S10" s="467">
        <v>0</v>
      </c>
      <c r="T10" s="468">
        <v>0</v>
      </c>
      <c r="U10" s="468">
        <v>0</v>
      </c>
      <c r="V10" s="469">
        <v>0</v>
      </c>
      <c r="W10" s="470">
        <f t="shared" ref="W10:W15" si="0">IF(COUNTA(C10:V10)=0,"",SUM(C10:V10)+COUNTIF(C10:V10,5)/100+COUNTIF(C10:V10,3)/10000)</f>
        <v>12.010199999999999</v>
      </c>
      <c r="X10" s="470" t="str">
        <f t="shared" ref="X10:X15" si="1">IF(COUNTA(C10:V10)=0,"",IF(RANK(W10,$W$9:$W$15)&lt;3,"edasi "&amp;RANK(W10,$W$9:$W$15),IF(RANK(W10,$W$9:$W$15)&lt;7,"vahevooru "&amp;RANK(W10,$W$9:$W$15),RANK(W10,$W$9:$W$15))))</f>
        <v>vahevooru 4</v>
      </c>
    </row>
    <row r="11" spans="1:24" ht="14.25" thickTop="1" thickBot="1" x14ac:dyDescent="0.25">
      <c r="A11" s="474">
        <v>3</v>
      </c>
      <c r="B11" s="500" t="s">
        <v>48</v>
      </c>
      <c r="C11" s="471">
        <v>0</v>
      </c>
      <c r="D11" s="472">
        <v>3</v>
      </c>
      <c r="E11" s="472">
        <v>3</v>
      </c>
      <c r="F11" s="473">
        <v>3</v>
      </c>
      <c r="G11" s="1043">
        <v>3</v>
      </c>
      <c r="H11" s="1071">
        <v>5</v>
      </c>
      <c r="I11" s="1048">
        <v>0</v>
      </c>
      <c r="J11" s="473">
        <v>0</v>
      </c>
      <c r="K11" s="1062">
        <v>0</v>
      </c>
      <c r="L11" s="472">
        <v>0</v>
      </c>
      <c r="M11" s="472">
        <v>1</v>
      </c>
      <c r="N11" s="473">
        <v>0</v>
      </c>
      <c r="O11" s="471">
        <v>0</v>
      </c>
      <c r="P11" s="472">
        <v>3</v>
      </c>
      <c r="Q11" s="472">
        <v>0</v>
      </c>
      <c r="R11" s="473">
        <v>0</v>
      </c>
      <c r="S11" s="471">
        <v>0</v>
      </c>
      <c r="T11" s="472">
        <v>0</v>
      </c>
      <c r="U11" s="472">
        <v>0</v>
      </c>
      <c r="V11" s="473">
        <v>3</v>
      </c>
      <c r="W11" s="455">
        <f t="shared" si="0"/>
        <v>24.0106</v>
      </c>
      <c r="X11" s="455" t="str">
        <f t="shared" si="1"/>
        <v>edasi 2</v>
      </c>
    </row>
    <row r="12" spans="1:24" ht="14.25" thickTop="1" thickBot="1" x14ac:dyDescent="0.25">
      <c r="A12" s="474">
        <v>4</v>
      </c>
      <c r="B12" s="506" t="s">
        <v>56</v>
      </c>
      <c r="C12" s="471">
        <v>0</v>
      </c>
      <c r="D12" s="472">
        <v>0</v>
      </c>
      <c r="E12" s="472">
        <v>0</v>
      </c>
      <c r="F12" s="473">
        <v>0</v>
      </c>
      <c r="G12" s="471">
        <v>0</v>
      </c>
      <c r="H12" s="1063">
        <v>0</v>
      </c>
      <c r="I12" s="1057">
        <v>0</v>
      </c>
      <c r="J12" s="473">
        <v>0</v>
      </c>
      <c r="K12" s="471">
        <v>0</v>
      </c>
      <c r="L12" s="472">
        <v>0</v>
      </c>
      <c r="M12" s="472">
        <v>0</v>
      </c>
      <c r="N12" s="473">
        <v>0</v>
      </c>
      <c r="O12" s="471">
        <v>0</v>
      </c>
      <c r="P12" s="472">
        <v>3</v>
      </c>
      <c r="Q12" s="472">
        <v>0</v>
      </c>
      <c r="R12" s="473">
        <v>1</v>
      </c>
      <c r="S12" s="471">
        <v>0</v>
      </c>
      <c r="T12" s="472">
        <v>0</v>
      </c>
      <c r="U12" s="472">
        <v>0</v>
      </c>
      <c r="V12" s="473">
        <v>0</v>
      </c>
      <c r="W12" s="455">
        <f t="shared" si="0"/>
        <v>4.0000999999999998</v>
      </c>
      <c r="X12" s="455">
        <f t="shared" si="1"/>
        <v>7</v>
      </c>
    </row>
    <row r="13" spans="1:24" ht="14.25" thickTop="1" thickBot="1" x14ac:dyDescent="0.25">
      <c r="A13" s="476">
        <v>5</v>
      </c>
      <c r="B13" s="502" t="s">
        <v>63</v>
      </c>
      <c r="C13" s="467">
        <v>0</v>
      </c>
      <c r="D13" s="468">
        <v>0</v>
      </c>
      <c r="E13" s="468">
        <v>0</v>
      </c>
      <c r="F13" s="469">
        <v>0</v>
      </c>
      <c r="G13" s="1055">
        <v>0</v>
      </c>
      <c r="H13" s="469">
        <v>0</v>
      </c>
      <c r="I13" s="1070">
        <v>5</v>
      </c>
      <c r="J13" s="1049">
        <v>0</v>
      </c>
      <c r="K13" s="467">
        <v>1</v>
      </c>
      <c r="L13" s="1056">
        <v>0</v>
      </c>
      <c r="M13" s="468">
        <v>0</v>
      </c>
      <c r="N13" s="469">
        <v>0</v>
      </c>
      <c r="O13" s="467">
        <v>0</v>
      </c>
      <c r="P13" s="468">
        <v>0</v>
      </c>
      <c r="Q13" s="468">
        <v>0</v>
      </c>
      <c r="R13" s="469">
        <v>0</v>
      </c>
      <c r="S13" s="1055">
        <v>0</v>
      </c>
      <c r="T13" s="1056">
        <v>0</v>
      </c>
      <c r="U13" s="468">
        <v>0</v>
      </c>
      <c r="V13" s="1058">
        <v>0</v>
      </c>
      <c r="W13" s="470">
        <f t="shared" si="0"/>
        <v>6.01</v>
      </c>
      <c r="X13" s="470" t="str">
        <f t="shared" si="1"/>
        <v>vahevooru 6</v>
      </c>
    </row>
    <row r="14" spans="1:24" ht="14.25" thickTop="1" thickBot="1" x14ac:dyDescent="0.25">
      <c r="A14" s="476">
        <v>6</v>
      </c>
      <c r="B14" s="505" t="s">
        <v>45</v>
      </c>
      <c r="C14" s="467">
        <v>0</v>
      </c>
      <c r="D14" s="468">
        <v>3</v>
      </c>
      <c r="E14" s="468">
        <v>3</v>
      </c>
      <c r="F14" s="469">
        <v>0</v>
      </c>
      <c r="G14" s="1070">
        <v>5</v>
      </c>
      <c r="H14" s="1047">
        <v>3</v>
      </c>
      <c r="I14" s="1064">
        <v>0</v>
      </c>
      <c r="J14" s="469">
        <v>0</v>
      </c>
      <c r="K14" s="1044">
        <v>1</v>
      </c>
      <c r="L14" s="1070">
        <v>5</v>
      </c>
      <c r="M14" s="1047">
        <v>0</v>
      </c>
      <c r="N14" s="469">
        <v>1</v>
      </c>
      <c r="O14" s="467">
        <v>0</v>
      </c>
      <c r="P14" s="468">
        <v>0</v>
      </c>
      <c r="Q14" s="468">
        <v>0</v>
      </c>
      <c r="R14" s="469">
        <v>0</v>
      </c>
      <c r="S14" s="1070">
        <v>5</v>
      </c>
      <c r="T14" s="1070">
        <v>5</v>
      </c>
      <c r="U14" s="1049">
        <v>0</v>
      </c>
      <c r="V14" s="1070">
        <v>5</v>
      </c>
      <c r="W14" s="1050">
        <f t="shared" si="0"/>
        <v>36.0503</v>
      </c>
      <c r="X14" s="470" t="str">
        <f t="shared" si="1"/>
        <v>edasi 1</v>
      </c>
    </row>
    <row r="15" spans="1:24" ht="13.5" thickTop="1" x14ac:dyDescent="0.2">
      <c r="A15" s="474">
        <v>7</v>
      </c>
      <c r="B15" s="504" t="s">
        <v>52</v>
      </c>
      <c r="C15" s="471">
        <v>3</v>
      </c>
      <c r="D15" s="472">
        <v>0</v>
      </c>
      <c r="E15" s="472">
        <v>0</v>
      </c>
      <c r="F15" s="473">
        <v>0</v>
      </c>
      <c r="G15" s="1062">
        <v>0</v>
      </c>
      <c r="H15" s="472">
        <v>0</v>
      </c>
      <c r="I15" s="472">
        <v>0</v>
      </c>
      <c r="J15" s="473">
        <v>0</v>
      </c>
      <c r="K15" s="471">
        <v>1</v>
      </c>
      <c r="L15" s="1063">
        <v>1</v>
      </c>
      <c r="M15" s="472">
        <v>0</v>
      </c>
      <c r="N15" s="473">
        <v>0</v>
      </c>
      <c r="O15" s="471">
        <v>0</v>
      </c>
      <c r="P15" s="472">
        <v>0</v>
      </c>
      <c r="Q15" s="472">
        <v>0</v>
      </c>
      <c r="R15" s="473">
        <v>3</v>
      </c>
      <c r="S15" s="1062">
        <v>0</v>
      </c>
      <c r="T15" s="1063">
        <v>0</v>
      </c>
      <c r="U15" s="472">
        <v>0</v>
      </c>
      <c r="V15" s="1065">
        <v>0</v>
      </c>
      <c r="W15" s="455">
        <f t="shared" si="0"/>
        <v>8.0001999999999995</v>
      </c>
      <c r="X15" s="455" t="str">
        <f t="shared" si="1"/>
        <v>vahevooru 5</v>
      </c>
    </row>
    <row r="16" spans="1:24" ht="13.5" thickBot="1" x14ac:dyDescent="0.25">
      <c r="A16" s="474"/>
      <c r="B16" s="479" t="s">
        <v>782</v>
      </c>
      <c r="C16" s="449"/>
      <c r="D16" s="450"/>
      <c r="E16" s="1059"/>
      <c r="F16" s="451"/>
      <c r="G16" s="449"/>
      <c r="H16" s="450"/>
      <c r="I16" s="450"/>
      <c r="J16" s="451"/>
      <c r="K16" s="449"/>
      <c r="L16" s="450"/>
      <c r="M16" s="1059"/>
      <c r="N16" s="451"/>
      <c r="O16" s="449"/>
      <c r="P16" s="450"/>
      <c r="Q16" s="450"/>
      <c r="R16" s="451"/>
      <c r="S16" s="449"/>
      <c r="T16" s="450"/>
      <c r="U16" s="450"/>
      <c r="V16" s="451"/>
      <c r="W16" s="474"/>
      <c r="X16" s="452"/>
    </row>
    <row r="17" spans="1:24" ht="14.25" thickTop="1" thickBot="1" x14ac:dyDescent="0.25">
      <c r="A17" s="476">
        <v>1</v>
      </c>
      <c r="B17" s="505" t="s">
        <v>39</v>
      </c>
      <c r="C17" s="467">
        <v>1</v>
      </c>
      <c r="D17" s="469">
        <v>0</v>
      </c>
      <c r="E17" s="1070">
        <v>5</v>
      </c>
      <c r="F17" s="1049">
        <v>0</v>
      </c>
      <c r="G17" s="467">
        <v>3</v>
      </c>
      <c r="H17" s="468">
        <v>0</v>
      </c>
      <c r="I17" s="468">
        <v>3</v>
      </c>
      <c r="J17" s="469">
        <v>0</v>
      </c>
      <c r="K17" s="467">
        <v>0</v>
      </c>
      <c r="L17" s="469">
        <v>0</v>
      </c>
      <c r="M17" s="1070">
        <v>5</v>
      </c>
      <c r="N17" s="1049">
        <v>0</v>
      </c>
      <c r="O17" s="467">
        <v>0</v>
      </c>
      <c r="P17" s="468">
        <v>0</v>
      </c>
      <c r="Q17" s="468">
        <v>0</v>
      </c>
      <c r="R17" s="469">
        <v>0</v>
      </c>
      <c r="S17" s="467">
        <v>0</v>
      </c>
      <c r="T17" s="468">
        <v>0</v>
      </c>
      <c r="U17" s="468">
        <v>0</v>
      </c>
      <c r="V17" s="469">
        <v>0</v>
      </c>
      <c r="W17" s="470">
        <f>IF(COUNTA(C17:V17)=0,"",SUM(C17:V17)+COUNTIF(C17:V17,5)/100+COUNTIF(C17:V17,3)/10000)</f>
        <v>17.020199999999999</v>
      </c>
      <c r="X17" s="470" t="str">
        <f>IF(COUNTA(C17:V17)=0,"",IF(RANK(W17,$W$17:$W$20)&lt;3,"edasi "&amp;RANK(W17,$W$17:$W$20),RANK(W17,$W$17:$W$20)+2))</f>
        <v>edasi 1</v>
      </c>
    </row>
    <row r="18" spans="1:24" ht="14.25" thickTop="1" thickBot="1" x14ac:dyDescent="0.25">
      <c r="A18" s="476">
        <v>2</v>
      </c>
      <c r="B18" s="502" t="s">
        <v>63</v>
      </c>
      <c r="C18" s="467">
        <v>0</v>
      </c>
      <c r="D18" s="468">
        <v>0</v>
      </c>
      <c r="E18" s="1064">
        <v>0</v>
      </c>
      <c r="F18" s="469">
        <v>0</v>
      </c>
      <c r="G18" s="467">
        <v>0</v>
      </c>
      <c r="H18" s="468">
        <v>0</v>
      </c>
      <c r="I18" s="468">
        <v>0</v>
      </c>
      <c r="J18" s="469">
        <v>0</v>
      </c>
      <c r="K18" s="467">
        <v>0</v>
      </c>
      <c r="L18" s="468">
        <v>1</v>
      </c>
      <c r="M18" s="1064">
        <v>0</v>
      </c>
      <c r="N18" s="469">
        <v>0</v>
      </c>
      <c r="O18" s="467">
        <v>0</v>
      </c>
      <c r="P18" s="468">
        <v>0</v>
      </c>
      <c r="Q18" s="468">
        <v>0</v>
      </c>
      <c r="R18" s="469">
        <v>0</v>
      </c>
      <c r="S18" s="1055">
        <v>0</v>
      </c>
      <c r="T18" s="468">
        <v>0</v>
      </c>
      <c r="U18" s="468">
        <v>0</v>
      </c>
      <c r="V18" s="469">
        <v>0</v>
      </c>
      <c r="W18" s="470">
        <f>IF(COUNTA(C18:V18)=0,"",SUM(C18:V18)+COUNTIF(C18:V18,5)/100+COUNTIF(C18:V18,3)/10000)</f>
        <v>1</v>
      </c>
      <c r="X18" s="470">
        <f>IF(COUNTA(C18:V18)=0,"",IF(RANK(W18,$W$17:$W$20)&lt;3,"edasi "&amp;RANK(W18,$W$17:$W$20),RANK(W18,$W$17:$W$20)+2))</f>
        <v>6</v>
      </c>
    </row>
    <row r="19" spans="1:24" ht="14.25" thickTop="1" thickBot="1" x14ac:dyDescent="0.25">
      <c r="A19" s="474">
        <v>3</v>
      </c>
      <c r="B19" s="500" t="s">
        <v>52</v>
      </c>
      <c r="C19" s="471">
        <v>0</v>
      </c>
      <c r="D19" s="472">
        <v>0</v>
      </c>
      <c r="E19" s="472">
        <v>0</v>
      </c>
      <c r="F19" s="473">
        <v>0</v>
      </c>
      <c r="G19" s="471">
        <v>0</v>
      </c>
      <c r="H19" s="472">
        <v>0</v>
      </c>
      <c r="I19" s="472">
        <v>0</v>
      </c>
      <c r="J19" s="473">
        <v>0</v>
      </c>
      <c r="K19" s="471">
        <v>0</v>
      </c>
      <c r="L19" s="472">
        <v>0</v>
      </c>
      <c r="M19" s="472">
        <v>0</v>
      </c>
      <c r="N19" s="473">
        <v>0</v>
      </c>
      <c r="O19" s="471">
        <v>0</v>
      </c>
      <c r="P19" s="472">
        <v>0</v>
      </c>
      <c r="Q19" s="472">
        <v>0</v>
      </c>
      <c r="R19" s="473">
        <v>0</v>
      </c>
      <c r="S19" s="1071">
        <v>5</v>
      </c>
      <c r="T19" s="1048">
        <v>0</v>
      </c>
      <c r="U19" s="472">
        <v>0</v>
      </c>
      <c r="V19" s="473">
        <v>0</v>
      </c>
      <c r="W19" s="455">
        <f>IF(COUNTA(C19:V19)=0,"",SUM(C19:V19)+COUNTIF(C19:V19,5)/100+COUNTIF(C19:V19,3)/10000)</f>
        <v>5.01</v>
      </c>
      <c r="X19" s="455">
        <f>IF(COUNTA(C19:V19)=0,"",IF(RANK(W19,$W$17:$W$20)&lt;3,"edasi "&amp;RANK(W19,$W$17:$W$20),RANK(W19,$W$17:$W$20)+2))</f>
        <v>5</v>
      </c>
    </row>
    <row r="20" spans="1:24" ht="13.5" thickTop="1" x14ac:dyDescent="0.2">
      <c r="A20" s="474">
        <v>4</v>
      </c>
      <c r="B20" s="506" t="s">
        <v>70</v>
      </c>
      <c r="C20" s="471">
        <v>0</v>
      </c>
      <c r="D20" s="472">
        <v>1</v>
      </c>
      <c r="E20" s="472">
        <v>3</v>
      </c>
      <c r="F20" s="473">
        <v>0</v>
      </c>
      <c r="G20" s="471">
        <v>3</v>
      </c>
      <c r="H20" s="472">
        <v>0</v>
      </c>
      <c r="I20" s="472">
        <v>0</v>
      </c>
      <c r="J20" s="473">
        <v>0</v>
      </c>
      <c r="K20" s="471">
        <v>0</v>
      </c>
      <c r="L20" s="472">
        <v>0</v>
      </c>
      <c r="M20" s="472">
        <v>1</v>
      </c>
      <c r="N20" s="473">
        <v>0</v>
      </c>
      <c r="O20" s="471">
        <v>0</v>
      </c>
      <c r="P20" s="472">
        <v>0</v>
      </c>
      <c r="Q20" s="472">
        <v>0</v>
      </c>
      <c r="R20" s="473">
        <v>0</v>
      </c>
      <c r="S20" s="1062">
        <v>0</v>
      </c>
      <c r="T20" s="472">
        <v>0</v>
      </c>
      <c r="U20" s="472">
        <v>0</v>
      </c>
      <c r="V20" s="473">
        <v>0</v>
      </c>
      <c r="W20" s="455">
        <f>IF(COUNTA(C20:V20)=0,"",SUM(C20:V20)+COUNTIF(C20:V20,5)/100+COUNTIF(C20:V20,3)/10000)</f>
        <v>8.0001999999999995</v>
      </c>
      <c r="X20" s="455" t="str">
        <f>IF(COUNTA(C20:V20)=0,"",IF(RANK(W20,$W$17:$W$20)&lt;3,"edasi "&amp;RANK(W20,$W$17:$W$20),RANK(W20,$W$17:$W$20)+2))</f>
        <v>edasi 2</v>
      </c>
    </row>
    <row r="21" spans="1:24" ht="13.5" thickBot="1" x14ac:dyDescent="0.25">
      <c r="A21" s="478"/>
      <c r="B21" s="479" t="s">
        <v>779</v>
      </c>
      <c r="C21" s="449"/>
      <c r="D21" s="450"/>
      <c r="E21" s="450"/>
      <c r="F21" s="451"/>
      <c r="G21" s="449"/>
      <c r="H21" s="450"/>
      <c r="I21" s="450"/>
      <c r="J21" s="451"/>
      <c r="K21" s="449"/>
      <c r="L21" s="450"/>
      <c r="M21" s="450"/>
      <c r="N21" s="1060"/>
      <c r="O21" s="449"/>
      <c r="P21" s="450"/>
      <c r="Q21" s="450"/>
      <c r="R21" s="451"/>
      <c r="S21" s="449"/>
      <c r="T21" s="450"/>
      <c r="U21" s="450"/>
      <c r="V21" s="451"/>
      <c r="W21" s="452"/>
      <c r="X21" s="452"/>
    </row>
    <row r="22" spans="1:24" ht="14.25" thickTop="1" thickBot="1" x14ac:dyDescent="0.25">
      <c r="A22" s="834">
        <v>1</v>
      </c>
      <c r="B22" s="840" t="s">
        <v>48</v>
      </c>
      <c r="C22" s="836">
        <v>3</v>
      </c>
      <c r="D22" s="837">
        <v>3</v>
      </c>
      <c r="E22" s="837">
        <v>0</v>
      </c>
      <c r="F22" s="838">
        <v>0</v>
      </c>
      <c r="G22" s="836">
        <v>0</v>
      </c>
      <c r="H22" s="837">
        <v>0</v>
      </c>
      <c r="I22" s="837">
        <v>0</v>
      </c>
      <c r="J22" s="838">
        <v>0</v>
      </c>
      <c r="K22" s="836">
        <v>0</v>
      </c>
      <c r="L22" s="837">
        <v>1</v>
      </c>
      <c r="M22" s="838">
        <v>0</v>
      </c>
      <c r="N22" s="1072">
        <v>5</v>
      </c>
      <c r="O22" s="1051">
        <v>0</v>
      </c>
      <c r="P22" s="837">
        <v>0</v>
      </c>
      <c r="Q22" s="837">
        <v>0</v>
      </c>
      <c r="R22" s="838">
        <v>0</v>
      </c>
      <c r="S22" s="836">
        <v>0</v>
      </c>
      <c r="T22" s="837">
        <v>0</v>
      </c>
      <c r="U22" s="837">
        <v>0</v>
      </c>
      <c r="V22" s="838">
        <v>0</v>
      </c>
      <c r="W22" s="470">
        <f>SUM(C22:V22)</f>
        <v>12</v>
      </c>
      <c r="X22" s="839" t="str">
        <f>IF(COUNTA(C22:V22)=0,"",IF(W22=W23,"ümbervisk",IF(W22&gt;W23,"finaali "&amp;(IF(W22&lt;MAX(W24:W25),2,IF(W22=MAX(W24:W25),"",1))),"pronksi "&amp;(IF(W22&lt;MIN(W24:W25),2,IF(W22=MIN(W24:W25),"",1))))))</f>
        <v>finaali 2</v>
      </c>
    </row>
    <row r="23" spans="1:24" ht="13.5" thickTop="1" x14ac:dyDescent="0.2">
      <c r="A23" s="834">
        <v>4</v>
      </c>
      <c r="B23" s="505" t="s">
        <v>39</v>
      </c>
      <c r="C23" s="836">
        <v>0</v>
      </c>
      <c r="D23" s="837">
        <v>0</v>
      </c>
      <c r="E23" s="837">
        <v>0</v>
      </c>
      <c r="F23" s="838">
        <v>0</v>
      </c>
      <c r="G23" s="836">
        <v>0</v>
      </c>
      <c r="H23" s="837">
        <v>0</v>
      </c>
      <c r="I23" s="837">
        <v>3</v>
      </c>
      <c r="J23" s="838">
        <v>0</v>
      </c>
      <c r="K23" s="836">
        <v>3</v>
      </c>
      <c r="L23" s="837">
        <v>0</v>
      </c>
      <c r="M23" s="837">
        <v>0</v>
      </c>
      <c r="N23" s="1066">
        <v>0</v>
      </c>
      <c r="O23" s="836">
        <v>3</v>
      </c>
      <c r="P23" s="837">
        <v>0</v>
      </c>
      <c r="Q23" s="837">
        <v>0</v>
      </c>
      <c r="R23" s="838">
        <v>0</v>
      </c>
      <c r="S23" s="836">
        <v>0</v>
      </c>
      <c r="T23" s="837">
        <v>0</v>
      </c>
      <c r="U23" s="837">
        <v>0</v>
      </c>
      <c r="V23" s="838">
        <v>0</v>
      </c>
      <c r="W23" s="470">
        <f>SUM(C23:V23)</f>
        <v>9</v>
      </c>
      <c r="X23" s="839" t="str">
        <f>IF(COUNTA(C23:V23)=0,"",IF(W22=W23,"ümbervisk",IF(W23&gt;W22,"finaali "&amp;(IF(W23&lt;MAX(W24:W25),2,IF(W23=MAX(W24:W25),"",1))),"pronksi "&amp;(IF(W23&lt;MIN(W24:W25),2,IF(W23=MIN(W24:W25),"",1))))))</f>
        <v>pronksi 1</v>
      </c>
    </row>
    <row r="24" spans="1:24" x14ac:dyDescent="0.2">
      <c r="A24" s="478">
        <v>2</v>
      </c>
      <c r="B24" s="498" t="s">
        <v>45</v>
      </c>
      <c r="C24" s="449">
        <v>0</v>
      </c>
      <c r="D24" s="450">
        <v>3</v>
      </c>
      <c r="E24" s="450">
        <v>0</v>
      </c>
      <c r="F24" s="451">
        <v>0</v>
      </c>
      <c r="G24" s="449">
        <v>3</v>
      </c>
      <c r="H24" s="450">
        <v>3</v>
      </c>
      <c r="I24" s="450">
        <v>0</v>
      </c>
      <c r="J24" s="451">
        <v>3</v>
      </c>
      <c r="K24" s="449">
        <v>0</v>
      </c>
      <c r="L24" s="450">
        <v>0</v>
      </c>
      <c r="M24" s="450">
        <v>0</v>
      </c>
      <c r="N24" s="451">
        <v>0</v>
      </c>
      <c r="O24" s="449">
        <v>0</v>
      </c>
      <c r="P24" s="450">
        <v>0</v>
      </c>
      <c r="Q24" s="450">
        <v>3</v>
      </c>
      <c r="R24" s="451">
        <v>3</v>
      </c>
      <c r="S24" s="449">
        <v>0</v>
      </c>
      <c r="T24" s="450">
        <v>0</v>
      </c>
      <c r="U24" s="450">
        <v>0</v>
      </c>
      <c r="V24" s="451">
        <v>0</v>
      </c>
      <c r="W24" s="455">
        <f>SUM(C24:V24)</f>
        <v>18</v>
      </c>
      <c r="X24" s="452" t="str">
        <f>IF(COUNTA(C24:V24)=0,"",IF(W24=W25,"ümbervisk",IF(W24&gt;W25,"finaali "&amp;(IF(W24&lt;MAX(W22:W23),2,IF(W24=MAX(W22:W23),"",1))),"pronksi "&amp;(IF(W24&lt;MIN(W22:W23),2,IF(W24=MIN(W22:W23),"",1))))))</f>
        <v>finaali 1</v>
      </c>
    </row>
    <row r="25" spans="1:24" x14ac:dyDescent="0.2">
      <c r="A25" s="478">
        <v>3</v>
      </c>
      <c r="B25" s="498" t="s">
        <v>70</v>
      </c>
      <c r="C25" s="449">
        <v>0</v>
      </c>
      <c r="D25" s="450">
        <v>1</v>
      </c>
      <c r="E25" s="450">
        <v>0</v>
      </c>
      <c r="F25" s="451">
        <v>3</v>
      </c>
      <c r="G25" s="449">
        <v>0</v>
      </c>
      <c r="H25" s="450">
        <v>0</v>
      </c>
      <c r="I25" s="450">
        <v>0</v>
      </c>
      <c r="J25" s="451">
        <v>3</v>
      </c>
      <c r="K25" s="449">
        <v>0</v>
      </c>
      <c r="L25" s="450">
        <v>0</v>
      </c>
      <c r="M25" s="450">
        <v>1</v>
      </c>
      <c r="N25" s="451">
        <v>0</v>
      </c>
      <c r="O25" s="449">
        <v>0</v>
      </c>
      <c r="P25" s="450">
        <v>0</v>
      </c>
      <c r="Q25" s="450">
        <v>0</v>
      </c>
      <c r="R25" s="451">
        <v>0</v>
      </c>
      <c r="S25" s="449">
        <v>0</v>
      </c>
      <c r="T25" s="450">
        <v>0</v>
      </c>
      <c r="U25" s="450">
        <v>0</v>
      </c>
      <c r="V25" s="451">
        <v>0</v>
      </c>
      <c r="W25" s="455">
        <f>SUM(C25:V25)</f>
        <v>8</v>
      </c>
      <c r="X25" s="452" t="str">
        <f>IF(COUNTA(C25:V25)=0,"",IF(W24=W25,"ümbervisk",IF(W25&gt;W24,"finaali "&amp;(IF(W25&lt;MAX(W22:W23),2,IF(W25=MAX(W22:W23),"",1))),"pronksi "&amp;(IF(W25&lt;MIN(W22:W23),2,IF(W25=MIN(W22:W23),"",1))))))</f>
        <v>pronksi 2</v>
      </c>
    </row>
    <row r="26" spans="1:24" ht="13.5" thickBot="1" x14ac:dyDescent="0.25">
      <c r="A26" s="478"/>
      <c r="B26" s="480" t="s">
        <v>780</v>
      </c>
      <c r="C26" s="449"/>
      <c r="D26" s="1059"/>
      <c r="E26" s="450"/>
      <c r="F26" s="451"/>
      <c r="G26" s="449"/>
      <c r="H26" s="450"/>
      <c r="I26" s="450"/>
      <c r="J26" s="451"/>
      <c r="K26" s="449"/>
      <c r="L26" s="450"/>
      <c r="M26" s="450"/>
      <c r="N26" s="451"/>
      <c r="O26" s="449"/>
      <c r="P26" s="450"/>
      <c r="Q26" s="450"/>
      <c r="R26" s="451"/>
      <c r="S26" s="449"/>
      <c r="T26" s="450"/>
      <c r="U26" s="450"/>
      <c r="V26" s="451"/>
      <c r="W26" s="455"/>
      <c r="X26" s="452"/>
    </row>
    <row r="27" spans="1:24" ht="14.25" thickTop="1" thickBot="1" x14ac:dyDescent="0.25">
      <c r="A27" s="478"/>
      <c r="B27" s="500" t="s">
        <v>70</v>
      </c>
      <c r="C27" s="1045">
        <v>3</v>
      </c>
      <c r="D27" s="1073">
        <v>5</v>
      </c>
      <c r="E27" s="1052">
        <v>0</v>
      </c>
      <c r="F27" s="451">
        <v>0</v>
      </c>
      <c r="G27" s="449">
        <v>3</v>
      </c>
      <c r="H27" s="450">
        <v>0</v>
      </c>
      <c r="I27" s="450">
        <v>0</v>
      </c>
      <c r="J27" s="451">
        <v>0</v>
      </c>
      <c r="K27" s="449">
        <v>1</v>
      </c>
      <c r="L27" s="450">
        <v>0</v>
      </c>
      <c r="M27" s="450">
        <v>0</v>
      </c>
      <c r="N27" s="451">
        <v>0</v>
      </c>
      <c r="O27" s="449">
        <v>0</v>
      </c>
      <c r="P27" s="450">
        <v>3</v>
      </c>
      <c r="Q27" s="450">
        <v>0</v>
      </c>
      <c r="R27" s="451">
        <v>0</v>
      </c>
      <c r="S27" s="449">
        <v>0</v>
      </c>
      <c r="T27" s="450">
        <v>0</v>
      </c>
      <c r="U27" s="450">
        <v>0</v>
      </c>
      <c r="V27" s="451">
        <v>0</v>
      </c>
      <c r="W27" s="455">
        <f>SUM(C27:V27)</f>
        <v>15</v>
      </c>
      <c r="X27" s="460">
        <f ca="1">IF( INDIRECT("RC[-1]",0)=MAX(( INDIRECT("R[-1]C[-1]",0)):( INDIRECT("R[1]C[-1]",0))),3,4)</f>
        <v>3</v>
      </c>
    </row>
    <row r="28" spans="1:24" ht="13.5" thickTop="1" x14ac:dyDescent="0.2">
      <c r="A28" s="478"/>
      <c r="B28" s="498" t="s">
        <v>39</v>
      </c>
      <c r="C28" s="449">
        <v>0</v>
      </c>
      <c r="D28" s="1067">
        <v>0</v>
      </c>
      <c r="E28" s="450">
        <v>0</v>
      </c>
      <c r="F28" s="451">
        <v>1</v>
      </c>
      <c r="G28" s="449">
        <v>0</v>
      </c>
      <c r="H28" s="450">
        <v>0</v>
      </c>
      <c r="I28" s="450">
        <v>0</v>
      </c>
      <c r="J28" s="481">
        <v>0</v>
      </c>
      <c r="K28" s="449">
        <v>0</v>
      </c>
      <c r="L28" s="450">
        <v>0</v>
      </c>
      <c r="M28" s="450">
        <v>0</v>
      </c>
      <c r="N28" s="451">
        <v>0</v>
      </c>
      <c r="O28" s="449">
        <v>0</v>
      </c>
      <c r="P28" s="450">
        <v>0</v>
      </c>
      <c r="Q28" s="450">
        <v>0</v>
      </c>
      <c r="R28" s="451">
        <v>0</v>
      </c>
      <c r="S28" s="449">
        <v>0</v>
      </c>
      <c r="T28" s="450">
        <v>0</v>
      </c>
      <c r="U28" s="450">
        <v>0</v>
      </c>
      <c r="V28" s="451">
        <v>0</v>
      </c>
      <c r="W28" s="455">
        <f>SUM(C28:V28)</f>
        <v>1</v>
      </c>
      <c r="X28" s="460">
        <f ca="1">IF( INDIRECT("RC[-1]",0)=MAX(( INDIRECT("R[-1]C[-1]",0)):( INDIRECT("R[1]C[-1]",0))),3,4)</f>
        <v>4</v>
      </c>
    </row>
    <row r="29" spans="1:24" ht="13.5" thickBot="1" x14ac:dyDescent="0.25">
      <c r="A29" s="478"/>
      <c r="B29" s="480" t="s">
        <v>781</v>
      </c>
      <c r="C29" s="449"/>
      <c r="D29" s="450"/>
      <c r="E29" s="450"/>
      <c r="F29" s="451"/>
      <c r="G29" s="449"/>
      <c r="H29" s="1059"/>
      <c r="I29" s="450"/>
      <c r="J29" s="451"/>
      <c r="K29" s="449"/>
      <c r="L29" s="450"/>
      <c r="M29" s="450"/>
      <c r="N29" s="451"/>
      <c r="O29" s="449"/>
      <c r="P29" s="450"/>
      <c r="Q29" s="450"/>
      <c r="R29" s="451"/>
      <c r="S29" s="449"/>
      <c r="T29" s="450"/>
      <c r="U29" s="450"/>
      <c r="V29" s="1060"/>
      <c r="W29" s="455"/>
      <c r="X29" s="452"/>
    </row>
    <row r="30" spans="1:24" ht="14.25" thickTop="1" thickBot="1" x14ac:dyDescent="0.25">
      <c r="A30" s="478"/>
      <c r="B30" s="498" t="s">
        <v>45</v>
      </c>
      <c r="C30" s="1061">
        <v>0</v>
      </c>
      <c r="D30" s="450">
        <v>1</v>
      </c>
      <c r="E30" s="450">
        <v>0</v>
      </c>
      <c r="F30" s="451">
        <v>0</v>
      </c>
      <c r="G30" s="1045">
        <v>0</v>
      </c>
      <c r="H30" s="1073">
        <v>5</v>
      </c>
      <c r="I30" s="1052">
        <v>0</v>
      </c>
      <c r="J30" s="451">
        <v>0</v>
      </c>
      <c r="K30" s="449">
        <v>0</v>
      </c>
      <c r="L30" s="450">
        <v>0</v>
      </c>
      <c r="M30" s="450">
        <v>0</v>
      </c>
      <c r="N30" s="451">
        <v>0</v>
      </c>
      <c r="O30" s="449">
        <v>3</v>
      </c>
      <c r="P30" s="450">
        <v>3</v>
      </c>
      <c r="Q30" s="450">
        <v>0</v>
      </c>
      <c r="R30" s="451">
        <v>0</v>
      </c>
      <c r="S30" s="449">
        <v>0</v>
      </c>
      <c r="T30" s="450">
        <v>0</v>
      </c>
      <c r="U30" s="451">
        <v>0</v>
      </c>
      <c r="V30" s="1073">
        <v>5</v>
      </c>
      <c r="W30" s="1053">
        <f>SUM(C30:V30)</f>
        <v>17</v>
      </c>
      <c r="X30" s="460">
        <f ca="1">IF( INDIRECT("RC[-1]",0)=MAX(( INDIRECT("R[-1]C[-1]",0)):( INDIRECT("R[1]C[-1]",0))),1,2)</f>
        <v>1</v>
      </c>
    </row>
    <row r="31" spans="1:24" ht="14.25" thickTop="1" thickBot="1" x14ac:dyDescent="0.25">
      <c r="A31" s="482"/>
      <c r="B31" s="1046" t="s">
        <v>48</v>
      </c>
      <c r="C31" s="1073">
        <v>5</v>
      </c>
      <c r="D31" s="1054">
        <v>0</v>
      </c>
      <c r="E31" s="462">
        <v>3</v>
      </c>
      <c r="F31" s="463">
        <v>0</v>
      </c>
      <c r="G31" s="461">
        <v>0</v>
      </c>
      <c r="H31" s="1069">
        <v>0</v>
      </c>
      <c r="I31" s="462">
        <v>0</v>
      </c>
      <c r="J31" s="463">
        <v>0</v>
      </c>
      <c r="K31" s="461">
        <v>0</v>
      </c>
      <c r="L31" s="462">
        <v>0</v>
      </c>
      <c r="M31" s="462">
        <v>0</v>
      </c>
      <c r="N31" s="463">
        <v>0</v>
      </c>
      <c r="O31" s="461">
        <v>3</v>
      </c>
      <c r="P31" s="462">
        <v>0</v>
      </c>
      <c r="Q31" s="462">
        <v>0</v>
      </c>
      <c r="R31" s="463">
        <v>0</v>
      </c>
      <c r="S31" s="461">
        <v>0</v>
      </c>
      <c r="T31" s="462">
        <v>0</v>
      </c>
      <c r="U31" s="462">
        <v>0</v>
      </c>
      <c r="V31" s="1068">
        <v>0</v>
      </c>
      <c r="W31" s="464">
        <f>SUM(C31:V31)</f>
        <v>11</v>
      </c>
      <c r="X31" s="465">
        <f ca="1">IF( INDIRECT("RC[-1]",0)=MAX(( INDIRECT("R[-1]C[-1]",0)):( INDIRECT("R[1]C[-1]",0))),1,2)</f>
        <v>2</v>
      </c>
    </row>
    <row r="32" spans="1:24" x14ac:dyDescent="0.2">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row>
    <row r="33" spans="1:24" x14ac:dyDescent="0.2">
      <c r="A33" s="483">
        <v>1</v>
      </c>
      <c r="B33" s="508" t="s">
        <v>45</v>
      </c>
      <c r="C33" s="477"/>
      <c r="D33" s="477"/>
      <c r="E33" s="477"/>
      <c r="F33" s="477"/>
      <c r="G33" s="477"/>
      <c r="H33" s="477"/>
      <c r="I33" s="477"/>
      <c r="J33" s="477"/>
      <c r="K33" s="477"/>
      <c r="L33" s="477"/>
      <c r="M33" s="477"/>
      <c r="N33" s="477"/>
      <c r="O33" s="477"/>
      <c r="P33" s="477"/>
      <c r="Q33" s="477"/>
      <c r="R33" s="477"/>
      <c r="S33" s="477"/>
      <c r="T33" s="477"/>
      <c r="U33" s="477"/>
      <c r="V33" s="477"/>
      <c r="W33" s="477"/>
      <c r="X33" s="477"/>
    </row>
    <row r="34" spans="1:24" x14ac:dyDescent="0.2">
      <c r="A34" s="483">
        <v>2</v>
      </c>
      <c r="B34" s="484" t="s">
        <v>48</v>
      </c>
      <c r="C34" s="477"/>
      <c r="D34" s="477"/>
      <c r="E34" s="477"/>
      <c r="F34" s="477"/>
      <c r="G34" s="477"/>
      <c r="H34" s="477"/>
      <c r="I34" s="477"/>
      <c r="J34" s="477"/>
      <c r="K34" s="477"/>
      <c r="L34" s="477"/>
      <c r="M34" s="477"/>
      <c r="N34" s="477"/>
      <c r="O34" s="477"/>
      <c r="P34" s="477"/>
      <c r="Q34" s="477"/>
      <c r="R34" s="477"/>
      <c r="S34" s="477"/>
      <c r="T34" s="477"/>
      <c r="U34" s="477"/>
      <c r="V34" s="477"/>
      <c r="W34" s="477"/>
      <c r="X34" s="477"/>
    </row>
    <row r="35" spans="1:24" x14ac:dyDescent="0.2">
      <c r="A35" s="483">
        <v>3</v>
      </c>
      <c r="B35" s="485" t="s">
        <v>70</v>
      </c>
      <c r="C35" s="477"/>
      <c r="D35" s="477"/>
      <c r="E35" s="477"/>
      <c r="F35" s="477"/>
      <c r="G35" s="477"/>
      <c r="H35" s="477"/>
      <c r="I35" s="477"/>
      <c r="J35" s="477"/>
      <c r="K35" s="477"/>
      <c r="L35" s="477"/>
      <c r="M35" s="477"/>
      <c r="N35" s="477"/>
      <c r="O35" s="477"/>
      <c r="P35" s="477"/>
      <c r="Q35" s="477"/>
      <c r="R35" s="477"/>
      <c r="S35" s="477"/>
      <c r="T35" s="477"/>
      <c r="U35" s="477"/>
      <c r="V35" s="477"/>
      <c r="W35" s="477"/>
      <c r="X35" s="477"/>
    </row>
    <row r="36" spans="1:24" x14ac:dyDescent="0.2">
      <c r="A36" s="483">
        <v>4</v>
      </c>
      <c r="B36" s="486" t="s">
        <v>39</v>
      </c>
      <c r="C36" s="477"/>
      <c r="D36" s="477"/>
      <c r="E36" s="477"/>
      <c r="F36" s="477"/>
      <c r="G36" s="477"/>
      <c r="H36" s="477"/>
      <c r="I36" s="477"/>
      <c r="J36" s="477"/>
      <c r="K36" s="477"/>
      <c r="L36" s="477"/>
      <c r="M36" s="477"/>
      <c r="N36" s="477"/>
      <c r="O36" s="477"/>
      <c r="P36" s="477"/>
      <c r="Q36" s="477"/>
      <c r="R36" s="477"/>
      <c r="S36" s="477"/>
      <c r="T36" s="477"/>
      <c r="U36" s="477"/>
      <c r="V36" s="477"/>
      <c r="W36" s="477"/>
      <c r="X36" s="477"/>
    </row>
    <row r="37" spans="1:24" x14ac:dyDescent="0.2">
      <c r="A37" s="483">
        <v>5</v>
      </c>
      <c r="B37" s="487" t="s">
        <v>52</v>
      </c>
      <c r="C37" s="477"/>
      <c r="D37" s="477"/>
      <c r="E37" s="477"/>
      <c r="F37" s="477"/>
      <c r="G37" s="477"/>
      <c r="H37" s="477"/>
      <c r="I37" s="477"/>
      <c r="J37" s="477"/>
      <c r="K37" s="477"/>
      <c r="L37" s="477"/>
      <c r="M37" s="477"/>
      <c r="N37" s="477"/>
      <c r="O37" s="477"/>
      <c r="P37" s="477"/>
      <c r="Q37" s="477"/>
      <c r="R37" s="477"/>
      <c r="S37" s="477"/>
      <c r="T37" s="477"/>
      <c r="U37" s="477"/>
      <c r="V37" s="477"/>
      <c r="W37" s="477"/>
      <c r="X37" s="477"/>
    </row>
    <row r="38" spans="1:24" x14ac:dyDescent="0.2">
      <c r="A38" s="483">
        <v>6</v>
      </c>
      <c r="B38" s="466" t="s">
        <v>63</v>
      </c>
      <c r="C38" s="477"/>
      <c r="D38" s="477"/>
      <c r="E38" s="477"/>
      <c r="F38" s="477"/>
      <c r="G38" s="477"/>
      <c r="H38" s="477"/>
      <c r="I38" s="477"/>
      <c r="J38" s="477"/>
      <c r="K38" s="477"/>
      <c r="L38" s="477"/>
      <c r="M38" s="477"/>
      <c r="N38" s="477"/>
      <c r="O38" s="477"/>
      <c r="P38" s="477"/>
      <c r="Q38" s="477"/>
      <c r="R38" s="477"/>
      <c r="S38" s="477"/>
      <c r="T38" s="477"/>
      <c r="U38" s="477"/>
      <c r="V38" s="477"/>
      <c r="W38" s="477"/>
      <c r="X38" s="477"/>
    </row>
    <row r="39" spans="1:24" x14ac:dyDescent="0.2">
      <c r="A39" s="483">
        <v>7</v>
      </c>
      <c r="B39" s="486" t="s">
        <v>56</v>
      </c>
      <c r="C39" s="477"/>
      <c r="D39" s="477"/>
      <c r="E39" s="477"/>
      <c r="F39" s="477"/>
      <c r="G39" s="477"/>
      <c r="H39" s="477"/>
      <c r="I39" s="477"/>
      <c r="J39" s="477"/>
      <c r="K39" s="477"/>
      <c r="L39" s="477"/>
      <c r="M39" s="477"/>
      <c r="N39" s="477"/>
      <c r="O39" s="477"/>
      <c r="P39" s="477"/>
      <c r="Q39" s="477"/>
      <c r="R39" s="477"/>
      <c r="S39" s="477"/>
      <c r="T39" s="477"/>
      <c r="U39" s="477"/>
      <c r="V39" s="477"/>
      <c r="W39" s="477"/>
      <c r="X39" s="477"/>
    </row>
  </sheetData>
  <conditionalFormatting sqref="W30:W31">
    <cfRule type="top10" dxfId="208" priority="7" rank="1"/>
  </conditionalFormatting>
  <conditionalFormatting sqref="W22:W23">
    <cfRule type="top10" dxfId="207" priority="10" rank="1"/>
  </conditionalFormatting>
  <conditionalFormatting sqref="W24:W25">
    <cfRule type="top10" dxfId="206" priority="9" rank="1"/>
  </conditionalFormatting>
  <conditionalFormatting sqref="W27:W28">
    <cfRule type="top10" dxfId="205" priority="8" rank="1"/>
  </conditionalFormatting>
  <conditionalFormatting sqref="X24:X25">
    <cfRule type="duplicateValues" dxfId="204" priority="5"/>
  </conditionalFormatting>
  <conditionalFormatting sqref="X22:X23">
    <cfRule type="duplicateValues" dxfId="203" priority="6"/>
  </conditionalFormatting>
  <conditionalFormatting sqref="X9:X15">
    <cfRule type="duplicateValues" dxfId="202" priority="4"/>
  </conditionalFormatting>
  <conditionalFormatting sqref="X17:X20">
    <cfRule type="duplicateValues" dxfId="201" priority="3"/>
  </conditionalFormatting>
  <conditionalFormatting sqref="B9:B15">
    <cfRule type="duplicateValues" dxfId="200" priority="2" stopIfTrue="1"/>
  </conditionalFormatting>
  <conditionalFormatting sqref="B33:B39">
    <cfRule type="duplicateValues" dxfId="199" priority="1" stopIfTrue="1"/>
  </conditionalFormatting>
  <conditionalFormatting sqref="B20">
    <cfRule type="duplicateValues" dxfId="198" priority="11" stopIfTrue="1"/>
  </conditionalFormatting>
  <conditionalFormatting sqref="X17:X20">
    <cfRule type="top10" dxfId="197" priority="12" stopIfTrue="1" rank="100"/>
  </conditionalFormatting>
  <conditionalFormatting sqref="X9:X15">
    <cfRule type="top10" dxfId="196" priority="13" stopIfTrue="1" rank="100"/>
  </conditionalFormatting>
  <conditionalFormatting sqref="W9:W31">
    <cfRule type="top10" dxfId="195" priority="14" stopIfTrue="1" rank="1"/>
  </conditionalFormatting>
  <pageMargins left="0.78740157480314965" right="0.39370078740157483" top="0.78740157480314965" bottom="0.39370078740157483" header="0.59055118110236227" footer="0"/>
  <pageSetup paperSize="9" fitToHeight="0" orientation="portrait" r:id="rId1"/>
  <headerFooter alignWithMargins="0">
    <oddHeader>&amp;R&amp;"Arial,Regular"&amp;9Page &amp;P of &amp;N</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528" customWidth="1"/>
    <col min="2" max="2" width="34.140625" style="528" bestFit="1" customWidth="1"/>
    <col min="3" max="3" width="9.140625" style="528" customWidth="1"/>
    <col min="4" max="4" width="9.42578125" style="528" bestFit="1" customWidth="1"/>
    <col min="5" max="5" width="9.140625" style="528" customWidth="1"/>
    <col min="6" max="6" width="34.140625" style="528" bestFit="1" customWidth="1"/>
    <col min="7" max="7" width="6" style="528" customWidth="1"/>
    <col min="8" max="8" width="9.140625" style="528"/>
    <col min="9" max="9" width="9.140625" style="528" customWidth="1"/>
    <col min="10" max="16384" width="9.140625" style="528"/>
  </cols>
  <sheetData>
    <row r="1" spans="1:7" x14ac:dyDescent="0.2">
      <c r="A1" s="314" t="str">
        <f>UPPER((Kalend!E30)&amp;" - "&amp;(Kalend!C30)&amp;" - "&amp;(Kalend!D30))</f>
        <v>14 - EESTI REITINGUVÕISTLUS - DUO</v>
      </c>
      <c r="F1" s="204" t="str">
        <f>HYPERLINK("#Üldreiting!I1","Reiting")</f>
        <v>Reiting</v>
      </c>
    </row>
    <row r="2" spans="1:7" x14ac:dyDescent="0.2">
      <c r="A2" s="309" t="str">
        <f>"Toimumisaeg: "&amp;(Kalend!A30)&amp;" kell "&amp;(Kalend!B30)</f>
        <v>Toimumisaeg: P, 07.08.2016 kell 10:00</v>
      </c>
    </row>
    <row r="3" spans="1:7" x14ac:dyDescent="0.2">
      <c r="A3" s="309" t="str">
        <f>"Toimumiskoht: "&amp;(Kalend!H30)</f>
        <v>Toimumiskoht: Uuskalda (Läänemaa, Kärbla küla)</v>
      </c>
      <c r="F3" s="542" t="s">
        <v>838</v>
      </c>
    </row>
    <row r="4" spans="1:7" x14ac:dyDescent="0.2">
      <c r="A4" s="309" t="str">
        <f>"Korraldaja: "&amp;(Kalend!I30)</f>
        <v>Korraldaja: PK Wicia</v>
      </c>
      <c r="F4" s="542" t="s">
        <v>839</v>
      </c>
    </row>
    <row r="5" spans="1:7" x14ac:dyDescent="0.2">
      <c r="F5" s="542" t="s">
        <v>840</v>
      </c>
    </row>
    <row r="6" spans="1:7" x14ac:dyDescent="0.2">
      <c r="A6" s="338" t="s">
        <v>641</v>
      </c>
      <c r="B6" s="529"/>
      <c r="C6" s="540" t="s">
        <v>834</v>
      </c>
      <c r="D6" s="541" t="s">
        <v>835</v>
      </c>
      <c r="E6" s="540" t="s">
        <v>834</v>
      </c>
      <c r="F6" s="363"/>
    </row>
    <row r="7" spans="1:7" x14ac:dyDescent="0.2">
      <c r="A7" s="313" t="s">
        <v>618</v>
      </c>
      <c r="B7" s="516" t="s">
        <v>484</v>
      </c>
      <c r="C7" s="365">
        <v>2</v>
      </c>
      <c r="D7" s="517" t="s">
        <v>735</v>
      </c>
      <c r="E7" s="365"/>
      <c r="F7" s="516" t="s">
        <v>798</v>
      </c>
      <c r="G7" s="52" t="s">
        <v>552</v>
      </c>
    </row>
    <row r="8" spans="1:7" x14ac:dyDescent="0.2">
      <c r="A8" s="313" t="s">
        <v>626</v>
      </c>
      <c r="B8" s="530" t="s">
        <v>799</v>
      </c>
      <c r="C8" s="365">
        <v>2</v>
      </c>
      <c r="D8" s="517" t="s">
        <v>648</v>
      </c>
      <c r="E8" s="365"/>
      <c r="F8" s="530" t="s">
        <v>800</v>
      </c>
      <c r="G8" s="52" t="s">
        <v>551</v>
      </c>
    </row>
    <row r="9" spans="1:7" x14ac:dyDescent="0.2">
      <c r="A9" s="313" t="s">
        <v>627</v>
      </c>
      <c r="B9" s="530" t="s">
        <v>497</v>
      </c>
      <c r="C9" s="365">
        <v>2</v>
      </c>
      <c r="D9" s="517" t="s">
        <v>735</v>
      </c>
      <c r="E9" s="365"/>
      <c r="F9" s="530" t="s">
        <v>801</v>
      </c>
      <c r="G9" s="52" t="s">
        <v>797</v>
      </c>
    </row>
    <row r="10" spans="1:7" x14ac:dyDescent="0.2">
      <c r="A10" s="313" t="s">
        <v>628</v>
      </c>
      <c r="B10" s="330" t="s">
        <v>802</v>
      </c>
      <c r="C10" s="365">
        <v>2</v>
      </c>
      <c r="D10" s="517" t="s">
        <v>734</v>
      </c>
      <c r="E10" s="365"/>
      <c r="F10" s="530" t="s">
        <v>803</v>
      </c>
      <c r="G10" s="52" t="s">
        <v>796</v>
      </c>
    </row>
    <row r="11" spans="1:7" x14ac:dyDescent="0.2">
      <c r="A11" s="313" t="s">
        <v>621</v>
      </c>
      <c r="B11" s="530" t="s">
        <v>804</v>
      </c>
      <c r="C11" s="365">
        <v>2</v>
      </c>
      <c r="D11" s="517" t="s">
        <v>651</v>
      </c>
      <c r="E11" s="365"/>
      <c r="F11" s="530" t="s">
        <v>699</v>
      </c>
      <c r="G11" s="52" t="s">
        <v>795</v>
      </c>
    </row>
    <row r="12" spans="1:7" x14ac:dyDescent="0.2">
      <c r="A12" s="313" t="s">
        <v>620</v>
      </c>
      <c r="B12" s="530" t="s">
        <v>805</v>
      </c>
      <c r="C12" s="365">
        <v>2</v>
      </c>
      <c r="D12" s="517" t="s">
        <v>652</v>
      </c>
      <c r="E12" s="365"/>
      <c r="F12" s="518" t="s">
        <v>806</v>
      </c>
      <c r="G12" s="52" t="s">
        <v>794</v>
      </c>
    </row>
    <row r="13" spans="1:7" x14ac:dyDescent="0.2">
      <c r="A13" s="313" t="s">
        <v>629</v>
      </c>
      <c r="B13" s="310" t="s">
        <v>807</v>
      </c>
      <c r="C13" s="365"/>
      <c r="D13" s="517" t="s">
        <v>637</v>
      </c>
      <c r="E13" s="365">
        <v>2</v>
      </c>
      <c r="F13" s="530" t="s">
        <v>808</v>
      </c>
      <c r="G13" s="52" t="s">
        <v>581</v>
      </c>
    </row>
    <row r="14" spans="1:7" x14ac:dyDescent="0.2">
      <c r="A14" s="313" t="s">
        <v>630</v>
      </c>
      <c r="B14" s="530" t="s">
        <v>487</v>
      </c>
      <c r="C14" s="365">
        <v>2</v>
      </c>
      <c r="D14" s="517" t="s">
        <v>625</v>
      </c>
      <c r="E14" s="365"/>
      <c r="F14" s="516" t="s">
        <v>809</v>
      </c>
      <c r="G14" s="52" t="s">
        <v>793</v>
      </c>
    </row>
    <row r="15" spans="1:7" x14ac:dyDescent="0.2">
      <c r="A15" s="313" t="s">
        <v>337</v>
      </c>
      <c r="B15" s="310" t="s">
        <v>810</v>
      </c>
      <c r="C15" s="365">
        <v>2</v>
      </c>
      <c r="D15" s="517" t="s">
        <v>811</v>
      </c>
      <c r="E15" s="365"/>
      <c r="F15" s="516" t="s">
        <v>830</v>
      </c>
      <c r="G15" s="52" t="s">
        <v>578</v>
      </c>
    </row>
    <row r="16" spans="1:7" x14ac:dyDescent="0.2">
      <c r="A16" s="313" t="s">
        <v>32</v>
      </c>
      <c r="B16" s="310" t="s">
        <v>812</v>
      </c>
      <c r="C16" s="365"/>
      <c r="D16" s="517" t="s">
        <v>646</v>
      </c>
      <c r="E16" s="365">
        <v>2</v>
      </c>
      <c r="F16" s="516" t="s">
        <v>813</v>
      </c>
      <c r="G16" s="52" t="s">
        <v>792</v>
      </c>
    </row>
    <row r="17" spans="1:8" x14ac:dyDescent="0.2">
      <c r="A17" s="313" t="s">
        <v>367</v>
      </c>
      <c r="B17" s="516" t="s">
        <v>874</v>
      </c>
      <c r="C17" s="365">
        <v>2</v>
      </c>
      <c r="D17" s="517" t="s">
        <v>814</v>
      </c>
      <c r="E17" s="365"/>
      <c r="F17" s="516" t="s">
        <v>815</v>
      </c>
      <c r="G17" s="52" t="s">
        <v>632</v>
      </c>
    </row>
    <row r="18" spans="1:8" x14ac:dyDescent="0.2">
      <c r="A18" s="313" t="s">
        <v>619</v>
      </c>
      <c r="B18" s="310" t="s">
        <v>816</v>
      </c>
      <c r="C18" s="365"/>
      <c r="D18" s="517" t="s">
        <v>817</v>
      </c>
      <c r="E18" s="365">
        <v>2</v>
      </c>
      <c r="F18" s="516" t="s">
        <v>701</v>
      </c>
      <c r="G18" s="52" t="s">
        <v>631</v>
      </c>
    </row>
    <row r="19" spans="1:8" x14ac:dyDescent="0.2">
      <c r="A19" s="313" t="s">
        <v>326</v>
      </c>
      <c r="B19" s="516" t="s">
        <v>836</v>
      </c>
      <c r="C19" s="365">
        <v>2</v>
      </c>
      <c r="D19" s="517" t="s">
        <v>654</v>
      </c>
      <c r="E19" s="365"/>
      <c r="F19" s="518" t="s">
        <v>819</v>
      </c>
      <c r="G19" s="52" t="s">
        <v>31</v>
      </c>
    </row>
    <row r="20" spans="1:8" x14ac:dyDescent="0.2">
      <c r="A20" s="313"/>
      <c r="B20" s="525"/>
      <c r="C20" s="515"/>
      <c r="D20" s="524"/>
      <c r="E20" s="515"/>
      <c r="F20" s="526"/>
      <c r="G20" s="52"/>
    </row>
    <row r="21" spans="1:8" x14ac:dyDescent="0.2">
      <c r="A21" s="340" t="s">
        <v>642</v>
      </c>
      <c r="B21" s="529"/>
      <c r="C21" s="540" t="s">
        <v>834</v>
      </c>
      <c r="D21" s="541" t="s">
        <v>835</v>
      </c>
      <c r="E21" s="540" t="s">
        <v>834</v>
      </c>
      <c r="F21" s="363"/>
      <c r="G21" s="52"/>
    </row>
    <row r="22" spans="1:8" x14ac:dyDescent="0.2">
      <c r="A22" s="313" t="s">
        <v>618</v>
      </c>
      <c r="B22" s="516" t="s">
        <v>484</v>
      </c>
      <c r="C22" s="365"/>
      <c r="D22" s="517" t="s">
        <v>634</v>
      </c>
      <c r="E22" s="365">
        <v>2</v>
      </c>
      <c r="F22" s="530" t="s">
        <v>497</v>
      </c>
      <c r="G22" s="314" t="s">
        <v>627</v>
      </c>
      <c r="H22" s="313"/>
    </row>
    <row r="23" spans="1:8" x14ac:dyDescent="0.2">
      <c r="A23" s="313" t="s">
        <v>626</v>
      </c>
      <c r="B23" s="530" t="s">
        <v>799</v>
      </c>
      <c r="C23" s="365">
        <v>2</v>
      </c>
      <c r="D23" s="517" t="s">
        <v>820</v>
      </c>
      <c r="E23" s="365"/>
      <c r="F23" s="530" t="s">
        <v>487</v>
      </c>
      <c r="G23" s="314" t="s">
        <v>630</v>
      </c>
      <c r="H23" s="313"/>
    </row>
    <row r="24" spans="1:8" x14ac:dyDescent="0.2">
      <c r="A24" s="313" t="s">
        <v>628</v>
      </c>
      <c r="B24" s="330" t="s">
        <v>802</v>
      </c>
      <c r="C24" s="365">
        <v>2</v>
      </c>
      <c r="D24" s="517" t="s">
        <v>657</v>
      </c>
      <c r="E24" s="365"/>
      <c r="F24" s="516" t="s">
        <v>813</v>
      </c>
      <c r="G24" s="52" t="s">
        <v>792</v>
      </c>
    </row>
    <row r="25" spans="1:8" x14ac:dyDescent="0.2">
      <c r="A25" s="313" t="s">
        <v>621</v>
      </c>
      <c r="B25" s="530" t="s">
        <v>804</v>
      </c>
      <c r="C25" s="365">
        <v>2</v>
      </c>
      <c r="D25" s="517" t="s">
        <v>821</v>
      </c>
      <c r="E25" s="365"/>
      <c r="F25" s="516" t="s">
        <v>701</v>
      </c>
      <c r="G25" s="52" t="s">
        <v>631</v>
      </c>
      <c r="H25" s="313"/>
    </row>
    <row r="26" spans="1:8" x14ac:dyDescent="0.2">
      <c r="A26" s="313" t="s">
        <v>620</v>
      </c>
      <c r="B26" s="530" t="s">
        <v>805</v>
      </c>
      <c r="C26" s="365">
        <v>2</v>
      </c>
      <c r="D26" s="517" t="s">
        <v>822</v>
      </c>
      <c r="E26" s="365"/>
      <c r="F26" s="530" t="s">
        <v>808</v>
      </c>
      <c r="G26" s="52" t="s">
        <v>581</v>
      </c>
      <c r="H26" s="313"/>
    </row>
    <row r="27" spans="1:8" x14ac:dyDescent="0.2">
      <c r="A27" s="313" t="s">
        <v>629</v>
      </c>
      <c r="B27" s="310" t="s">
        <v>807</v>
      </c>
      <c r="C27" s="365"/>
      <c r="D27" s="517" t="s">
        <v>646</v>
      </c>
      <c r="E27" s="365">
        <v>2</v>
      </c>
      <c r="F27" s="310" t="s">
        <v>812</v>
      </c>
      <c r="G27" s="314" t="s">
        <v>32</v>
      </c>
      <c r="H27" s="313"/>
    </row>
    <row r="28" spans="1:8" x14ac:dyDescent="0.2">
      <c r="A28" s="313" t="s">
        <v>337</v>
      </c>
      <c r="B28" s="310" t="s">
        <v>810</v>
      </c>
      <c r="C28" s="365">
        <v>2</v>
      </c>
      <c r="D28" s="517" t="s">
        <v>657</v>
      </c>
      <c r="E28" s="365"/>
      <c r="F28" s="516" t="s">
        <v>836</v>
      </c>
      <c r="G28" s="314" t="s">
        <v>326</v>
      </c>
      <c r="H28" s="313"/>
    </row>
    <row r="29" spans="1:8" x14ac:dyDescent="0.2">
      <c r="A29" s="313" t="s">
        <v>367</v>
      </c>
      <c r="B29" s="516" t="s">
        <v>874</v>
      </c>
      <c r="C29" s="365">
        <v>2</v>
      </c>
      <c r="D29" s="517" t="s">
        <v>735</v>
      </c>
      <c r="E29" s="365"/>
      <c r="F29" s="530" t="s">
        <v>699</v>
      </c>
      <c r="G29" s="52" t="s">
        <v>795</v>
      </c>
    </row>
    <row r="30" spans="1:8" x14ac:dyDescent="0.2">
      <c r="A30" s="313" t="s">
        <v>619</v>
      </c>
      <c r="B30" s="310" t="s">
        <v>816</v>
      </c>
      <c r="C30" s="365">
        <v>2</v>
      </c>
      <c r="D30" s="517" t="s">
        <v>654</v>
      </c>
      <c r="E30" s="365"/>
      <c r="F30" s="516" t="s">
        <v>815</v>
      </c>
      <c r="G30" s="52" t="s">
        <v>632</v>
      </c>
      <c r="H30" s="313"/>
    </row>
    <row r="31" spans="1:8" x14ac:dyDescent="0.2">
      <c r="A31" s="519" t="s">
        <v>31</v>
      </c>
      <c r="B31" s="518" t="s">
        <v>819</v>
      </c>
      <c r="C31" s="365">
        <v>2</v>
      </c>
      <c r="D31" s="517" t="s">
        <v>823</v>
      </c>
      <c r="E31" s="365"/>
      <c r="F31" s="516" t="s">
        <v>830</v>
      </c>
      <c r="G31" s="52" t="s">
        <v>578</v>
      </c>
    </row>
    <row r="32" spans="1:8" x14ac:dyDescent="0.2">
      <c r="A32" s="313" t="s">
        <v>793</v>
      </c>
      <c r="B32" s="516" t="s">
        <v>809</v>
      </c>
      <c r="C32" s="365"/>
      <c r="D32" s="517" t="s">
        <v>824</v>
      </c>
      <c r="E32" s="365">
        <v>2</v>
      </c>
      <c r="F32" s="530" t="s">
        <v>800</v>
      </c>
      <c r="G32" s="52" t="s">
        <v>551</v>
      </c>
      <c r="H32" s="313"/>
    </row>
    <row r="33" spans="1:9" x14ac:dyDescent="0.2">
      <c r="A33" s="321" t="s">
        <v>794</v>
      </c>
      <c r="B33" s="518" t="s">
        <v>806</v>
      </c>
      <c r="C33" s="365">
        <v>2</v>
      </c>
      <c r="D33" s="517" t="s">
        <v>633</v>
      </c>
      <c r="E33" s="365"/>
      <c r="F33" s="530" t="s">
        <v>803</v>
      </c>
      <c r="G33" s="52" t="s">
        <v>796</v>
      </c>
      <c r="H33" s="313"/>
    </row>
    <row r="34" spans="1:9" x14ac:dyDescent="0.2">
      <c r="A34" s="321" t="s">
        <v>797</v>
      </c>
      <c r="B34" s="530" t="s">
        <v>801</v>
      </c>
      <c r="C34" s="365">
        <v>2</v>
      </c>
      <c r="D34" s="517" t="s">
        <v>825</v>
      </c>
      <c r="E34" s="365"/>
      <c r="F34" s="516" t="s">
        <v>798</v>
      </c>
      <c r="G34" s="52" t="s">
        <v>552</v>
      </c>
    </row>
    <row r="35" spans="1:9" x14ac:dyDescent="0.2">
      <c r="A35" s="321"/>
      <c r="B35" s="531"/>
      <c r="C35" s="515"/>
      <c r="D35" s="524"/>
      <c r="E35" s="515"/>
      <c r="F35" s="525"/>
      <c r="G35" s="52"/>
    </row>
    <row r="36" spans="1:9" x14ac:dyDescent="0.2">
      <c r="A36" s="338" t="s">
        <v>643</v>
      </c>
      <c r="B36" s="529"/>
      <c r="C36" s="540" t="s">
        <v>834</v>
      </c>
      <c r="D36" s="541" t="s">
        <v>835</v>
      </c>
      <c r="E36" s="540" t="s">
        <v>834</v>
      </c>
      <c r="F36" s="363"/>
      <c r="G36" s="52"/>
    </row>
    <row r="37" spans="1:9" x14ac:dyDescent="0.2">
      <c r="A37" s="313" t="s">
        <v>618</v>
      </c>
      <c r="B37" s="516" t="s">
        <v>484</v>
      </c>
      <c r="C37" s="365">
        <v>2</v>
      </c>
      <c r="D37" s="517" t="s">
        <v>648</v>
      </c>
      <c r="E37" s="365"/>
      <c r="F37" s="518" t="s">
        <v>806</v>
      </c>
      <c r="G37" s="52" t="s">
        <v>794</v>
      </c>
      <c r="I37" s="313"/>
    </row>
    <row r="38" spans="1:9" x14ac:dyDescent="0.2">
      <c r="A38" s="313" t="s">
        <v>626</v>
      </c>
      <c r="B38" s="530" t="s">
        <v>799</v>
      </c>
      <c r="C38" s="365">
        <v>2</v>
      </c>
      <c r="D38" s="517" t="s">
        <v>734</v>
      </c>
      <c r="E38" s="365"/>
      <c r="F38" s="530" t="s">
        <v>497</v>
      </c>
      <c r="G38" s="52" t="s">
        <v>627</v>
      </c>
      <c r="I38" s="313"/>
    </row>
    <row r="39" spans="1:9" x14ac:dyDescent="0.2">
      <c r="A39" s="313" t="s">
        <v>628</v>
      </c>
      <c r="B39" s="330" t="s">
        <v>802</v>
      </c>
      <c r="C39" s="365"/>
      <c r="D39" s="517" t="s">
        <v>826</v>
      </c>
      <c r="E39" s="365"/>
      <c r="F39" s="530" t="s">
        <v>804</v>
      </c>
      <c r="G39" s="52" t="s">
        <v>621</v>
      </c>
      <c r="I39" s="313"/>
    </row>
    <row r="40" spans="1:9" x14ac:dyDescent="0.2">
      <c r="A40" s="313" t="s">
        <v>620</v>
      </c>
      <c r="B40" s="530" t="s">
        <v>805</v>
      </c>
      <c r="C40" s="365"/>
      <c r="D40" s="517" t="s">
        <v>636</v>
      </c>
      <c r="E40" s="365">
        <v>2</v>
      </c>
      <c r="F40" s="310" t="s">
        <v>810</v>
      </c>
      <c r="G40" s="323" t="s">
        <v>337</v>
      </c>
      <c r="I40" s="313"/>
    </row>
    <row r="41" spans="1:9" x14ac:dyDescent="0.2">
      <c r="A41" s="313" t="s">
        <v>629</v>
      </c>
      <c r="B41" s="310" t="s">
        <v>807</v>
      </c>
      <c r="C41" s="365">
        <v>2</v>
      </c>
      <c r="D41" s="517" t="s">
        <v>822</v>
      </c>
      <c r="E41" s="365"/>
      <c r="F41" s="516" t="s">
        <v>830</v>
      </c>
      <c r="G41" s="52" t="s">
        <v>578</v>
      </c>
      <c r="I41" s="313"/>
    </row>
    <row r="42" spans="1:9" x14ac:dyDescent="0.2">
      <c r="A42" s="313" t="s">
        <v>630</v>
      </c>
      <c r="B42" s="530" t="s">
        <v>487</v>
      </c>
      <c r="C42" s="365">
        <v>2</v>
      </c>
      <c r="D42" s="517" t="s">
        <v>647</v>
      </c>
      <c r="E42" s="365"/>
      <c r="F42" s="530" t="s">
        <v>808</v>
      </c>
      <c r="G42" s="52" t="s">
        <v>581</v>
      </c>
      <c r="I42" s="313"/>
    </row>
    <row r="43" spans="1:9" x14ac:dyDescent="0.2">
      <c r="A43" s="313" t="s">
        <v>32</v>
      </c>
      <c r="B43" s="310" t="s">
        <v>812</v>
      </c>
      <c r="C43" s="365">
        <v>2</v>
      </c>
      <c r="D43" s="517" t="s">
        <v>735</v>
      </c>
      <c r="E43" s="365"/>
      <c r="F43" s="310" t="s">
        <v>816</v>
      </c>
      <c r="G43" s="52" t="s">
        <v>619</v>
      </c>
      <c r="I43" s="313"/>
    </row>
    <row r="44" spans="1:9" x14ac:dyDescent="0.2">
      <c r="A44" s="313" t="s">
        <v>367</v>
      </c>
      <c r="B44" s="516" t="s">
        <v>874</v>
      </c>
      <c r="C44" s="365">
        <v>2</v>
      </c>
      <c r="D44" s="517" t="s">
        <v>736</v>
      </c>
      <c r="E44" s="365"/>
      <c r="F44" s="516" t="s">
        <v>701</v>
      </c>
      <c r="G44" s="52" t="s">
        <v>631</v>
      </c>
      <c r="I44" s="313"/>
    </row>
    <row r="45" spans="1:9" x14ac:dyDescent="0.2">
      <c r="A45" s="313" t="s">
        <v>326</v>
      </c>
      <c r="B45" s="516" t="s">
        <v>836</v>
      </c>
      <c r="C45" s="365">
        <v>2</v>
      </c>
      <c r="D45" s="517" t="s">
        <v>635</v>
      </c>
      <c r="E45" s="365"/>
      <c r="F45" s="516" t="s">
        <v>813</v>
      </c>
      <c r="G45" s="52" t="s">
        <v>792</v>
      </c>
      <c r="I45" s="313"/>
    </row>
    <row r="46" spans="1:9" x14ac:dyDescent="0.2">
      <c r="A46" s="321" t="s">
        <v>31</v>
      </c>
      <c r="B46" s="518" t="s">
        <v>819</v>
      </c>
      <c r="C46" s="365">
        <v>2</v>
      </c>
      <c r="D46" s="517" t="s">
        <v>648</v>
      </c>
      <c r="E46" s="365"/>
      <c r="F46" s="530" t="s">
        <v>699</v>
      </c>
      <c r="G46" s="52" t="s">
        <v>795</v>
      </c>
      <c r="I46" s="313"/>
    </row>
    <row r="47" spans="1:9" x14ac:dyDescent="0.2">
      <c r="A47" s="321" t="s">
        <v>632</v>
      </c>
      <c r="B47" s="516" t="s">
        <v>815</v>
      </c>
      <c r="C47" s="365"/>
      <c r="D47" s="517" t="s">
        <v>827</v>
      </c>
      <c r="E47" s="365">
        <v>2</v>
      </c>
      <c r="F47" s="530" t="s">
        <v>803</v>
      </c>
      <c r="G47" s="52" t="s">
        <v>796</v>
      </c>
      <c r="I47" s="313"/>
    </row>
    <row r="48" spans="1:9" x14ac:dyDescent="0.2">
      <c r="A48" s="321" t="s">
        <v>793</v>
      </c>
      <c r="B48" s="516" t="s">
        <v>809</v>
      </c>
      <c r="C48" s="365"/>
      <c r="D48" s="517" t="s">
        <v>640</v>
      </c>
      <c r="E48" s="365">
        <v>2</v>
      </c>
      <c r="F48" s="516" t="s">
        <v>798</v>
      </c>
      <c r="G48" s="52" t="s">
        <v>552</v>
      </c>
      <c r="I48" s="313"/>
    </row>
    <row r="49" spans="1:9" x14ac:dyDescent="0.2">
      <c r="A49" s="321" t="s">
        <v>797</v>
      </c>
      <c r="B49" s="530" t="s">
        <v>801</v>
      </c>
      <c r="C49" s="365">
        <v>2</v>
      </c>
      <c r="D49" s="517" t="s">
        <v>735</v>
      </c>
      <c r="E49" s="365"/>
      <c r="F49" s="530" t="s">
        <v>800</v>
      </c>
      <c r="G49" s="52" t="s">
        <v>551</v>
      </c>
      <c r="I49" s="313"/>
    </row>
    <row r="50" spans="1:9" x14ac:dyDescent="0.2">
      <c r="A50" s="321"/>
      <c r="B50" s="531"/>
      <c r="C50" s="515"/>
      <c r="D50" s="524"/>
      <c r="E50" s="515"/>
      <c r="F50" s="531"/>
      <c r="G50" s="52"/>
      <c r="I50" s="313"/>
    </row>
    <row r="51" spans="1:9" x14ac:dyDescent="0.2">
      <c r="A51" s="338" t="s">
        <v>644</v>
      </c>
      <c r="B51" s="529"/>
      <c r="C51" s="540" t="s">
        <v>834</v>
      </c>
      <c r="D51" s="541" t="s">
        <v>835</v>
      </c>
      <c r="E51" s="540" t="s">
        <v>834</v>
      </c>
      <c r="F51" s="363"/>
      <c r="G51" s="52"/>
    </row>
    <row r="52" spans="1:9" x14ac:dyDescent="0.2">
      <c r="A52" s="313" t="s">
        <v>618</v>
      </c>
      <c r="B52" s="516" t="s">
        <v>484</v>
      </c>
      <c r="C52" s="365">
        <v>2</v>
      </c>
      <c r="D52" s="517" t="s">
        <v>657</v>
      </c>
      <c r="E52" s="365"/>
      <c r="F52" s="530" t="s">
        <v>487</v>
      </c>
      <c r="G52" s="52" t="s">
        <v>630</v>
      </c>
      <c r="I52" s="313"/>
    </row>
    <row r="53" spans="1:9" x14ac:dyDescent="0.2">
      <c r="A53" s="313" t="s">
        <v>626</v>
      </c>
      <c r="B53" s="530" t="s">
        <v>799</v>
      </c>
      <c r="C53" s="365">
        <v>2</v>
      </c>
      <c r="D53" s="517" t="s">
        <v>654</v>
      </c>
      <c r="E53" s="365"/>
      <c r="F53" s="310" t="s">
        <v>810</v>
      </c>
      <c r="G53" s="52" t="s">
        <v>337</v>
      </c>
      <c r="I53" s="313"/>
    </row>
    <row r="54" spans="1:9" x14ac:dyDescent="0.2">
      <c r="A54" s="313" t="s">
        <v>627</v>
      </c>
      <c r="B54" s="530" t="s">
        <v>497</v>
      </c>
      <c r="C54" s="365">
        <v>2</v>
      </c>
      <c r="D54" s="517" t="s">
        <v>828</v>
      </c>
      <c r="E54" s="365"/>
      <c r="F54" s="516" t="s">
        <v>836</v>
      </c>
      <c r="G54" s="52" t="s">
        <v>326</v>
      </c>
      <c r="I54" s="313"/>
    </row>
    <row r="55" spans="1:9" x14ac:dyDescent="0.2">
      <c r="A55" s="313" t="s">
        <v>628</v>
      </c>
      <c r="B55" s="330" t="s">
        <v>802</v>
      </c>
      <c r="C55" s="365">
        <v>2</v>
      </c>
      <c r="D55" s="517" t="s">
        <v>825</v>
      </c>
      <c r="E55" s="365"/>
      <c r="F55" s="530" t="s">
        <v>805</v>
      </c>
      <c r="G55" s="52" t="s">
        <v>620</v>
      </c>
      <c r="I55" s="313"/>
    </row>
    <row r="56" spans="1:9" x14ac:dyDescent="0.2">
      <c r="A56" s="313" t="s">
        <v>621</v>
      </c>
      <c r="B56" s="530" t="s">
        <v>804</v>
      </c>
      <c r="C56" s="365"/>
      <c r="D56" s="517" t="s">
        <v>637</v>
      </c>
      <c r="E56" s="365">
        <v>2</v>
      </c>
      <c r="F56" s="516" t="s">
        <v>874</v>
      </c>
      <c r="G56" s="52" t="s">
        <v>367</v>
      </c>
      <c r="I56" s="313"/>
    </row>
    <row r="57" spans="1:9" x14ac:dyDescent="0.2">
      <c r="A57" s="313" t="s">
        <v>629</v>
      </c>
      <c r="B57" s="310" t="s">
        <v>807</v>
      </c>
      <c r="C57" s="365">
        <v>2</v>
      </c>
      <c r="D57" s="517" t="s">
        <v>623</v>
      </c>
      <c r="E57" s="365"/>
      <c r="F57" s="530" t="s">
        <v>803</v>
      </c>
      <c r="G57" s="52" t="s">
        <v>796</v>
      </c>
      <c r="I57" s="313"/>
    </row>
    <row r="58" spans="1:9" x14ac:dyDescent="0.2">
      <c r="A58" s="313" t="s">
        <v>32</v>
      </c>
      <c r="B58" s="310" t="s">
        <v>812</v>
      </c>
      <c r="C58" s="365"/>
      <c r="D58" s="517" t="s">
        <v>656</v>
      </c>
      <c r="E58" s="365">
        <v>2</v>
      </c>
      <c r="F58" s="530" t="s">
        <v>801</v>
      </c>
      <c r="G58" s="52" t="s">
        <v>797</v>
      </c>
      <c r="I58" s="313"/>
    </row>
    <row r="59" spans="1:9" x14ac:dyDescent="0.2">
      <c r="A59" s="313" t="s">
        <v>619</v>
      </c>
      <c r="B59" s="310" t="s">
        <v>816</v>
      </c>
      <c r="C59" s="365">
        <v>2</v>
      </c>
      <c r="D59" s="517" t="s">
        <v>829</v>
      </c>
      <c r="E59" s="365"/>
      <c r="F59" s="516" t="s">
        <v>798</v>
      </c>
      <c r="G59" s="52" t="s">
        <v>552</v>
      </c>
      <c r="I59" s="313"/>
    </row>
    <row r="60" spans="1:9" x14ac:dyDescent="0.2">
      <c r="A60" s="313" t="s">
        <v>31</v>
      </c>
      <c r="B60" s="518" t="s">
        <v>819</v>
      </c>
      <c r="C60" s="365"/>
      <c r="D60" s="517" t="s">
        <v>656</v>
      </c>
      <c r="E60" s="365"/>
      <c r="F60" s="516" t="s">
        <v>701</v>
      </c>
      <c r="G60" s="52" t="s">
        <v>631</v>
      </c>
      <c r="I60" s="313"/>
    </row>
    <row r="61" spans="1:9" x14ac:dyDescent="0.2">
      <c r="A61" s="321" t="s">
        <v>632</v>
      </c>
      <c r="B61" s="516" t="s">
        <v>815</v>
      </c>
      <c r="C61" s="365">
        <v>2</v>
      </c>
      <c r="D61" s="517" t="s">
        <v>648</v>
      </c>
      <c r="E61" s="365"/>
      <c r="F61" s="516" t="s">
        <v>809</v>
      </c>
      <c r="G61" s="52" t="s">
        <v>793</v>
      </c>
      <c r="I61" s="313"/>
    </row>
    <row r="62" spans="1:9" x14ac:dyDescent="0.2">
      <c r="A62" s="313" t="s">
        <v>792</v>
      </c>
      <c r="B62" s="516" t="s">
        <v>813</v>
      </c>
      <c r="C62" s="365"/>
      <c r="D62" s="517" t="s">
        <v>824</v>
      </c>
      <c r="E62" s="365">
        <v>2</v>
      </c>
      <c r="F62" s="530" t="s">
        <v>808</v>
      </c>
      <c r="G62" s="52" t="s">
        <v>581</v>
      </c>
      <c r="I62" s="313"/>
    </row>
    <row r="63" spans="1:9" x14ac:dyDescent="0.2">
      <c r="A63" s="321" t="s">
        <v>578</v>
      </c>
      <c r="B63" s="516" t="s">
        <v>830</v>
      </c>
      <c r="C63" s="365"/>
      <c r="D63" s="517" t="s">
        <v>824</v>
      </c>
      <c r="E63" s="365">
        <v>2</v>
      </c>
      <c r="F63" s="530" t="s">
        <v>699</v>
      </c>
      <c r="G63" s="52" t="s">
        <v>795</v>
      </c>
      <c r="I63" s="313"/>
    </row>
    <row r="64" spans="1:9" x14ac:dyDescent="0.2">
      <c r="A64" s="313" t="s">
        <v>794</v>
      </c>
      <c r="B64" s="518" t="s">
        <v>806</v>
      </c>
      <c r="C64" s="365"/>
      <c r="D64" s="517" t="s">
        <v>637</v>
      </c>
      <c r="E64" s="365">
        <v>2</v>
      </c>
      <c r="F64" s="530" t="s">
        <v>800</v>
      </c>
      <c r="G64" s="52" t="s">
        <v>551</v>
      </c>
      <c r="I64" s="313"/>
    </row>
    <row r="65" spans="1:9" x14ac:dyDescent="0.2">
      <c r="A65" s="313"/>
      <c r="B65" s="526"/>
      <c r="C65" s="515"/>
      <c r="D65" s="524"/>
      <c r="E65" s="515"/>
      <c r="F65" s="531"/>
      <c r="G65" s="52"/>
      <c r="I65" s="313"/>
    </row>
    <row r="66" spans="1:9" x14ac:dyDescent="0.2">
      <c r="A66" s="560" t="s">
        <v>837</v>
      </c>
      <c r="B66" s="526"/>
      <c r="C66" s="515"/>
      <c r="D66" s="524"/>
      <c r="E66" s="515"/>
      <c r="F66" s="531"/>
      <c r="G66" s="52"/>
      <c r="I66" s="313"/>
    </row>
    <row r="67" spans="1:9" x14ac:dyDescent="0.2">
      <c r="A67" s="313"/>
      <c r="B67" s="526"/>
      <c r="C67" s="538" t="s">
        <v>337</v>
      </c>
      <c r="D67" s="539" t="s">
        <v>336</v>
      </c>
      <c r="E67" s="538" t="s">
        <v>338</v>
      </c>
      <c r="F67" s="531"/>
      <c r="G67" s="52"/>
      <c r="I67" s="313"/>
    </row>
    <row r="68" spans="1:9" x14ac:dyDescent="0.2">
      <c r="A68" s="313"/>
      <c r="B68" s="518"/>
      <c r="C68" s="534" t="s">
        <v>834</v>
      </c>
      <c r="D68" s="535" t="s">
        <v>841</v>
      </c>
      <c r="E68" s="534" t="s">
        <v>835</v>
      </c>
      <c r="F68" s="565"/>
      <c r="I68" s="313"/>
    </row>
    <row r="69" spans="1:9" x14ac:dyDescent="0.2">
      <c r="A69" s="313">
        <v>1</v>
      </c>
      <c r="B69" s="530" t="s">
        <v>799</v>
      </c>
      <c r="C69" s="543">
        <v>8</v>
      </c>
      <c r="D69" s="544">
        <v>20</v>
      </c>
      <c r="E69" s="365">
        <v>24</v>
      </c>
      <c r="I69" s="313"/>
    </row>
    <row r="70" spans="1:9" ht="13.5" thickBot="1" x14ac:dyDescent="0.25">
      <c r="A70" s="313">
        <v>2</v>
      </c>
      <c r="B70" s="310" t="s">
        <v>833</v>
      </c>
      <c r="C70" s="547">
        <v>8</v>
      </c>
      <c r="D70" s="544">
        <v>14</v>
      </c>
      <c r="E70" s="365">
        <v>17</v>
      </c>
      <c r="I70" s="313"/>
    </row>
    <row r="71" spans="1:9" x14ac:dyDescent="0.2">
      <c r="A71" s="313">
        <v>3</v>
      </c>
      <c r="B71" s="530" t="s">
        <v>497</v>
      </c>
      <c r="C71" s="548">
        <v>6</v>
      </c>
      <c r="D71" s="536">
        <v>24</v>
      </c>
      <c r="E71" s="365">
        <v>19</v>
      </c>
      <c r="I71" s="313"/>
    </row>
    <row r="72" spans="1:9" x14ac:dyDescent="0.2">
      <c r="A72" s="313">
        <v>4</v>
      </c>
      <c r="B72" s="530" t="s">
        <v>804</v>
      </c>
      <c r="C72" s="365">
        <v>6</v>
      </c>
      <c r="D72" s="536">
        <v>20</v>
      </c>
      <c r="E72" s="365">
        <v>8</v>
      </c>
      <c r="I72" s="313"/>
    </row>
    <row r="73" spans="1:9" x14ac:dyDescent="0.2">
      <c r="A73" s="313">
        <v>5</v>
      </c>
      <c r="B73" s="530" t="s">
        <v>801</v>
      </c>
      <c r="C73" s="365">
        <v>6</v>
      </c>
      <c r="D73" s="558">
        <v>16</v>
      </c>
      <c r="E73" s="559">
        <v>13</v>
      </c>
      <c r="I73" s="313"/>
    </row>
    <row r="74" spans="1:9" x14ac:dyDescent="0.2">
      <c r="A74" s="313">
        <v>6</v>
      </c>
      <c r="B74" s="310" t="s">
        <v>810</v>
      </c>
      <c r="C74" s="365">
        <v>6</v>
      </c>
      <c r="D74" s="558">
        <v>16</v>
      </c>
      <c r="E74" s="559">
        <v>11</v>
      </c>
      <c r="I74" s="313"/>
    </row>
    <row r="75" spans="1:9" x14ac:dyDescent="0.2">
      <c r="A75" s="313">
        <v>7</v>
      </c>
      <c r="B75" s="516" t="s">
        <v>484</v>
      </c>
      <c r="C75" s="365">
        <v>6</v>
      </c>
      <c r="D75" s="545">
        <v>14</v>
      </c>
      <c r="E75" s="546">
        <v>25</v>
      </c>
      <c r="I75" s="313"/>
    </row>
    <row r="76" spans="1:9" ht="13.5" thickBot="1" x14ac:dyDescent="0.25">
      <c r="A76" s="313">
        <v>8</v>
      </c>
      <c r="B76" s="330" t="s">
        <v>802</v>
      </c>
      <c r="C76" s="549">
        <v>6</v>
      </c>
      <c r="D76" s="545">
        <v>14</v>
      </c>
      <c r="E76" s="546">
        <v>7</v>
      </c>
      <c r="I76" s="313"/>
    </row>
    <row r="77" spans="1:9" x14ac:dyDescent="0.2">
      <c r="A77" s="550"/>
      <c r="B77" s="557"/>
      <c r="C77" s="552"/>
      <c r="D77" s="553"/>
      <c r="E77" s="554"/>
      <c r="I77" s="313"/>
    </row>
    <row r="78" spans="1:9" x14ac:dyDescent="0.2">
      <c r="A78" s="313">
        <v>9</v>
      </c>
      <c r="B78" s="516" t="s">
        <v>701</v>
      </c>
      <c r="C78" s="365">
        <v>4</v>
      </c>
      <c r="D78" s="537">
        <v>22</v>
      </c>
      <c r="E78" s="365">
        <v>9</v>
      </c>
      <c r="I78" s="313"/>
    </row>
    <row r="79" spans="1:9" x14ac:dyDescent="0.2">
      <c r="A79" s="313">
        <v>10</v>
      </c>
      <c r="B79" s="530" t="s">
        <v>805</v>
      </c>
      <c r="C79" s="365">
        <v>4</v>
      </c>
      <c r="D79" s="558">
        <v>18</v>
      </c>
      <c r="E79" s="559">
        <v>5</v>
      </c>
      <c r="I79" s="313"/>
    </row>
    <row r="80" spans="1:9" x14ac:dyDescent="0.2">
      <c r="A80" s="313">
        <v>11</v>
      </c>
      <c r="B80" s="530" t="s">
        <v>487</v>
      </c>
      <c r="C80" s="365">
        <v>4</v>
      </c>
      <c r="D80" s="558">
        <v>18</v>
      </c>
      <c r="E80" s="559">
        <v>4</v>
      </c>
      <c r="I80" s="313"/>
    </row>
    <row r="81" spans="1:9" x14ac:dyDescent="0.2">
      <c r="A81" s="313">
        <v>12</v>
      </c>
      <c r="B81" s="516" t="s">
        <v>836</v>
      </c>
      <c r="C81" s="365">
        <v>4</v>
      </c>
      <c r="D81" s="558">
        <v>18</v>
      </c>
      <c r="E81" s="559">
        <v>-8</v>
      </c>
      <c r="I81" s="313"/>
    </row>
    <row r="82" spans="1:9" x14ac:dyDescent="0.2">
      <c r="A82" s="313">
        <v>13</v>
      </c>
      <c r="B82" s="310" t="s">
        <v>812</v>
      </c>
      <c r="C82" s="365">
        <v>4</v>
      </c>
      <c r="D82" s="545">
        <v>16</v>
      </c>
      <c r="E82" s="546">
        <v>-3</v>
      </c>
      <c r="I82" s="313"/>
    </row>
    <row r="83" spans="1:9" x14ac:dyDescent="0.2">
      <c r="A83" s="313">
        <v>14</v>
      </c>
      <c r="B83" s="530" t="s">
        <v>800</v>
      </c>
      <c r="C83" s="365">
        <v>4</v>
      </c>
      <c r="D83" s="545">
        <v>16</v>
      </c>
      <c r="E83" s="546">
        <v>-9</v>
      </c>
      <c r="I83" s="313"/>
    </row>
    <row r="84" spans="1:9" x14ac:dyDescent="0.2">
      <c r="A84" s="313">
        <v>15</v>
      </c>
      <c r="B84" s="530" t="s">
        <v>808</v>
      </c>
      <c r="C84" s="365">
        <v>4</v>
      </c>
      <c r="D84" s="537">
        <v>14</v>
      </c>
      <c r="E84" s="365">
        <v>7</v>
      </c>
      <c r="I84" s="313"/>
    </row>
    <row r="85" spans="1:9" x14ac:dyDescent="0.2">
      <c r="A85" s="313">
        <v>16</v>
      </c>
      <c r="B85" s="310" t="s">
        <v>816</v>
      </c>
      <c r="C85" s="365">
        <v>4</v>
      </c>
      <c r="D85" s="537">
        <v>12</v>
      </c>
      <c r="E85" s="365">
        <v>2</v>
      </c>
      <c r="I85" s="313"/>
    </row>
    <row r="86" spans="1:9" x14ac:dyDescent="0.2">
      <c r="A86" s="550"/>
      <c r="B86" s="555"/>
      <c r="C86" s="556"/>
      <c r="D86" s="553"/>
      <c r="E86" s="556"/>
      <c r="I86" s="313"/>
    </row>
    <row r="87" spans="1:9" x14ac:dyDescent="0.2">
      <c r="A87" s="313">
        <v>17</v>
      </c>
      <c r="B87" s="518" t="s">
        <v>819</v>
      </c>
      <c r="C87" s="365">
        <v>4</v>
      </c>
      <c r="D87" s="558">
        <v>10</v>
      </c>
      <c r="E87" s="559">
        <v>-1</v>
      </c>
      <c r="I87" s="313"/>
    </row>
    <row r="88" spans="1:9" ht="13.5" thickBot="1" x14ac:dyDescent="0.25">
      <c r="A88" s="313">
        <v>18</v>
      </c>
      <c r="B88" s="310" t="s">
        <v>807</v>
      </c>
      <c r="C88" s="549">
        <v>4</v>
      </c>
      <c r="D88" s="558">
        <v>10</v>
      </c>
      <c r="E88" s="559">
        <v>-5</v>
      </c>
      <c r="I88" s="313"/>
    </row>
    <row r="89" spans="1:9" x14ac:dyDescent="0.2">
      <c r="A89" s="313">
        <v>19</v>
      </c>
      <c r="B89" s="516" t="s">
        <v>813</v>
      </c>
      <c r="C89" s="548">
        <v>2</v>
      </c>
      <c r="D89" s="545">
        <v>18</v>
      </c>
      <c r="E89" s="546">
        <v>-14</v>
      </c>
      <c r="I89" s="313"/>
    </row>
    <row r="90" spans="1:9" x14ac:dyDescent="0.2">
      <c r="A90" s="313">
        <v>20</v>
      </c>
      <c r="B90" s="530" t="s">
        <v>699</v>
      </c>
      <c r="C90" s="365">
        <v>2</v>
      </c>
      <c r="D90" s="545">
        <v>18</v>
      </c>
      <c r="E90" s="546">
        <v>-15</v>
      </c>
      <c r="F90" s="565"/>
      <c r="I90" s="313"/>
    </row>
    <row r="91" spans="1:9" x14ac:dyDescent="0.2">
      <c r="A91" s="313">
        <v>21</v>
      </c>
      <c r="B91" s="516" t="s">
        <v>798</v>
      </c>
      <c r="C91" s="365">
        <v>2</v>
      </c>
      <c r="D91" s="558">
        <v>16</v>
      </c>
      <c r="E91" s="559">
        <v>-4</v>
      </c>
      <c r="F91" s="565"/>
      <c r="I91" s="313"/>
    </row>
    <row r="92" spans="1:9" x14ac:dyDescent="0.2">
      <c r="A92" s="313">
        <v>22</v>
      </c>
      <c r="B92" s="518" t="s">
        <v>806</v>
      </c>
      <c r="C92" s="365">
        <v>2</v>
      </c>
      <c r="D92" s="558">
        <v>16</v>
      </c>
      <c r="E92" s="559">
        <v>-20</v>
      </c>
      <c r="F92" s="565"/>
      <c r="I92" s="313"/>
    </row>
    <row r="93" spans="1:9" x14ac:dyDescent="0.2">
      <c r="A93" s="313">
        <v>23</v>
      </c>
      <c r="B93" s="516" t="s">
        <v>815</v>
      </c>
      <c r="C93" s="365">
        <v>2</v>
      </c>
      <c r="D93" s="545">
        <v>14</v>
      </c>
      <c r="E93" s="546">
        <v>0</v>
      </c>
      <c r="F93" s="565"/>
      <c r="I93" s="313"/>
    </row>
    <row r="94" spans="1:9" ht="13.5" thickBot="1" x14ac:dyDescent="0.25">
      <c r="A94" s="313">
        <v>24</v>
      </c>
      <c r="B94" s="530" t="s">
        <v>803</v>
      </c>
      <c r="C94" s="549">
        <v>2</v>
      </c>
      <c r="D94" s="545">
        <v>14</v>
      </c>
      <c r="E94" s="546">
        <v>-8</v>
      </c>
      <c r="F94" s="565"/>
      <c r="I94" s="313"/>
    </row>
    <row r="95" spans="1:9" x14ac:dyDescent="0.2">
      <c r="A95" s="550"/>
      <c r="B95" s="551"/>
      <c r="C95" s="552"/>
      <c r="D95" s="553"/>
      <c r="E95" s="554"/>
      <c r="F95" s="566"/>
      <c r="I95" s="313"/>
    </row>
    <row r="96" spans="1:9" x14ac:dyDescent="0.2">
      <c r="A96" s="313">
        <v>25</v>
      </c>
      <c r="B96" s="516" t="s">
        <v>830</v>
      </c>
      <c r="C96" s="365">
        <v>0</v>
      </c>
      <c r="D96" s="537">
        <v>16</v>
      </c>
      <c r="E96" s="365">
        <v>-23</v>
      </c>
      <c r="F96" s="565"/>
      <c r="I96" s="313"/>
    </row>
    <row r="97" spans="1:9" x14ac:dyDescent="0.2">
      <c r="A97" s="313">
        <v>26</v>
      </c>
      <c r="B97" s="516" t="s">
        <v>809</v>
      </c>
      <c r="C97" s="365">
        <v>0</v>
      </c>
      <c r="D97" s="537">
        <v>12</v>
      </c>
      <c r="E97" s="365">
        <v>-41</v>
      </c>
      <c r="F97" s="565"/>
      <c r="I97" s="313"/>
    </row>
    <row r="99" spans="1:9" x14ac:dyDescent="0.2">
      <c r="A99" s="119" t="s">
        <v>376</v>
      </c>
      <c r="B99" s="371"/>
      <c r="C99" s="371"/>
      <c r="D99" s="371"/>
      <c r="E99" s="371"/>
      <c r="F99" s="371"/>
      <c r="G99" s="371"/>
      <c r="H99" s="371"/>
    </row>
    <row r="100" spans="1:9" x14ac:dyDescent="0.2">
      <c r="A100" s="119"/>
      <c r="B100" s="371"/>
      <c r="C100" s="371"/>
      <c r="D100" s="371"/>
      <c r="E100" s="371"/>
      <c r="F100" s="371"/>
      <c r="G100" s="371"/>
      <c r="H100" s="371"/>
    </row>
    <row r="101" spans="1:9" x14ac:dyDescent="0.2">
      <c r="A101" s="120">
        <v>1</v>
      </c>
      <c r="B101" s="371" t="s">
        <v>799</v>
      </c>
      <c r="C101" s="372">
        <v>10</v>
      </c>
      <c r="D101" s="371"/>
      <c r="E101" s="371"/>
      <c r="F101" s="371"/>
      <c r="G101" s="371"/>
      <c r="H101" s="371"/>
    </row>
    <row r="102" spans="1:9" x14ac:dyDescent="0.2">
      <c r="A102" s="371"/>
      <c r="B102" s="373"/>
      <c r="C102" s="402" t="s">
        <v>802</v>
      </c>
      <c r="D102" s="403"/>
      <c r="E102" s="371"/>
      <c r="F102" s="372">
        <v>7</v>
      </c>
      <c r="G102" s="371"/>
      <c r="H102" s="371"/>
    </row>
    <row r="103" spans="1:9" x14ac:dyDescent="0.2">
      <c r="A103" s="120">
        <v>8</v>
      </c>
      <c r="B103" s="376" t="s">
        <v>802</v>
      </c>
      <c r="C103" s="377">
        <v>13</v>
      </c>
      <c r="D103" s="371"/>
      <c r="E103" s="378"/>
      <c r="F103" s="371"/>
      <c r="G103" s="371"/>
      <c r="H103" s="371"/>
    </row>
    <row r="104" spans="1:9" x14ac:dyDescent="0.2">
      <c r="A104" s="371"/>
      <c r="B104" s="371"/>
      <c r="C104" s="371"/>
      <c r="D104" s="379"/>
      <c r="E104" s="380"/>
      <c r="F104" s="371" t="s">
        <v>804</v>
      </c>
      <c r="G104" s="372">
        <v>13</v>
      </c>
      <c r="H104" s="371"/>
    </row>
    <row r="105" spans="1:9" x14ac:dyDescent="0.2">
      <c r="A105" s="120">
        <v>4</v>
      </c>
      <c r="B105" s="381" t="s">
        <v>804</v>
      </c>
      <c r="C105" s="382">
        <v>13</v>
      </c>
      <c r="D105" s="371"/>
      <c r="E105" s="380"/>
      <c r="F105" s="378"/>
      <c r="G105" s="371"/>
      <c r="H105" s="371"/>
    </row>
    <row r="106" spans="1:9" x14ac:dyDescent="0.2">
      <c r="A106" s="371"/>
      <c r="B106" s="378"/>
      <c r="C106" s="528" t="s">
        <v>804</v>
      </c>
      <c r="D106" s="371"/>
      <c r="E106" s="404"/>
      <c r="F106" s="384">
        <v>13</v>
      </c>
      <c r="G106" s="371"/>
      <c r="H106" s="371"/>
    </row>
    <row r="107" spans="1:9" x14ac:dyDescent="0.2">
      <c r="A107" s="120">
        <v>5</v>
      </c>
      <c r="B107" s="376" t="s">
        <v>801</v>
      </c>
      <c r="C107" s="385">
        <v>3</v>
      </c>
      <c r="D107" s="373"/>
      <c r="E107" s="371"/>
      <c r="F107" s="380"/>
      <c r="G107" s="371"/>
      <c r="H107" s="371"/>
    </row>
    <row r="108" spans="1:9" ht="13.5" thickBot="1" x14ac:dyDescent="0.25">
      <c r="A108" s="371"/>
      <c r="B108" s="371"/>
      <c r="C108" s="371"/>
      <c r="D108" s="371"/>
      <c r="E108" s="371"/>
      <c r="F108" s="380"/>
      <c r="G108" s="371"/>
      <c r="H108" s="386" t="s">
        <v>804</v>
      </c>
    </row>
    <row r="109" spans="1:9" x14ac:dyDescent="0.2">
      <c r="A109" s="120">
        <v>3</v>
      </c>
      <c r="B109" s="371" t="s">
        <v>497</v>
      </c>
      <c r="C109" s="372">
        <v>13</v>
      </c>
      <c r="D109" s="371"/>
      <c r="E109" s="371"/>
      <c r="F109" s="380"/>
      <c r="G109" s="387"/>
      <c r="H109" s="129" t="s">
        <v>357</v>
      </c>
      <c r="I109" s="532"/>
    </row>
    <row r="110" spans="1:9" x14ac:dyDescent="0.2">
      <c r="A110" s="371"/>
      <c r="B110" s="373"/>
      <c r="C110" s="402" t="s">
        <v>497</v>
      </c>
      <c r="D110" s="403"/>
      <c r="E110" s="371"/>
      <c r="F110" s="384">
        <v>13</v>
      </c>
      <c r="G110" s="371"/>
      <c r="H110" s="371"/>
      <c r="I110" s="531"/>
    </row>
    <row r="111" spans="1:9" ht="13.5" thickBot="1" x14ac:dyDescent="0.25">
      <c r="A111" s="120">
        <v>6</v>
      </c>
      <c r="B111" s="403" t="s">
        <v>810</v>
      </c>
      <c r="C111" s="377">
        <v>10</v>
      </c>
      <c r="D111" s="371"/>
      <c r="E111" s="378"/>
      <c r="F111" s="380"/>
      <c r="G111" s="371"/>
      <c r="H111" s="520" t="s">
        <v>497</v>
      </c>
      <c r="I111" s="533"/>
    </row>
    <row r="112" spans="1:9" x14ac:dyDescent="0.2">
      <c r="A112" s="371"/>
      <c r="B112" s="371"/>
      <c r="C112" s="371"/>
      <c r="D112" s="379"/>
      <c r="E112" s="380"/>
      <c r="F112" s="404" t="s">
        <v>497</v>
      </c>
      <c r="G112" s="372">
        <v>6</v>
      </c>
      <c r="H112" s="129" t="s">
        <v>359</v>
      </c>
    </row>
    <row r="113" spans="1:9" x14ac:dyDescent="0.2">
      <c r="A113" s="120">
        <v>2</v>
      </c>
      <c r="B113" s="578" t="s">
        <v>875</v>
      </c>
      <c r="C113" s="382">
        <v>13</v>
      </c>
      <c r="D113" s="371"/>
      <c r="E113" s="380"/>
      <c r="F113" s="371"/>
      <c r="G113" s="371"/>
      <c r="H113" s="371"/>
    </row>
    <row r="114" spans="1:9" x14ac:dyDescent="0.2">
      <c r="A114" s="371"/>
      <c r="B114" s="373"/>
      <c r="C114" s="577" t="s">
        <v>875</v>
      </c>
      <c r="D114" s="371"/>
      <c r="E114" s="404"/>
      <c r="F114" s="372">
        <v>2</v>
      </c>
      <c r="G114" s="371"/>
      <c r="H114" s="371"/>
    </row>
    <row r="115" spans="1:9" x14ac:dyDescent="0.2">
      <c r="A115" s="120">
        <v>7</v>
      </c>
      <c r="B115" s="403" t="s">
        <v>484</v>
      </c>
      <c r="C115" s="390">
        <v>7</v>
      </c>
      <c r="D115" s="373"/>
      <c r="E115" s="371"/>
      <c r="F115" s="371"/>
      <c r="G115" s="371"/>
      <c r="H115" s="371"/>
    </row>
    <row r="116" spans="1:9" x14ac:dyDescent="0.2">
      <c r="A116" s="371"/>
      <c r="B116" s="371"/>
      <c r="C116" s="371"/>
      <c r="D116" s="371"/>
      <c r="E116" s="371"/>
      <c r="F116" s="528" t="s">
        <v>802</v>
      </c>
      <c r="G116" s="382">
        <v>13</v>
      </c>
      <c r="H116" s="379"/>
    </row>
    <row r="117" spans="1:9" ht="13.5" thickBot="1" x14ac:dyDescent="0.25">
      <c r="A117" s="371"/>
      <c r="B117" s="371"/>
      <c r="C117" s="371"/>
      <c r="D117" s="371"/>
      <c r="E117" s="371"/>
      <c r="F117" s="378"/>
      <c r="G117" s="520"/>
      <c r="H117" s="533" t="s">
        <v>802</v>
      </c>
    </row>
    <row r="118" spans="1:9" x14ac:dyDescent="0.2">
      <c r="A118" s="371"/>
      <c r="B118" s="371"/>
      <c r="C118" s="371"/>
      <c r="D118" s="371"/>
      <c r="E118" s="371"/>
      <c r="F118" s="576" t="s">
        <v>875</v>
      </c>
      <c r="G118" s="372">
        <v>9</v>
      </c>
      <c r="H118" s="129" t="s">
        <v>361</v>
      </c>
      <c r="I118" s="532"/>
    </row>
    <row r="119" spans="1:9" x14ac:dyDescent="0.2">
      <c r="A119" s="371"/>
      <c r="B119" s="371"/>
      <c r="C119" s="371"/>
      <c r="D119" s="371"/>
      <c r="E119" s="371"/>
      <c r="F119" s="371"/>
      <c r="G119" s="371"/>
      <c r="H119" s="379"/>
      <c r="I119" s="531"/>
    </row>
    <row r="120" spans="1:9" ht="13.5" thickBot="1" x14ac:dyDescent="0.25">
      <c r="A120" s="371"/>
      <c r="B120" s="371"/>
      <c r="C120" s="371"/>
      <c r="D120" s="371"/>
      <c r="E120" s="371"/>
      <c r="F120" s="371"/>
      <c r="G120" s="371"/>
      <c r="H120" s="533" t="s">
        <v>875</v>
      </c>
      <c r="I120" s="533"/>
    </row>
    <row r="121" spans="1:9" x14ac:dyDescent="0.2">
      <c r="A121" s="371"/>
      <c r="B121" s="371"/>
      <c r="C121" s="371" t="s">
        <v>799</v>
      </c>
      <c r="D121" s="371"/>
      <c r="E121" s="371"/>
      <c r="F121" s="372">
        <v>13</v>
      </c>
      <c r="G121" s="371"/>
      <c r="H121" s="129" t="s">
        <v>362</v>
      </c>
    </row>
    <row r="122" spans="1:9" x14ac:dyDescent="0.2">
      <c r="A122" s="371"/>
      <c r="B122" s="371"/>
      <c r="C122" s="373"/>
      <c r="D122" s="373"/>
      <c r="E122" s="378"/>
      <c r="F122" s="402" t="s">
        <v>799</v>
      </c>
      <c r="G122" s="372">
        <v>4</v>
      </c>
      <c r="H122" s="371"/>
    </row>
    <row r="123" spans="1:9" x14ac:dyDescent="0.2">
      <c r="A123" s="371"/>
      <c r="B123" s="371"/>
      <c r="C123" s="403" t="s">
        <v>801</v>
      </c>
      <c r="D123" s="403"/>
      <c r="E123" s="404"/>
      <c r="F123" s="391">
        <v>12</v>
      </c>
      <c r="G123" s="371"/>
      <c r="H123" s="371"/>
    </row>
    <row r="124" spans="1:9" ht="13.5" thickBot="1" x14ac:dyDescent="0.25">
      <c r="A124" s="371"/>
      <c r="B124" s="371"/>
      <c r="C124" s="371"/>
      <c r="D124" s="371"/>
      <c r="E124" s="371"/>
      <c r="F124" s="380"/>
      <c r="G124" s="371"/>
      <c r="H124" s="371" t="s">
        <v>484</v>
      </c>
    </row>
    <row r="125" spans="1:9" x14ac:dyDescent="0.2">
      <c r="A125" s="371"/>
      <c r="B125" s="371"/>
      <c r="C125" s="371" t="s">
        <v>810</v>
      </c>
      <c r="D125" s="371"/>
      <c r="E125" s="371"/>
      <c r="F125" s="384">
        <v>4</v>
      </c>
      <c r="G125" s="387"/>
      <c r="H125" s="129" t="s">
        <v>363</v>
      </c>
      <c r="I125" s="532"/>
    </row>
    <row r="126" spans="1:9" x14ac:dyDescent="0.2">
      <c r="A126" s="371"/>
      <c r="B126" s="371"/>
      <c r="C126" s="373"/>
      <c r="D126" s="373"/>
      <c r="E126" s="378"/>
      <c r="F126" s="392" t="s">
        <v>484</v>
      </c>
      <c r="G126" s="382">
        <v>13</v>
      </c>
      <c r="H126" s="371"/>
      <c r="I126" s="531"/>
    </row>
    <row r="127" spans="1:9" ht="13.5" thickBot="1" x14ac:dyDescent="0.25">
      <c r="A127" s="371"/>
      <c r="B127" s="371"/>
      <c r="C127" s="403" t="s">
        <v>484</v>
      </c>
      <c r="D127" s="403"/>
      <c r="E127" s="404"/>
      <c r="F127" s="390">
        <v>13</v>
      </c>
      <c r="G127" s="379"/>
      <c r="H127" s="379" t="s">
        <v>799</v>
      </c>
      <c r="I127" s="533"/>
    </row>
    <row r="128" spans="1:9" ht="13.5" customHeight="1" x14ac:dyDescent="0.2">
      <c r="A128" s="371"/>
      <c r="B128" s="371"/>
      <c r="C128" s="371"/>
      <c r="D128" s="371"/>
      <c r="E128" s="371"/>
      <c r="F128" s="371"/>
      <c r="G128" s="379"/>
      <c r="H128" s="129" t="s">
        <v>364</v>
      </c>
    </row>
    <row r="129" spans="1:9" ht="13.5" customHeight="1" x14ac:dyDescent="0.2">
      <c r="A129" s="371"/>
      <c r="B129" s="371"/>
      <c r="C129" s="371"/>
      <c r="D129" s="371"/>
      <c r="E129" s="371"/>
      <c r="F129" s="371" t="s">
        <v>801</v>
      </c>
      <c r="G129" s="382">
        <v>12</v>
      </c>
      <c r="H129" s="379"/>
    </row>
    <row r="130" spans="1:9" ht="13.5" thickBot="1" x14ac:dyDescent="0.25">
      <c r="A130" s="371"/>
      <c r="B130" s="371"/>
      <c r="C130" s="371"/>
      <c r="D130" s="371"/>
      <c r="E130" s="371"/>
      <c r="F130" s="378"/>
      <c r="G130" s="520"/>
      <c r="H130" s="520" t="s">
        <v>810</v>
      </c>
    </row>
    <row r="131" spans="1:9" x14ac:dyDescent="0.2">
      <c r="A131" s="371"/>
      <c r="B131" s="371"/>
      <c r="C131" s="371"/>
      <c r="D131" s="371"/>
      <c r="E131" s="371"/>
      <c r="F131" s="404" t="s">
        <v>810</v>
      </c>
      <c r="G131" s="372">
        <v>13</v>
      </c>
      <c r="H131" s="133" t="s">
        <v>369</v>
      </c>
      <c r="I131" s="532"/>
    </row>
    <row r="132" spans="1:9" x14ac:dyDescent="0.2">
      <c r="A132" s="371"/>
      <c r="B132" s="371"/>
      <c r="C132" s="371"/>
      <c r="D132" s="371"/>
      <c r="E132" s="371"/>
      <c r="F132" s="371"/>
      <c r="G132" s="371"/>
      <c r="H132" s="379"/>
      <c r="I132" s="531"/>
    </row>
    <row r="133" spans="1:9" ht="13.5" thickBot="1" x14ac:dyDescent="0.25">
      <c r="A133" s="371"/>
      <c r="B133" s="371"/>
      <c r="C133" s="371"/>
      <c r="D133" s="371"/>
      <c r="E133" s="371"/>
      <c r="F133" s="371"/>
      <c r="G133" s="371"/>
      <c r="H133" s="520" t="s">
        <v>801</v>
      </c>
      <c r="I133" s="533"/>
    </row>
    <row r="134" spans="1:9" x14ac:dyDescent="0.2">
      <c r="A134" s="371"/>
      <c r="B134" s="371"/>
      <c r="C134" s="371"/>
      <c r="D134" s="371"/>
      <c r="E134" s="371"/>
      <c r="F134" s="371"/>
      <c r="G134" s="371"/>
      <c r="H134" s="120" t="s">
        <v>370</v>
      </c>
    </row>
    <row r="135" spans="1:9" x14ac:dyDescent="0.2">
      <c r="A135" s="371"/>
      <c r="B135" s="371"/>
      <c r="C135" s="371"/>
      <c r="D135" s="371"/>
      <c r="E135" s="371"/>
      <c r="F135" s="371"/>
      <c r="G135" s="371"/>
      <c r="H135" s="120"/>
    </row>
    <row r="136" spans="1:9" x14ac:dyDescent="0.2">
      <c r="A136" s="119" t="s">
        <v>449</v>
      </c>
      <c r="B136" s="371"/>
      <c r="C136" s="371"/>
      <c r="D136" s="371"/>
      <c r="E136" s="371"/>
      <c r="F136" s="371"/>
      <c r="G136" s="371"/>
      <c r="H136" s="371"/>
    </row>
    <row r="137" spans="1:9" x14ac:dyDescent="0.2">
      <c r="A137" s="119"/>
      <c r="B137" s="371"/>
      <c r="C137" s="371"/>
      <c r="D137" s="371"/>
      <c r="E137" s="371"/>
      <c r="F137" s="371"/>
      <c r="G137" s="371"/>
      <c r="H137" s="371"/>
    </row>
    <row r="138" spans="1:9" x14ac:dyDescent="0.2">
      <c r="A138" s="120">
        <v>9</v>
      </c>
      <c r="B138" s="371" t="s">
        <v>701</v>
      </c>
      <c r="C138" s="372">
        <v>13</v>
      </c>
      <c r="D138" s="371"/>
      <c r="E138" s="371"/>
      <c r="F138" s="371"/>
      <c r="G138" s="371"/>
      <c r="H138" s="371"/>
    </row>
    <row r="139" spans="1:9" x14ac:dyDescent="0.2">
      <c r="A139" s="371"/>
      <c r="B139" s="373"/>
      <c r="C139" s="402" t="s">
        <v>701</v>
      </c>
      <c r="D139" s="403"/>
      <c r="E139" s="371"/>
      <c r="F139" s="372">
        <v>13</v>
      </c>
      <c r="G139" s="371"/>
      <c r="H139" s="371"/>
    </row>
    <row r="140" spans="1:9" x14ac:dyDescent="0.2">
      <c r="A140" s="120">
        <v>16</v>
      </c>
      <c r="B140" s="376" t="s">
        <v>816</v>
      </c>
      <c r="C140" s="377">
        <v>12</v>
      </c>
      <c r="D140" s="371"/>
      <c r="E140" s="378"/>
      <c r="F140" s="371"/>
      <c r="G140" s="371"/>
      <c r="H140" s="371"/>
    </row>
    <row r="141" spans="1:9" x14ac:dyDescent="0.2">
      <c r="A141" s="371"/>
      <c r="B141" s="371"/>
      <c r="C141" s="371"/>
      <c r="D141" s="379"/>
      <c r="E141" s="380"/>
      <c r="F141" s="371" t="s">
        <v>701</v>
      </c>
      <c r="G141" s="372">
        <v>13</v>
      </c>
      <c r="H141" s="371"/>
    </row>
    <row r="142" spans="1:9" x14ac:dyDescent="0.2">
      <c r="A142" s="120">
        <v>12</v>
      </c>
      <c r="B142" s="381" t="s">
        <v>818</v>
      </c>
      <c r="C142" s="382">
        <v>5</v>
      </c>
      <c r="D142" s="371"/>
      <c r="E142" s="380"/>
      <c r="F142" s="378"/>
      <c r="G142" s="371"/>
      <c r="H142" s="371"/>
    </row>
    <row r="143" spans="1:9" x14ac:dyDescent="0.2">
      <c r="A143" s="371"/>
      <c r="B143" s="373"/>
      <c r="C143" s="523" t="s">
        <v>812</v>
      </c>
      <c r="D143" s="371"/>
      <c r="E143" s="404"/>
      <c r="F143" s="384">
        <v>6</v>
      </c>
      <c r="G143" s="371"/>
      <c r="H143" s="371"/>
    </row>
    <row r="144" spans="1:9" x14ac:dyDescent="0.2">
      <c r="A144" s="120">
        <v>13</v>
      </c>
      <c r="B144" s="376" t="s">
        <v>812</v>
      </c>
      <c r="C144" s="390">
        <v>13</v>
      </c>
      <c r="D144" s="373"/>
      <c r="E144" s="371"/>
      <c r="F144" s="380"/>
      <c r="G144" s="371"/>
      <c r="H144" s="371"/>
    </row>
    <row r="145" spans="1:9" ht="13.5" thickBot="1" x14ac:dyDescent="0.25">
      <c r="A145" s="371"/>
      <c r="B145" s="371"/>
      <c r="C145" s="371"/>
      <c r="D145" s="371"/>
      <c r="E145" s="371"/>
      <c r="F145" s="380"/>
      <c r="G145" s="371"/>
      <c r="H145" s="371" t="s">
        <v>701</v>
      </c>
    </row>
    <row r="146" spans="1:9" x14ac:dyDescent="0.2">
      <c r="A146" s="120">
        <v>11</v>
      </c>
      <c r="B146" s="371" t="s">
        <v>487</v>
      </c>
      <c r="C146" s="372">
        <v>13</v>
      </c>
      <c r="D146" s="371"/>
      <c r="E146" s="371"/>
      <c r="F146" s="380"/>
      <c r="G146" s="387"/>
      <c r="H146" s="129" t="s">
        <v>374</v>
      </c>
      <c r="I146" s="532"/>
    </row>
    <row r="147" spans="1:9" x14ac:dyDescent="0.2">
      <c r="A147" s="371"/>
      <c r="B147" s="373"/>
      <c r="C147" s="402" t="s">
        <v>487</v>
      </c>
      <c r="D147" s="403"/>
      <c r="E147" s="371"/>
      <c r="F147" s="384">
        <v>13</v>
      </c>
      <c r="G147" s="371"/>
      <c r="H147" s="371"/>
      <c r="I147" s="531"/>
    </row>
    <row r="148" spans="1:9" ht="13.5" thickBot="1" x14ac:dyDescent="0.25">
      <c r="A148" s="120">
        <v>14</v>
      </c>
      <c r="B148" s="403" t="s">
        <v>800</v>
      </c>
      <c r="C148" s="377">
        <v>4</v>
      </c>
      <c r="D148" s="371"/>
      <c r="E148" s="378"/>
      <c r="F148" s="380"/>
      <c r="G148" s="371"/>
      <c r="H148" s="520" t="s">
        <v>487</v>
      </c>
      <c r="I148" s="533"/>
    </row>
    <row r="149" spans="1:9" x14ac:dyDescent="0.2">
      <c r="A149" s="371"/>
      <c r="B149" s="371"/>
      <c r="C149" s="371"/>
      <c r="D149" s="379"/>
      <c r="E149" s="380"/>
      <c r="F149" s="404" t="s">
        <v>487</v>
      </c>
      <c r="G149" s="372">
        <v>5</v>
      </c>
      <c r="H149" s="129" t="s">
        <v>390</v>
      </c>
    </row>
    <row r="150" spans="1:9" x14ac:dyDescent="0.2">
      <c r="A150" s="120">
        <v>10</v>
      </c>
      <c r="B150" s="371" t="s">
        <v>805</v>
      </c>
      <c r="C150" s="382">
        <v>13</v>
      </c>
      <c r="D150" s="371"/>
      <c r="E150" s="380"/>
      <c r="F150" s="371"/>
      <c r="G150" s="371"/>
      <c r="H150" s="371"/>
    </row>
    <row r="151" spans="1:9" x14ac:dyDescent="0.2">
      <c r="A151" s="371"/>
      <c r="B151" s="373"/>
      <c r="C151" s="523" t="s">
        <v>805</v>
      </c>
      <c r="D151" s="371"/>
      <c r="E151" s="404"/>
      <c r="F151" s="372">
        <v>1</v>
      </c>
      <c r="G151" s="371"/>
      <c r="H151" s="371"/>
    </row>
    <row r="152" spans="1:9" x14ac:dyDescent="0.2">
      <c r="A152" s="120">
        <v>15</v>
      </c>
      <c r="B152" s="403" t="s">
        <v>808</v>
      </c>
      <c r="C152" s="390">
        <v>5</v>
      </c>
      <c r="D152" s="373"/>
      <c r="E152" s="371"/>
      <c r="F152" s="371"/>
      <c r="G152" s="371"/>
      <c r="H152" s="371"/>
    </row>
    <row r="153" spans="1:9" x14ac:dyDescent="0.2">
      <c r="A153" s="371"/>
      <c r="B153" s="371"/>
      <c r="C153" s="371"/>
      <c r="D153" s="371"/>
      <c r="E153" s="371"/>
      <c r="F153" s="371" t="s">
        <v>812</v>
      </c>
      <c r="G153" s="382">
        <v>11</v>
      </c>
      <c r="H153" s="379"/>
    </row>
    <row r="154" spans="1:9" ht="13.5" thickBot="1" x14ac:dyDescent="0.25">
      <c r="A154" s="371"/>
      <c r="B154" s="371"/>
      <c r="C154" s="371"/>
      <c r="D154" s="371"/>
      <c r="E154" s="371"/>
      <c r="F154" s="378"/>
      <c r="G154" s="520"/>
      <c r="H154" s="520" t="s">
        <v>805</v>
      </c>
    </row>
    <row r="155" spans="1:9" x14ac:dyDescent="0.2">
      <c r="A155" s="371"/>
      <c r="B155" s="371"/>
      <c r="C155" s="371"/>
      <c r="D155" s="371"/>
      <c r="E155" s="371"/>
      <c r="F155" s="404" t="s">
        <v>805</v>
      </c>
      <c r="G155" s="372">
        <v>13</v>
      </c>
      <c r="H155" s="133" t="s">
        <v>391</v>
      </c>
      <c r="I155" s="532"/>
    </row>
    <row r="156" spans="1:9" x14ac:dyDescent="0.2">
      <c r="A156" s="371"/>
      <c r="B156" s="371"/>
      <c r="C156" s="371"/>
      <c r="D156" s="371"/>
      <c r="E156" s="371"/>
      <c r="F156" s="371"/>
      <c r="G156" s="371"/>
      <c r="H156" s="379"/>
      <c r="I156" s="531"/>
    </row>
    <row r="157" spans="1:9" ht="13.5" thickBot="1" x14ac:dyDescent="0.25">
      <c r="A157" s="371"/>
      <c r="B157" s="371"/>
      <c r="C157" s="371"/>
      <c r="D157" s="371"/>
      <c r="E157" s="371"/>
      <c r="F157" s="371"/>
      <c r="G157" s="371"/>
      <c r="H157" s="520" t="s">
        <v>812</v>
      </c>
      <c r="I157" s="533"/>
    </row>
    <row r="158" spans="1:9" x14ac:dyDescent="0.2">
      <c r="A158" s="371"/>
      <c r="B158" s="371"/>
      <c r="C158" s="371" t="s">
        <v>816</v>
      </c>
      <c r="D158" s="371"/>
      <c r="E158" s="371"/>
      <c r="F158" s="372">
        <v>10</v>
      </c>
      <c r="G158" s="371"/>
      <c r="H158" s="120" t="s">
        <v>392</v>
      </c>
    </row>
    <row r="159" spans="1:9" x14ac:dyDescent="0.2">
      <c r="A159" s="371"/>
      <c r="B159" s="371"/>
      <c r="C159" s="373"/>
      <c r="D159" s="373"/>
      <c r="E159" s="378"/>
      <c r="F159" s="402" t="s">
        <v>818</v>
      </c>
      <c r="G159" s="372">
        <v>13</v>
      </c>
      <c r="H159" s="371"/>
    </row>
    <row r="160" spans="1:9" x14ac:dyDescent="0.2">
      <c r="A160" s="371"/>
      <c r="B160" s="371"/>
      <c r="C160" s="403" t="s">
        <v>818</v>
      </c>
      <c r="D160" s="403"/>
      <c r="E160" s="404"/>
      <c r="F160" s="391">
        <v>13</v>
      </c>
      <c r="G160" s="371"/>
      <c r="H160" s="371"/>
    </row>
    <row r="161" spans="1:9" ht="13.5" thickBot="1" x14ac:dyDescent="0.25">
      <c r="A161" s="371"/>
      <c r="B161" s="371"/>
      <c r="C161" s="371"/>
      <c r="D161" s="371"/>
      <c r="E161" s="371"/>
      <c r="F161" s="380"/>
      <c r="G161" s="371"/>
      <c r="H161" s="371" t="s">
        <v>818</v>
      </c>
    </row>
    <row r="162" spans="1:9" x14ac:dyDescent="0.2">
      <c r="A162" s="371"/>
      <c r="B162" s="371"/>
      <c r="C162" s="371" t="s">
        <v>800</v>
      </c>
      <c r="D162" s="371"/>
      <c r="E162" s="371"/>
      <c r="F162" s="384">
        <v>13</v>
      </c>
      <c r="G162" s="387"/>
      <c r="H162" s="129" t="s">
        <v>393</v>
      </c>
      <c r="I162" s="532"/>
    </row>
    <row r="163" spans="1:9" x14ac:dyDescent="0.2">
      <c r="A163" s="371"/>
      <c r="B163" s="371"/>
      <c r="C163" s="373"/>
      <c r="D163" s="373"/>
      <c r="E163" s="378"/>
      <c r="F163" s="392" t="s">
        <v>800</v>
      </c>
      <c r="G163" s="382">
        <v>8</v>
      </c>
      <c r="H163" s="371"/>
      <c r="I163" s="531"/>
    </row>
    <row r="164" spans="1:9" ht="13.5" thickBot="1" x14ac:dyDescent="0.25">
      <c r="A164" s="371"/>
      <c r="B164" s="371"/>
      <c r="C164" s="403" t="s">
        <v>808</v>
      </c>
      <c r="D164" s="403"/>
      <c r="E164" s="404"/>
      <c r="F164" s="393">
        <v>8</v>
      </c>
      <c r="G164" s="379"/>
      <c r="H164" s="379" t="s">
        <v>800</v>
      </c>
      <c r="I164" s="533"/>
    </row>
    <row r="165" spans="1:9" x14ac:dyDescent="0.2">
      <c r="A165" s="371"/>
      <c r="B165" s="371"/>
      <c r="C165" s="371"/>
      <c r="D165" s="371"/>
      <c r="E165" s="371"/>
      <c r="F165" s="371"/>
      <c r="G165" s="379"/>
      <c r="H165" s="129" t="s">
        <v>394</v>
      </c>
    </row>
    <row r="166" spans="1:9" x14ac:dyDescent="0.2">
      <c r="A166" s="371"/>
      <c r="B166" s="371"/>
      <c r="C166" s="371"/>
      <c r="D166" s="371"/>
      <c r="E166" s="371"/>
      <c r="F166" s="371" t="s">
        <v>816</v>
      </c>
      <c r="G166" s="382">
        <v>13</v>
      </c>
      <c r="H166" s="379"/>
    </row>
    <row r="167" spans="1:9" ht="13.5" thickBot="1" x14ac:dyDescent="0.25">
      <c r="A167" s="371"/>
      <c r="B167" s="371"/>
      <c r="C167" s="371"/>
      <c r="D167" s="371"/>
      <c r="E167" s="371"/>
      <c r="F167" s="378"/>
      <c r="G167" s="520"/>
      <c r="H167" s="520" t="s">
        <v>816</v>
      </c>
    </row>
    <row r="168" spans="1:9" x14ac:dyDescent="0.2">
      <c r="A168" s="371"/>
      <c r="B168" s="371"/>
      <c r="C168" s="371"/>
      <c r="D168" s="371"/>
      <c r="E168" s="371"/>
      <c r="F168" s="404" t="s">
        <v>808</v>
      </c>
      <c r="G168" s="372">
        <v>0</v>
      </c>
      <c r="H168" s="133" t="s">
        <v>395</v>
      </c>
      <c r="I168" s="532"/>
    </row>
    <row r="169" spans="1:9" x14ac:dyDescent="0.2">
      <c r="A169" s="371"/>
      <c r="B169" s="371"/>
      <c r="C169" s="371"/>
      <c r="D169" s="371"/>
      <c r="E169" s="371"/>
      <c r="F169" s="371"/>
      <c r="G169" s="371"/>
      <c r="H169" s="379"/>
      <c r="I169" s="531"/>
    </row>
    <row r="170" spans="1:9" ht="13.5" thickBot="1" x14ac:dyDescent="0.25">
      <c r="A170" s="371"/>
      <c r="B170" s="371"/>
      <c r="C170" s="371"/>
      <c r="D170" s="371"/>
      <c r="E170" s="371"/>
      <c r="F170" s="371"/>
      <c r="G170" s="371"/>
      <c r="H170" s="520" t="s">
        <v>808</v>
      </c>
      <c r="I170" s="533"/>
    </row>
    <row r="171" spans="1:9" x14ac:dyDescent="0.2">
      <c r="A171" s="371"/>
      <c r="B171" s="371"/>
      <c r="C171" s="371"/>
      <c r="D171" s="371"/>
      <c r="E171" s="371"/>
      <c r="F171" s="371"/>
      <c r="G171" s="371"/>
      <c r="H171" s="120" t="s">
        <v>396</v>
      </c>
    </row>
    <row r="172" spans="1:9" x14ac:dyDescent="0.2">
      <c r="A172" s="371"/>
      <c r="B172" s="371"/>
      <c r="C172" s="371"/>
      <c r="D172" s="371"/>
      <c r="E172" s="371"/>
      <c r="F172" s="371"/>
      <c r="G172" s="371"/>
      <c r="H172" s="371"/>
    </row>
    <row r="173" spans="1:9" x14ac:dyDescent="0.2">
      <c r="A173" s="119" t="s">
        <v>479</v>
      </c>
      <c r="B173" s="371"/>
      <c r="C173" s="371"/>
      <c r="D173" s="371"/>
      <c r="E173" s="371"/>
      <c r="F173" s="371"/>
      <c r="G173" s="371"/>
      <c r="H173" s="371"/>
    </row>
    <row r="174" spans="1:9" x14ac:dyDescent="0.2">
      <c r="A174" s="119"/>
      <c r="B174" s="371"/>
      <c r="C174" s="371"/>
      <c r="D174" s="371"/>
      <c r="E174" s="371"/>
      <c r="F174" s="371"/>
      <c r="G174" s="371"/>
      <c r="H174" s="371"/>
    </row>
    <row r="175" spans="1:9" x14ac:dyDescent="0.2">
      <c r="A175" s="120">
        <v>17</v>
      </c>
      <c r="B175" s="371" t="s">
        <v>819</v>
      </c>
      <c r="C175" s="372">
        <v>8</v>
      </c>
      <c r="D175" s="371"/>
      <c r="E175" s="371"/>
      <c r="F175" s="371"/>
      <c r="G175" s="371"/>
      <c r="H175" s="371"/>
    </row>
    <row r="176" spans="1:9" x14ac:dyDescent="0.2">
      <c r="A176" s="371"/>
      <c r="B176" s="373"/>
      <c r="C176" s="402" t="s">
        <v>803</v>
      </c>
      <c r="D176" s="403"/>
      <c r="E176" s="371"/>
      <c r="F176" s="372">
        <v>13</v>
      </c>
      <c r="G176" s="371"/>
      <c r="H176" s="371"/>
    </row>
    <row r="177" spans="1:9" x14ac:dyDescent="0.2">
      <c r="A177" s="120">
        <v>24</v>
      </c>
      <c r="B177" s="376" t="s">
        <v>803</v>
      </c>
      <c r="C177" s="377">
        <v>13</v>
      </c>
      <c r="D177" s="371"/>
      <c r="E177" s="378"/>
      <c r="F177" s="371"/>
      <c r="G177" s="371"/>
      <c r="H177" s="371"/>
    </row>
    <row r="178" spans="1:9" x14ac:dyDescent="0.2">
      <c r="A178" s="371"/>
      <c r="B178" s="371"/>
      <c r="C178" s="371"/>
      <c r="D178" s="379"/>
      <c r="E178" s="380"/>
      <c r="F178" s="371" t="s">
        <v>803</v>
      </c>
      <c r="G178" s="372">
        <v>13</v>
      </c>
      <c r="H178" s="371"/>
    </row>
    <row r="179" spans="1:9" x14ac:dyDescent="0.2">
      <c r="A179" s="120">
        <v>20</v>
      </c>
      <c r="B179" s="381" t="s">
        <v>699</v>
      </c>
      <c r="C179" s="382">
        <v>10</v>
      </c>
      <c r="D179" s="371"/>
      <c r="E179" s="380"/>
      <c r="F179" s="378"/>
      <c r="G179" s="371"/>
      <c r="H179" s="371"/>
    </row>
    <row r="180" spans="1:9" x14ac:dyDescent="0.2">
      <c r="A180" s="371"/>
      <c r="B180" s="373"/>
      <c r="C180" s="523" t="s">
        <v>798</v>
      </c>
      <c r="D180" s="371"/>
      <c r="E180" s="404"/>
      <c r="F180" s="384">
        <v>5</v>
      </c>
      <c r="G180" s="371"/>
      <c r="H180" s="371"/>
    </row>
    <row r="181" spans="1:9" x14ac:dyDescent="0.2">
      <c r="A181" s="120">
        <v>21</v>
      </c>
      <c r="B181" s="376" t="s">
        <v>798</v>
      </c>
      <c r="C181" s="390">
        <v>13</v>
      </c>
      <c r="D181" s="373"/>
      <c r="E181" s="371"/>
      <c r="F181" s="380"/>
      <c r="G181" s="371"/>
      <c r="H181" s="371"/>
    </row>
    <row r="182" spans="1:9" ht="13.5" thickBot="1" x14ac:dyDescent="0.25">
      <c r="A182" s="371"/>
      <c r="B182" s="371"/>
      <c r="C182" s="371"/>
      <c r="D182" s="371"/>
      <c r="E182" s="371"/>
      <c r="F182" s="380"/>
      <c r="G182" s="371"/>
      <c r="H182" s="371" t="s">
        <v>803</v>
      </c>
    </row>
    <row r="183" spans="1:9" x14ac:dyDescent="0.2">
      <c r="A183" s="120">
        <v>19</v>
      </c>
      <c r="B183" s="371" t="s">
        <v>813</v>
      </c>
      <c r="C183" s="372">
        <v>13</v>
      </c>
      <c r="D183" s="371"/>
      <c r="E183" s="371"/>
      <c r="F183" s="380"/>
      <c r="G183" s="387"/>
      <c r="H183" s="129" t="s">
        <v>450</v>
      </c>
      <c r="I183" s="532"/>
    </row>
    <row r="184" spans="1:9" x14ac:dyDescent="0.2">
      <c r="A184" s="371"/>
      <c r="B184" s="373"/>
      <c r="C184" s="402" t="s">
        <v>813</v>
      </c>
      <c r="D184" s="403"/>
      <c r="E184" s="371"/>
      <c r="F184" s="384">
        <v>8</v>
      </c>
      <c r="G184" s="371"/>
      <c r="H184" s="371"/>
      <c r="I184" s="531"/>
    </row>
    <row r="185" spans="1:9" ht="13.5" thickBot="1" x14ac:dyDescent="0.25">
      <c r="A185" s="120">
        <v>22</v>
      </c>
      <c r="B185" s="403" t="s">
        <v>806</v>
      </c>
      <c r="C185" s="377">
        <v>11</v>
      </c>
      <c r="D185" s="371"/>
      <c r="E185" s="378"/>
      <c r="F185" s="380"/>
      <c r="G185" s="371"/>
      <c r="H185" s="520" t="s">
        <v>807</v>
      </c>
      <c r="I185" s="533"/>
    </row>
    <row r="186" spans="1:9" x14ac:dyDescent="0.2">
      <c r="A186" s="371"/>
      <c r="B186" s="371"/>
      <c r="C186" s="371"/>
      <c r="D186" s="379"/>
      <c r="E186" s="380"/>
      <c r="F186" s="404" t="s">
        <v>807</v>
      </c>
      <c r="G186" s="372">
        <v>6</v>
      </c>
      <c r="H186" s="129" t="s">
        <v>451</v>
      </c>
    </row>
    <row r="187" spans="1:9" x14ac:dyDescent="0.2">
      <c r="A187" s="120">
        <v>18</v>
      </c>
      <c r="B187" s="371" t="s">
        <v>807</v>
      </c>
      <c r="C187" s="382">
        <v>13</v>
      </c>
      <c r="D187" s="371"/>
      <c r="E187" s="380"/>
      <c r="F187" s="371"/>
      <c r="G187" s="371"/>
      <c r="H187" s="371"/>
    </row>
    <row r="188" spans="1:9" x14ac:dyDescent="0.2">
      <c r="A188" s="371"/>
      <c r="B188" s="373"/>
      <c r="C188" s="523" t="s">
        <v>807</v>
      </c>
      <c r="D188" s="371"/>
      <c r="E188" s="404"/>
      <c r="F188" s="372">
        <v>13</v>
      </c>
      <c r="G188" s="371"/>
      <c r="H188" s="371"/>
    </row>
    <row r="189" spans="1:9" x14ac:dyDescent="0.2">
      <c r="A189" s="120">
        <v>23</v>
      </c>
      <c r="B189" s="403" t="s">
        <v>815</v>
      </c>
      <c r="C189" s="390">
        <v>0</v>
      </c>
      <c r="D189" s="373"/>
      <c r="E189" s="371"/>
      <c r="F189" s="371"/>
      <c r="G189" s="371"/>
      <c r="H189" s="371"/>
    </row>
    <row r="190" spans="1:9" x14ac:dyDescent="0.2">
      <c r="A190" s="371"/>
      <c r="B190" s="371"/>
      <c r="C190" s="371"/>
      <c r="D190" s="371"/>
      <c r="E190" s="371"/>
      <c r="F190" s="371" t="s">
        <v>798</v>
      </c>
      <c r="G190" s="382">
        <v>6</v>
      </c>
      <c r="H190" s="379"/>
    </row>
    <row r="191" spans="1:9" ht="13.5" thickBot="1" x14ac:dyDescent="0.25">
      <c r="A191" s="371"/>
      <c r="B191" s="371"/>
      <c r="C191" s="371"/>
      <c r="D191" s="371"/>
      <c r="E191" s="371"/>
      <c r="F191" s="378"/>
      <c r="G191" s="520"/>
      <c r="H191" s="520" t="s">
        <v>813</v>
      </c>
    </row>
    <row r="192" spans="1:9" x14ac:dyDescent="0.2">
      <c r="A192" s="371"/>
      <c r="B192" s="371"/>
      <c r="C192" s="371"/>
      <c r="D192" s="371"/>
      <c r="E192" s="371"/>
      <c r="F192" s="404" t="s">
        <v>813</v>
      </c>
      <c r="G192" s="372">
        <v>13</v>
      </c>
      <c r="H192" s="133" t="s">
        <v>452</v>
      </c>
      <c r="I192" s="532"/>
    </row>
    <row r="193" spans="1:9" x14ac:dyDescent="0.2">
      <c r="A193" s="371"/>
      <c r="B193" s="371"/>
      <c r="C193" s="371"/>
      <c r="D193" s="371"/>
      <c r="E193" s="371"/>
      <c r="F193" s="371"/>
      <c r="G193" s="371"/>
      <c r="H193" s="379"/>
      <c r="I193" s="531"/>
    </row>
    <row r="194" spans="1:9" ht="13.5" thickBot="1" x14ac:dyDescent="0.25">
      <c r="A194" s="371"/>
      <c r="B194" s="371"/>
      <c r="C194" s="371"/>
      <c r="D194" s="371"/>
      <c r="E194" s="371"/>
      <c r="F194" s="371"/>
      <c r="G194" s="371"/>
      <c r="H194" s="520" t="s">
        <v>798</v>
      </c>
      <c r="I194" s="533"/>
    </row>
    <row r="195" spans="1:9" x14ac:dyDescent="0.2">
      <c r="A195" s="371"/>
      <c r="B195" s="371"/>
      <c r="C195" s="371" t="s">
        <v>819</v>
      </c>
      <c r="D195" s="371"/>
      <c r="E195" s="371"/>
      <c r="F195" s="372">
        <v>13</v>
      </c>
      <c r="G195" s="371"/>
      <c r="H195" s="120" t="s">
        <v>453</v>
      </c>
    </row>
    <row r="196" spans="1:9" x14ac:dyDescent="0.2">
      <c r="A196" s="371"/>
      <c r="B196" s="371"/>
      <c r="C196" s="373"/>
      <c r="D196" s="373"/>
      <c r="E196" s="378"/>
      <c r="F196" s="402" t="s">
        <v>819</v>
      </c>
      <c r="G196" s="372">
        <v>10</v>
      </c>
      <c r="H196" s="371"/>
    </row>
    <row r="197" spans="1:9" x14ac:dyDescent="0.2">
      <c r="A197" s="371"/>
      <c r="B197" s="371"/>
      <c r="C197" s="403" t="s">
        <v>699</v>
      </c>
      <c r="D197" s="403"/>
      <c r="E197" s="404"/>
      <c r="F197" s="391">
        <v>3</v>
      </c>
      <c r="G197" s="371"/>
      <c r="H197" s="371"/>
    </row>
    <row r="198" spans="1:9" ht="13.5" thickBot="1" x14ac:dyDescent="0.25">
      <c r="A198" s="371"/>
      <c r="B198" s="371"/>
      <c r="C198" s="371"/>
      <c r="D198" s="371"/>
      <c r="E198" s="371"/>
      <c r="F198" s="380"/>
      <c r="G198" s="371"/>
      <c r="H198" s="371" t="s">
        <v>815</v>
      </c>
    </row>
    <row r="199" spans="1:9" x14ac:dyDescent="0.2">
      <c r="A199" s="371"/>
      <c r="B199" s="371"/>
      <c r="C199" s="371" t="s">
        <v>806</v>
      </c>
      <c r="D199" s="371"/>
      <c r="E199" s="371"/>
      <c r="F199" s="384">
        <v>2</v>
      </c>
      <c r="G199" s="387"/>
      <c r="H199" s="129" t="s">
        <v>454</v>
      </c>
      <c r="I199" s="532"/>
    </row>
    <row r="200" spans="1:9" x14ac:dyDescent="0.2">
      <c r="A200" s="371"/>
      <c r="B200" s="371"/>
      <c r="C200" s="373"/>
      <c r="D200" s="373"/>
      <c r="E200" s="378"/>
      <c r="F200" s="392" t="s">
        <v>815</v>
      </c>
      <c r="G200" s="382">
        <v>13</v>
      </c>
      <c r="H200" s="371"/>
      <c r="I200" s="531"/>
    </row>
    <row r="201" spans="1:9" ht="13.5" thickBot="1" x14ac:dyDescent="0.25">
      <c r="A201" s="371"/>
      <c r="B201" s="371"/>
      <c r="C201" s="403" t="s">
        <v>815</v>
      </c>
      <c r="D201" s="403"/>
      <c r="E201" s="404"/>
      <c r="F201" s="393">
        <v>13</v>
      </c>
      <c r="G201" s="379"/>
      <c r="H201" s="379" t="s">
        <v>819</v>
      </c>
      <c r="I201" s="533"/>
    </row>
    <row r="202" spans="1:9" x14ac:dyDescent="0.2">
      <c r="A202" s="371"/>
      <c r="B202" s="371"/>
      <c r="C202" s="371"/>
      <c r="D202" s="371"/>
      <c r="E202" s="371"/>
      <c r="F202" s="371"/>
      <c r="G202" s="379"/>
      <c r="H202" s="129" t="s">
        <v>455</v>
      </c>
    </row>
    <row r="203" spans="1:9" x14ac:dyDescent="0.2">
      <c r="A203" s="371"/>
      <c r="B203" s="371"/>
      <c r="C203" s="371"/>
      <c r="D203" s="371"/>
      <c r="E203" s="371"/>
      <c r="F203" s="371" t="s">
        <v>699</v>
      </c>
      <c r="G203" s="382">
        <v>13</v>
      </c>
      <c r="H203" s="379"/>
    </row>
    <row r="204" spans="1:9" ht="13.5" thickBot="1" x14ac:dyDescent="0.25">
      <c r="A204" s="371"/>
      <c r="B204" s="371"/>
      <c r="C204" s="371"/>
      <c r="D204" s="371"/>
      <c r="E204" s="371"/>
      <c r="F204" s="378"/>
      <c r="G204" s="520"/>
      <c r="H204" s="520" t="s">
        <v>699</v>
      </c>
    </row>
    <row r="205" spans="1:9" x14ac:dyDescent="0.2">
      <c r="A205" s="371"/>
      <c r="B205" s="371"/>
      <c r="C205" s="371"/>
      <c r="D205" s="371"/>
      <c r="E205" s="371"/>
      <c r="F205" s="404" t="s">
        <v>806</v>
      </c>
      <c r="G205" s="372">
        <v>5</v>
      </c>
      <c r="H205" s="133" t="s">
        <v>456</v>
      </c>
      <c r="I205" s="532"/>
    </row>
    <row r="206" spans="1:9" x14ac:dyDescent="0.2">
      <c r="A206" s="371"/>
      <c r="B206" s="371"/>
      <c r="C206" s="371"/>
      <c r="D206" s="371"/>
      <c r="E206" s="371"/>
      <c r="F206" s="371"/>
      <c r="G206" s="371"/>
      <c r="H206" s="379"/>
      <c r="I206" s="531"/>
    </row>
    <row r="207" spans="1:9" ht="13.5" thickBot="1" x14ac:dyDescent="0.25">
      <c r="A207" s="371"/>
      <c r="B207" s="371"/>
      <c r="C207" s="371"/>
      <c r="D207" s="371"/>
      <c r="E207" s="371"/>
      <c r="F207" s="371"/>
      <c r="G207" s="371"/>
      <c r="H207" s="520" t="s">
        <v>806</v>
      </c>
      <c r="I207" s="533"/>
    </row>
    <row r="208" spans="1:9" x14ac:dyDescent="0.2">
      <c r="A208" s="371"/>
      <c r="B208" s="371"/>
      <c r="C208" s="371"/>
      <c r="D208" s="371"/>
      <c r="E208" s="371"/>
      <c r="F208" s="371"/>
      <c r="G208" s="371"/>
      <c r="H208" s="120" t="s">
        <v>457</v>
      </c>
    </row>
    <row r="209" spans="1:9" x14ac:dyDescent="0.2">
      <c r="A209" s="608"/>
      <c r="B209" s="608"/>
      <c r="C209" s="608"/>
      <c r="D209" s="608"/>
      <c r="E209" s="608"/>
      <c r="F209" s="608"/>
      <c r="G209" s="608"/>
      <c r="H209" s="120"/>
    </row>
    <row r="210" spans="1:9" x14ac:dyDescent="0.2">
      <c r="A210" s="119" t="s">
        <v>1079</v>
      </c>
      <c r="B210" s="608"/>
      <c r="C210" s="608"/>
      <c r="D210" s="608"/>
      <c r="E210" s="608"/>
      <c r="F210" s="608"/>
      <c r="G210" s="608"/>
      <c r="H210" s="120"/>
    </row>
    <row r="211" spans="1:9" x14ac:dyDescent="0.2">
      <c r="A211" s="608"/>
      <c r="B211" s="608"/>
      <c r="C211" s="608"/>
      <c r="D211" s="608"/>
      <c r="E211" s="608"/>
      <c r="F211" s="608"/>
      <c r="G211" s="608"/>
      <c r="H211" s="120"/>
    </row>
    <row r="212" spans="1:9" x14ac:dyDescent="0.2">
      <c r="A212" s="371"/>
      <c r="B212" s="371"/>
      <c r="C212" s="371"/>
      <c r="D212" s="371"/>
      <c r="E212" s="371"/>
      <c r="F212" s="371"/>
      <c r="G212" s="371"/>
      <c r="H212" s="371"/>
    </row>
    <row r="213" spans="1:9" x14ac:dyDescent="0.2">
      <c r="A213" s="371"/>
      <c r="B213" s="371"/>
      <c r="C213" s="371"/>
      <c r="D213" s="371"/>
      <c r="E213" s="120">
        <v>25</v>
      </c>
      <c r="F213" s="528" t="s">
        <v>830</v>
      </c>
      <c r="G213" s="382">
        <v>13</v>
      </c>
      <c r="H213" s="379"/>
    </row>
    <row r="214" spans="1:9" ht="13.5" thickBot="1" x14ac:dyDescent="0.25">
      <c r="A214" s="371"/>
      <c r="B214" s="371"/>
      <c r="C214" s="371"/>
      <c r="D214" s="371"/>
      <c r="E214" s="371"/>
      <c r="F214" s="378"/>
      <c r="G214" s="521"/>
      <c r="H214" s="533" t="s">
        <v>830</v>
      </c>
      <c r="I214" s="533"/>
    </row>
    <row r="215" spans="1:9" x14ac:dyDescent="0.2">
      <c r="A215" s="371"/>
      <c r="B215" s="371"/>
      <c r="C215" s="371"/>
      <c r="D215" s="371"/>
      <c r="E215" s="120">
        <v>26</v>
      </c>
      <c r="F215" s="404" t="s">
        <v>809</v>
      </c>
      <c r="G215" s="522"/>
      <c r="H215" s="129" t="s">
        <v>458</v>
      </c>
      <c r="I215" s="532"/>
    </row>
    <row r="216" spans="1:9" x14ac:dyDescent="0.2">
      <c r="A216" s="371"/>
      <c r="B216" s="371"/>
      <c r="C216" s="371"/>
      <c r="D216" s="371"/>
      <c r="E216" s="371"/>
      <c r="F216" s="371"/>
      <c r="G216" s="371"/>
      <c r="H216" s="379"/>
      <c r="I216" s="531"/>
    </row>
    <row r="217" spans="1:9" ht="13.5" thickBot="1" x14ac:dyDescent="0.25">
      <c r="A217" s="371"/>
      <c r="B217" s="371"/>
      <c r="C217" s="371"/>
      <c r="D217" s="371"/>
      <c r="E217" s="371"/>
      <c r="F217" s="371"/>
      <c r="G217" s="371"/>
      <c r="H217" s="520" t="s">
        <v>809</v>
      </c>
      <c r="I217" s="533"/>
    </row>
    <row r="218" spans="1:9" x14ac:dyDescent="0.2">
      <c r="A218" s="371"/>
      <c r="B218" s="371"/>
      <c r="C218" s="371"/>
      <c r="D218" s="371"/>
      <c r="E218" s="371"/>
      <c r="F218" s="371"/>
      <c r="G218" s="371"/>
      <c r="H218" s="120" t="s">
        <v>506</v>
      </c>
    </row>
    <row r="219" spans="1:9" x14ac:dyDescent="0.2">
      <c r="A219" s="371"/>
      <c r="B219" s="371"/>
      <c r="C219" s="371"/>
      <c r="D219" s="371"/>
      <c r="E219" s="371"/>
      <c r="F219" s="371"/>
      <c r="G219" s="371"/>
      <c r="H219" s="371"/>
    </row>
    <row r="220" spans="1:9" x14ac:dyDescent="0.2">
      <c r="A220" s="134">
        <v>1</v>
      </c>
      <c r="B220" s="135" t="s">
        <v>804</v>
      </c>
      <c r="C220" s="363"/>
      <c r="D220" s="363"/>
      <c r="E220" s="363"/>
      <c r="F220" s="363"/>
      <c r="G220" s="363"/>
      <c r="H220" s="363"/>
    </row>
    <row r="221" spans="1:9" x14ac:dyDescent="0.2">
      <c r="A221" s="134">
        <v>2</v>
      </c>
      <c r="B221" s="394" t="s">
        <v>497</v>
      </c>
      <c r="C221" s="363"/>
      <c r="D221" s="363"/>
      <c r="E221" s="363"/>
      <c r="F221" s="363"/>
      <c r="G221" s="363"/>
      <c r="H221" s="363"/>
    </row>
    <row r="222" spans="1:9" x14ac:dyDescent="0.2">
      <c r="A222" s="134">
        <v>3</v>
      </c>
      <c r="B222" s="395" t="s">
        <v>802</v>
      </c>
      <c r="C222" s="363"/>
      <c r="D222" s="363"/>
      <c r="E222" s="363"/>
      <c r="F222" s="363"/>
      <c r="G222" s="363"/>
      <c r="H222" s="363"/>
    </row>
    <row r="223" spans="1:9" x14ac:dyDescent="0.2">
      <c r="A223" s="134">
        <v>4</v>
      </c>
      <c r="B223" s="530" t="s">
        <v>875</v>
      </c>
      <c r="C223" s="363"/>
      <c r="D223" s="363"/>
      <c r="E223" s="363"/>
      <c r="F223" s="363"/>
      <c r="G223" s="363"/>
      <c r="H223" s="363"/>
    </row>
    <row r="224" spans="1:9" x14ac:dyDescent="0.2">
      <c r="A224" s="134">
        <v>5</v>
      </c>
      <c r="B224" s="368" t="s">
        <v>484</v>
      </c>
      <c r="C224" s="363"/>
      <c r="D224" s="363"/>
      <c r="E224" s="363"/>
      <c r="F224" s="363"/>
      <c r="G224" s="363"/>
      <c r="H224" s="363"/>
    </row>
    <row r="225" spans="1:8" x14ac:dyDescent="0.2">
      <c r="A225" s="134">
        <v>6</v>
      </c>
      <c r="B225" s="368" t="s">
        <v>799</v>
      </c>
      <c r="C225" s="363"/>
      <c r="D225" s="363"/>
      <c r="E225" s="363"/>
      <c r="F225" s="363"/>
      <c r="G225" s="363"/>
      <c r="H225" s="363"/>
    </row>
    <row r="226" spans="1:8" x14ac:dyDescent="0.2">
      <c r="A226" s="134">
        <v>7</v>
      </c>
      <c r="B226" s="368" t="s">
        <v>810</v>
      </c>
      <c r="C226" s="363"/>
      <c r="D226" s="363"/>
      <c r="E226" s="363"/>
      <c r="F226" s="363"/>
      <c r="G226" s="363"/>
      <c r="H226" s="363"/>
    </row>
    <row r="227" spans="1:8" x14ac:dyDescent="0.2">
      <c r="A227" s="134">
        <v>8</v>
      </c>
      <c r="B227" s="368" t="s">
        <v>801</v>
      </c>
      <c r="C227" s="363"/>
      <c r="D227" s="363"/>
      <c r="E227" s="363"/>
      <c r="F227" s="363"/>
      <c r="G227" s="363"/>
      <c r="H227" s="363"/>
    </row>
    <row r="228" spans="1:8" x14ac:dyDescent="0.2">
      <c r="A228" s="134">
        <v>9</v>
      </c>
      <c r="B228" s="518" t="s">
        <v>701</v>
      </c>
      <c r="C228" s="363"/>
      <c r="D228" s="363"/>
      <c r="E228" s="363"/>
      <c r="F228" s="363"/>
      <c r="G228" s="363"/>
      <c r="H228" s="363"/>
    </row>
    <row r="229" spans="1:8" x14ac:dyDescent="0.2">
      <c r="A229" s="134">
        <v>10</v>
      </c>
      <c r="B229" s="518" t="s">
        <v>487</v>
      </c>
      <c r="C229" s="363"/>
      <c r="D229" s="363"/>
      <c r="E229" s="363"/>
      <c r="F229" s="363"/>
      <c r="G229" s="363"/>
      <c r="H229" s="363"/>
    </row>
    <row r="230" spans="1:8" x14ac:dyDescent="0.2">
      <c r="A230" s="134">
        <v>11</v>
      </c>
      <c r="B230" s="427" t="s">
        <v>805</v>
      </c>
      <c r="C230" s="363"/>
      <c r="D230" s="363"/>
      <c r="E230" s="363"/>
      <c r="F230" s="363"/>
      <c r="G230" s="363"/>
      <c r="H230" s="363"/>
    </row>
    <row r="231" spans="1:8" x14ac:dyDescent="0.2">
      <c r="A231" s="134">
        <v>12</v>
      </c>
      <c r="B231" s="518" t="s">
        <v>812</v>
      </c>
      <c r="C231" s="363"/>
      <c r="D231" s="363"/>
      <c r="E231" s="363"/>
      <c r="F231" s="363"/>
      <c r="G231" s="363"/>
      <c r="H231" s="363"/>
    </row>
    <row r="232" spans="1:8" x14ac:dyDescent="0.2">
      <c r="A232" s="134">
        <v>13</v>
      </c>
      <c r="B232" s="516" t="s">
        <v>818</v>
      </c>
      <c r="C232" s="363"/>
      <c r="D232" s="363"/>
      <c r="E232" s="363"/>
      <c r="F232" s="363"/>
      <c r="G232" s="363"/>
      <c r="H232" s="363"/>
    </row>
    <row r="233" spans="1:8" x14ac:dyDescent="0.2">
      <c r="A233" s="134">
        <v>14</v>
      </c>
      <c r="B233" s="427" t="s">
        <v>800</v>
      </c>
    </row>
    <row r="234" spans="1:8" x14ac:dyDescent="0.2">
      <c r="A234" s="134">
        <v>15</v>
      </c>
      <c r="B234" s="518" t="s">
        <v>816</v>
      </c>
    </row>
    <row r="235" spans="1:8" x14ac:dyDescent="0.2">
      <c r="A235" s="134">
        <v>16</v>
      </c>
      <c r="B235" s="516" t="s">
        <v>808</v>
      </c>
    </row>
    <row r="236" spans="1:8" x14ac:dyDescent="0.2">
      <c r="A236" s="134">
        <v>17</v>
      </c>
      <c r="B236" s="518" t="s">
        <v>803</v>
      </c>
    </row>
    <row r="237" spans="1:8" x14ac:dyDescent="0.2">
      <c r="A237" s="134">
        <v>18</v>
      </c>
      <c r="B237" s="516" t="s">
        <v>807</v>
      </c>
    </row>
    <row r="238" spans="1:8" x14ac:dyDescent="0.2">
      <c r="A238" s="134">
        <v>19</v>
      </c>
      <c r="B238" s="427" t="s">
        <v>813</v>
      </c>
    </row>
    <row r="239" spans="1:8" x14ac:dyDescent="0.2">
      <c r="A239" s="134">
        <v>20</v>
      </c>
      <c r="B239" s="518" t="s">
        <v>798</v>
      </c>
    </row>
    <row r="240" spans="1:8" x14ac:dyDescent="0.2">
      <c r="A240" s="134">
        <v>21</v>
      </c>
      <c r="B240" s="516" t="s">
        <v>815</v>
      </c>
    </row>
    <row r="241" spans="1:2" x14ac:dyDescent="0.2">
      <c r="A241" s="134">
        <v>22</v>
      </c>
      <c r="B241" s="518" t="s">
        <v>819</v>
      </c>
    </row>
    <row r="242" spans="1:2" x14ac:dyDescent="0.2">
      <c r="A242" s="134">
        <v>23</v>
      </c>
      <c r="B242" s="518" t="s">
        <v>699</v>
      </c>
    </row>
    <row r="243" spans="1:2" x14ac:dyDescent="0.2">
      <c r="A243" s="134">
        <v>24</v>
      </c>
      <c r="B243" s="516" t="s">
        <v>806</v>
      </c>
    </row>
    <row r="244" spans="1:2" x14ac:dyDescent="0.2">
      <c r="A244" s="134">
        <v>25</v>
      </c>
      <c r="B244" s="530" t="s">
        <v>830</v>
      </c>
    </row>
    <row r="245" spans="1:2" x14ac:dyDescent="0.2">
      <c r="A245" s="134">
        <v>26</v>
      </c>
      <c r="B245" s="518" t="s">
        <v>809</v>
      </c>
    </row>
  </sheetData>
  <conditionalFormatting sqref="B106 B116:E116 B101:F105 B107:F115 D106:F106 B117:F131 G101:G131 B138:G168 D7:D20 D22:D35 D37:D50 D52:D97">
    <cfRule type="cellIs" dxfId="194" priority="4" stopIfTrue="1" operator="equal">
      <formula>13</formula>
    </cfRule>
  </conditionalFormatting>
  <conditionalFormatting sqref="B175:G205">
    <cfRule type="cellIs" dxfId="193" priority="2" stopIfTrue="1" operator="equal">
      <formula>13</formula>
    </cfRule>
  </conditionalFormatting>
  <conditionalFormatting sqref="B214:G215 B213:E213 G213">
    <cfRule type="cellIs" dxfId="192" priority="1" stopIfTrue="1"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6" manualBreakCount="6">
    <brk id="34" max="16383" man="1"/>
    <brk id="64" max="16383" man="1"/>
    <brk id="97" max="16383" man="1"/>
    <brk id="134" max="16383" man="1"/>
    <brk id="171" max="16383" man="1"/>
    <brk id="20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showGridLines="0" showRowColHeaders="0" zoomScaleNormal="100" workbookViewId="0">
      <pane ySplit="2" topLeftCell="A3" activePane="bottomLeft" state="frozen"/>
      <selection pane="bottomLeft" activeCell="G1" sqref="G1"/>
    </sheetView>
  </sheetViews>
  <sheetFormatPr defaultRowHeight="12.75" x14ac:dyDescent="0.2"/>
  <cols>
    <col min="1" max="1" width="3.28515625" style="244" customWidth="1"/>
    <col min="2" max="2" width="46" style="244" bestFit="1" customWidth="1"/>
    <col min="3" max="3" width="7.28515625" style="244" bestFit="1" customWidth="1"/>
    <col min="4" max="4" width="7.42578125" style="244" bestFit="1" customWidth="1"/>
    <col min="5" max="5" width="9.140625" style="244"/>
    <col min="6" max="6" width="6.7109375" style="244" bestFit="1" customWidth="1"/>
    <col min="7" max="7" width="5.140625" style="244" bestFit="1" customWidth="1"/>
    <col min="8" max="8" width="6.42578125" style="244" customWidth="1"/>
    <col min="9" max="9" width="4.42578125" style="244" customWidth="1"/>
    <col min="10" max="16384" width="9.140625" style="244"/>
  </cols>
  <sheetData>
    <row r="1" spans="1:12" x14ac:dyDescent="0.2">
      <c r="A1" s="314" t="str">
        <f>UPPER((Kalend!E31)&amp;" - "&amp;(Kalend!C31)&amp;" - "&amp;(Kalend!D31))</f>
        <v>15 - 25. EESTI MV - TRIO</v>
      </c>
      <c r="E1" s="204" t="str">
        <f>HYPERLINK("#Üldreiting!I1","Reiting")</f>
        <v>Reiting</v>
      </c>
      <c r="F1" s="528"/>
      <c r="G1" s="528"/>
    </row>
    <row r="2" spans="1:12" x14ac:dyDescent="0.2">
      <c r="A2" s="309" t="str">
        <f>"Toimumisaeg: "&amp;(Kalend!A31)&amp;" kell "&amp;(Kalend!B31)</f>
        <v>Toimumisaeg: L, 13.08.2016 kell 10:30</v>
      </c>
    </row>
    <row r="3" spans="1:12" x14ac:dyDescent="0.2">
      <c r="A3" s="309" t="str">
        <f>"Toimumiskoht: "&amp;(Kalend!H31)</f>
        <v>Toimumiskoht: Kohtla-Järve, Järveküla tee 44</v>
      </c>
    </row>
    <row r="4" spans="1:12" x14ac:dyDescent="0.2">
      <c r="A4" s="309" t="str">
        <f>"Korraldaja: "&amp;(Kalend!I31)</f>
        <v>Korraldaja: K-Järve SHK</v>
      </c>
    </row>
    <row r="6" spans="1:12" x14ac:dyDescent="0.2">
      <c r="A6" s="855" t="s">
        <v>331</v>
      </c>
      <c r="B6" s="856"/>
      <c r="C6" s="77" t="s">
        <v>332</v>
      </c>
      <c r="D6" s="77" t="s">
        <v>333</v>
      </c>
      <c r="E6" s="77" t="s">
        <v>334</v>
      </c>
      <c r="F6" s="77" t="s">
        <v>335</v>
      </c>
      <c r="G6" s="77" t="s">
        <v>28</v>
      </c>
      <c r="H6" s="528"/>
      <c r="I6" s="528"/>
      <c r="J6" s="528"/>
      <c r="K6" s="528"/>
      <c r="L6" s="528"/>
    </row>
    <row r="7" spans="1:12" x14ac:dyDescent="0.2">
      <c r="A7" s="76">
        <v>1</v>
      </c>
      <c r="B7" s="587" t="s">
        <v>883</v>
      </c>
      <c r="C7" s="79">
        <v>13</v>
      </c>
      <c r="D7" s="79">
        <v>13</v>
      </c>
      <c r="E7" s="79"/>
      <c r="F7" s="79"/>
      <c r="G7" s="586" t="s">
        <v>337</v>
      </c>
      <c r="H7" s="528"/>
      <c r="I7" s="528"/>
      <c r="J7" s="528"/>
      <c r="K7" s="528"/>
      <c r="L7" s="528"/>
    </row>
    <row r="8" spans="1:12" x14ac:dyDescent="0.2">
      <c r="A8" s="76">
        <v>2</v>
      </c>
      <c r="B8" s="587" t="s">
        <v>719</v>
      </c>
      <c r="C8" s="79">
        <v>13</v>
      </c>
      <c r="D8" s="79">
        <v>2</v>
      </c>
      <c r="E8" s="79"/>
      <c r="F8" s="79">
        <v>9</v>
      </c>
      <c r="G8" s="586" t="s">
        <v>338</v>
      </c>
      <c r="H8" s="528"/>
      <c r="I8" s="528"/>
      <c r="J8" s="528"/>
      <c r="K8" s="157"/>
      <c r="L8" s="528"/>
    </row>
    <row r="9" spans="1:12" x14ac:dyDescent="0.2">
      <c r="A9" s="76">
        <v>3</v>
      </c>
      <c r="B9" s="587" t="s">
        <v>348</v>
      </c>
      <c r="C9" s="79">
        <v>12</v>
      </c>
      <c r="D9" s="79"/>
      <c r="E9" s="79">
        <v>13</v>
      </c>
      <c r="F9" s="79">
        <v>13</v>
      </c>
      <c r="G9" s="586" t="s">
        <v>336</v>
      </c>
      <c r="H9" s="528"/>
      <c r="I9" s="528"/>
      <c r="J9" s="528"/>
      <c r="K9" s="528"/>
      <c r="L9" s="528"/>
    </row>
    <row r="10" spans="1:12" x14ac:dyDescent="0.2">
      <c r="A10" s="76">
        <v>4</v>
      </c>
      <c r="B10" s="597" t="s">
        <v>884</v>
      </c>
      <c r="C10" s="79">
        <v>8</v>
      </c>
      <c r="D10" s="79"/>
      <c r="E10" s="79">
        <v>6</v>
      </c>
      <c r="F10" s="79"/>
      <c r="G10" s="586" t="s">
        <v>398</v>
      </c>
      <c r="H10" s="528"/>
      <c r="I10" s="528"/>
      <c r="J10" s="528"/>
      <c r="K10" s="528"/>
      <c r="L10" s="528"/>
    </row>
    <row r="11" spans="1:12" x14ac:dyDescent="0.2">
      <c r="A11" s="80"/>
      <c r="B11" s="81"/>
      <c r="C11" s="82"/>
      <c r="D11" s="82"/>
      <c r="E11" s="82"/>
      <c r="F11" s="83"/>
      <c r="G11" s="84"/>
      <c r="H11" s="528"/>
      <c r="I11" s="528"/>
      <c r="J11" s="528"/>
      <c r="K11" s="528"/>
      <c r="L11" s="528"/>
    </row>
    <row r="12" spans="1:12" x14ac:dyDescent="0.2">
      <c r="A12" s="855" t="s">
        <v>339</v>
      </c>
      <c r="B12" s="856"/>
      <c r="C12" s="77" t="s">
        <v>332</v>
      </c>
      <c r="D12" s="77" t="s">
        <v>333</v>
      </c>
      <c r="E12" s="77" t="s">
        <v>334</v>
      </c>
      <c r="F12" s="77" t="s">
        <v>335</v>
      </c>
      <c r="G12" s="77" t="s">
        <v>28</v>
      </c>
      <c r="H12" s="528"/>
      <c r="I12" s="528"/>
      <c r="J12" s="528"/>
      <c r="K12" s="528"/>
      <c r="L12" s="528"/>
    </row>
    <row r="13" spans="1:12" x14ac:dyDescent="0.2">
      <c r="A13" s="76">
        <v>1</v>
      </c>
      <c r="B13" s="587" t="s">
        <v>349</v>
      </c>
      <c r="C13" s="79">
        <v>13</v>
      </c>
      <c r="D13" s="79">
        <v>7</v>
      </c>
      <c r="E13" s="79"/>
      <c r="F13" s="79">
        <v>13</v>
      </c>
      <c r="G13" s="586" t="s">
        <v>336</v>
      </c>
      <c r="H13" s="528"/>
      <c r="I13" s="528"/>
      <c r="J13" s="528"/>
      <c r="K13" s="528"/>
      <c r="L13" s="528"/>
    </row>
    <row r="14" spans="1:12" x14ac:dyDescent="0.2">
      <c r="A14" s="76">
        <v>2</v>
      </c>
      <c r="B14" s="587" t="s">
        <v>885</v>
      </c>
      <c r="C14" s="79">
        <v>13</v>
      </c>
      <c r="D14" s="79">
        <v>13</v>
      </c>
      <c r="E14" s="79"/>
      <c r="F14" s="79"/>
      <c r="G14" s="586" t="s">
        <v>337</v>
      </c>
      <c r="H14" s="528"/>
      <c r="I14" s="528"/>
      <c r="J14" s="528"/>
      <c r="K14" s="528"/>
      <c r="L14" s="528"/>
    </row>
    <row r="15" spans="1:12" x14ac:dyDescent="0.2">
      <c r="A15" s="76">
        <v>3</v>
      </c>
      <c r="B15" s="587" t="s">
        <v>347</v>
      </c>
      <c r="C15" s="79">
        <v>12</v>
      </c>
      <c r="D15" s="79"/>
      <c r="E15" s="79">
        <v>13</v>
      </c>
      <c r="F15" s="79">
        <v>12</v>
      </c>
      <c r="G15" s="586" t="s">
        <v>338</v>
      </c>
      <c r="H15" s="528"/>
      <c r="I15" s="528"/>
      <c r="J15" s="528"/>
      <c r="K15" s="528"/>
      <c r="L15" s="528"/>
    </row>
    <row r="16" spans="1:12" x14ac:dyDescent="0.2">
      <c r="A16" s="76">
        <v>4</v>
      </c>
      <c r="B16" s="419"/>
      <c r="C16" s="79">
        <v>0</v>
      </c>
      <c r="D16" s="79"/>
      <c r="E16" s="79">
        <v>0</v>
      </c>
      <c r="F16" s="79"/>
      <c r="G16" s="417"/>
      <c r="H16" s="528"/>
      <c r="I16" s="528"/>
      <c r="J16" s="528"/>
      <c r="K16" s="528"/>
      <c r="L16" s="528"/>
    </row>
    <row r="17" spans="1:12" x14ac:dyDescent="0.2">
      <c r="A17" s="80"/>
      <c r="B17" s="81"/>
      <c r="C17" s="82"/>
      <c r="D17" s="82"/>
      <c r="E17" s="82"/>
      <c r="F17" s="83"/>
      <c r="G17" s="84"/>
      <c r="H17" s="528"/>
      <c r="I17" s="528"/>
      <c r="J17" s="528"/>
      <c r="K17" s="528"/>
      <c r="L17" s="528"/>
    </row>
    <row r="18" spans="1:12" x14ac:dyDescent="0.2">
      <c r="A18" s="855" t="s">
        <v>341</v>
      </c>
      <c r="B18" s="856"/>
      <c r="C18" s="77" t="s">
        <v>332</v>
      </c>
      <c r="D18" s="77" t="s">
        <v>333</v>
      </c>
      <c r="E18" s="77" t="s">
        <v>334</v>
      </c>
      <c r="F18" s="77" t="s">
        <v>335</v>
      </c>
      <c r="G18" s="77" t="s">
        <v>28</v>
      </c>
      <c r="H18" s="528"/>
      <c r="I18" s="528"/>
      <c r="J18" s="528"/>
      <c r="K18" s="528"/>
      <c r="L18" s="528"/>
    </row>
    <row r="19" spans="1:12" x14ac:dyDescent="0.2">
      <c r="A19" s="76">
        <v>1</v>
      </c>
      <c r="B19" s="596" t="s">
        <v>886</v>
      </c>
      <c r="C19" s="79">
        <v>13</v>
      </c>
      <c r="D19" s="79">
        <v>8</v>
      </c>
      <c r="E19" s="79"/>
      <c r="F19" s="79">
        <v>13</v>
      </c>
      <c r="G19" s="586" t="s">
        <v>336</v>
      </c>
      <c r="H19" s="528"/>
      <c r="I19" s="528"/>
      <c r="J19" s="528"/>
      <c r="K19" s="528"/>
      <c r="L19" s="528"/>
    </row>
    <row r="20" spans="1:12" x14ac:dyDescent="0.2">
      <c r="A20" s="76">
        <v>2</v>
      </c>
      <c r="B20" s="587" t="s">
        <v>887</v>
      </c>
      <c r="C20" s="79">
        <v>12</v>
      </c>
      <c r="D20" s="79"/>
      <c r="E20" s="79">
        <v>13</v>
      </c>
      <c r="F20" s="79">
        <v>12</v>
      </c>
      <c r="G20" s="586" t="s">
        <v>338</v>
      </c>
      <c r="H20" s="528"/>
      <c r="I20" s="528"/>
      <c r="J20" s="528"/>
      <c r="K20" s="528"/>
      <c r="L20" s="528"/>
    </row>
    <row r="21" spans="1:12" x14ac:dyDescent="0.2">
      <c r="A21" s="76">
        <v>3</v>
      </c>
      <c r="B21" s="587" t="s">
        <v>818</v>
      </c>
      <c r="C21" s="79">
        <v>13</v>
      </c>
      <c r="D21" s="79">
        <v>13</v>
      </c>
      <c r="E21" s="79"/>
      <c r="F21" s="79"/>
      <c r="G21" s="586" t="s">
        <v>337</v>
      </c>
      <c r="H21" s="528"/>
      <c r="I21" s="528"/>
      <c r="J21" s="528"/>
      <c r="K21" s="528"/>
      <c r="L21" s="528"/>
    </row>
    <row r="22" spans="1:12" x14ac:dyDescent="0.2">
      <c r="A22" s="76">
        <v>4</v>
      </c>
      <c r="B22" s="419"/>
      <c r="C22" s="79">
        <v>0</v>
      </c>
      <c r="D22" s="79"/>
      <c r="E22" s="79">
        <v>0</v>
      </c>
      <c r="F22" s="79"/>
      <c r="G22" s="417"/>
      <c r="H22" s="528"/>
      <c r="I22" s="528"/>
      <c r="J22" s="528"/>
      <c r="K22" s="528"/>
      <c r="L22" s="528"/>
    </row>
    <row r="23" spans="1:12" x14ac:dyDescent="0.2">
      <c r="A23" s="363"/>
      <c r="B23" s="363"/>
      <c r="C23" s="363"/>
      <c r="D23" s="363"/>
      <c r="E23" s="363"/>
      <c r="F23" s="363"/>
      <c r="G23" s="363"/>
      <c r="H23" s="363"/>
      <c r="I23" s="363"/>
      <c r="J23" s="363"/>
      <c r="K23" s="363"/>
      <c r="L23" s="363"/>
    </row>
    <row r="24" spans="1:12" x14ac:dyDescent="0.2">
      <c r="A24" s="85" t="s">
        <v>351</v>
      </c>
      <c r="B24" s="175"/>
      <c r="C24" s="175"/>
      <c r="D24" s="175"/>
      <c r="E24" s="175"/>
      <c r="F24" s="175"/>
      <c r="G24" s="175"/>
      <c r="H24" s="175"/>
      <c r="I24" s="175"/>
      <c r="J24" s="175"/>
      <c r="K24" s="175"/>
      <c r="L24" s="175"/>
    </row>
    <row r="25" spans="1:12" x14ac:dyDescent="0.2">
      <c r="A25" s="85"/>
      <c r="B25" s="175"/>
      <c r="C25" s="175"/>
      <c r="D25" s="175"/>
      <c r="E25" s="175"/>
      <c r="F25" s="175"/>
      <c r="G25" s="175"/>
      <c r="H25" s="175"/>
      <c r="I25" s="175"/>
      <c r="J25" s="175"/>
      <c r="K25" s="175"/>
      <c r="L25" s="175"/>
    </row>
    <row r="26" spans="1:12" x14ac:dyDescent="0.2">
      <c r="A26" s="113" t="s">
        <v>402</v>
      </c>
      <c r="B26" s="588" t="s">
        <v>818</v>
      </c>
      <c r="C26" s="97">
        <v>13</v>
      </c>
      <c r="D26" s="209"/>
      <c r="E26" s="209"/>
      <c r="F26" s="209"/>
      <c r="G26" s="209"/>
      <c r="H26" s="209"/>
      <c r="I26" s="209"/>
      <c r="J26" s="175"/>
      <c r="K26" s="175"/>
      <c r="L26" s="175"/>
    </row>
    <row r="27" spans="1:12" x14ac:dyDescent="0.2">
      <c r="A27" s="114"/>
      <c r="B27" s="98"/>
      <c r="C27" s="99" t="s">
        <v>818</v>
      </c>
      <c r="D27" s="381"/>
      <c r="E27" s="209"/>
      <c r="F27" s="97">
        <v>9</v>
      </c>
      <c r="G27" s="209"/>
      <c r="H27" s="209"/>
      <c r="I27" s="209"/>
      <c r="J27" s="175"/>
      <c r="K27" s="175"/>
      <c r="L27" s="175"/>
    </row>
    <row r="28" spans="1:12" x14ac:dyDescent="0.2">
      <c r="A28" s="113"/>
      <c r="B28" s="589" t="s">
        <v>352</v>
      </c>
      <c r="C28" s="100">
        <v>0</v>
      </c>
      <c r="D28" s="209"/>
      <c r="E28" s="101"/>
      <c r="F28" s="209"/>
      <c r="G28" s="209"/>
      <c r="H28" s="209"/>
      <c r="I28" s="209"/>
      <c r="J28" s="175"/>
      <c r="K28" s="175"/>
      <c r="L28" s="175"/>
    </row>
    <row r="29" spans="1:12" x14ac:dyDescent="0.2">
      <c r="A29" s="114"/>
      <c r="B29" s="209"/>
      <c r="C29" s="209"/>
      <c r="D29" s="102"/>
      <c r="E29" s="103"/>
      <c r="F29" s="209" t="s">
        <v>348</v>
      </c>
      <c r="G29" s="209"/>
      <c r="H29" s="209"/>
      <c r="I29" s="97">
        <v>0</v>
      </c>
      <c r="J29" s="175"/>
      <c r="K29" s="175"/>
      <c r="L29" s="175"/>
    </row>
    <row r="30" spans="1:12" x14ac:dyDescent="0.2">
      <c r="A30" s="113" t="s">
        <v>356</v>
      </c>
      <c r="B30" s="595" t="s">
        <v>885</v>
      </c>
      <c r="C30" s="104">
        <v>11</v>
      </c>
      <c r="D30" s="209"/>
      <c r="E30" s="103"/>
      <c r="F30" s="98"/>
      <c r="G30" s="98"/>
      <c r="H30" s="101"/>
      <c r="I30" s="209"/>
      <c r="J30" s="175"/>
      <c r="K30" s="175"/>
      <c r="L30" s="175"/>
    </row>
    <row r="31" spans="1:12" x14ac:dyDescent="0.2">
      <c r="A31" s="114"/>
      <c r="B31" s="98"/>
      <c r="C31" s="105" t="s">
        <v>348</v>
      </c>
      <c r="D31" s="209"/>
      <c r="E31" s="376"/>
      <c r="F31" s="104">
        <v>13</v>
      </c>
      <c r="G31" s="102"/>
      <c r="H31" s="103"/>
      <c r="I31" s="209"/>
      <c r="J31" s="175"/>
      <c r="K31" s="175"/>
      <c r="L31" s="175"/>
    </row>
    <row r="32" spans="1:12" x14ac:dyDescent="0.2">
      <c r="A32" s="113" t="s">
        <v>358</v>
      </c>
      <c r="B32" s="376" t="s">
        <v>348</v>
      </c>
      <c r="C32" s="106">
        <v>13</v>
      </c>
      <c r="D32" s="98"/>
      <c r="E32" s="209"/>
      <c r="F32" s="102"/>
      <c r="G32" s="102"/>
      <c r="H32" s="103"/>
      <c r="I32" s="209"/>
      <c r="J32" s="175"/>
      <c r="K32" s="175"/>
      <c r="L32" s="175"/>
    </row>
    <row r="33" spans="1:12" ht="13.5" thickBot="1" x14ac:dyDescent="0.25">
      <c r="A33" s="114"/>
      <c r="B33" s="209"/>
      <c r="C33" s="209"/>
      <c r="D33" s="209"/>
      <c r="E33" s="209"/>
      <c r="F33" s="102"/>
      <c r="G33" s="102"/>
      <c r="H33" s="103"/>
      <c r="I33" s="209"/>
      <c r="J33" s="600" t="s">
        <v>883</v>
      </c>
      <c r="K33" s="175"/>
      <c r="L33" s="175"/>
    </row>
    <row r="34" spans="1:12" x14ac:dyDescent="0.2">
      <c r="A34" s="113" t="s">
        <v>354</v>
      </c>
      <c r="B34" s="209" t="s">
        <v>886</v>
      </c>
      <c r="C34" s="97">
        <v>4</v>
      </c>
      <c r="D34" s="209"/>
      <c r="E34" s="209"/>
      <c r="F34" s="102"/>
      <c r="G34" s="102"/>
      <c r="H34" s="103"/>
      <c r="I34" s="107"/>
      <c r="J34" s="88" t="s">
        <v>357</v>
      </c>
      <c r="K34" s="89"/>
      <c r="L34" s="175"/>
    </row>
    <row r="35" spans="1:12" x14ac:dyDescent="0.2">
      <c r="A35" s="114"/>
      <c r="B35" s="98"/>
      <c r="C35" s="99" t="s">
        <v>349</v>
      </c>
      <c r="D35" s="381"/>
      <c r="E35" s="209"/>
      <c r="F35" s="104">
        <v>7</v>
      </c>
      <c r="G35" s="102"/>
      <c r="H35" s="103"/>
      <c r="I35" s="209"/>
      <c r="J35" s="175"/>
      <c r="K35" s="175"/>
      <c r="L35" s="175"/>
    </row>
    <row r="36" spans="1:12" ht="13.5" thickBot="1" x14ac:dyDescent="0.25">
      <c r="A36" s="113" t="s">
        <v>355</v>
      </c>
      <c r="B36" s="381" t="s">
        <v>349</v>
      </c>
      <c r="C36" s="100">
        <v>13</v>
      </c>
      <c r="D36" s="209"/>
      <c r="E36" s="101"/>
      <c r="F36" s="102"/>
      <c r="G36" s="102"/>
      <c r="H36" s="103"/>
      <c r="I36" s="209"/>
      <c r="J36" s="599" t="s">
        <v>348</v>
      </c>
      <c r="K36" s="210"/>
      <c r="L36" s="175"/>
    </row>
    <row r="37" spans="1:12" x14ac:dyDescent="0.2">
      <c r="A37" s="114"/>
      <c r="B37" s="209"/>
      <c r="C37" s="209"/>
      <c r="D37" s="102"/>
      <c r="E37" s="103"/>
      <c r="F37" s="381" t="s">
        <v>883</v>
      </c>
      <c r="G37" s="381"/>
      <c r="H37" s="376"/>
      <c r="I37" s="97">
        <v>13</v>
      </c>
      <c r="J37" s="88" t="s">
        <v>359</v>
      </c>
      <c r="K37" s="175"/>
      <c r="L37" s="175"/>
    </row>
    <row r="38" spans="1:12" x14ac:dyDescent="0.2">
      <c r="A38" s="113" t="s">
        <v>360</v>
      </c>
      <c r="B38" s="209" t="s">
        <v>883</v>
      </c>
      <c r="C38" s="104">
        <v>13</v>
      </c>
      <c r="D38" s="209"/>
      <c r="E38" s="103"/>
      <c r="F38" s="209"/>
      <c r="G38" s="209"/>
      <c r="H38" s="209"/>
      <c r="I38" s="209"/>
      <c r="J38" s="175"/>
      <c r="K38" s="175"/>
      <c r="L38" s="175"/>
    </row>
    <row r="39" spans="1:12" x14ac:dyDescent="0.2">
      <c r="A39" s="114"/>
      <c r="B39" s="98"/>
      <c r="C39" s="105" t="s">
        <v>883</v>
      </c>
      <c r="D39" s="209"/>
      <c r="E39" s="376"/>
      <c r="F39" s="97">
        <v>13</v>
      </c>
      <c r="G39" s="209"/>
      <c r="H39" s="209"/>
      <c r="I39" s="209"/>
      <c r="J39" s="175"/>
      <c r="K39" s="175"/>
      <c r="L39" s="175"/>
    </row>
    <row r="40" spans="1:12" x14ac:dyDescent="0.2">
      <c r="A40" s="113"/>
      <c r="B40" s="595" t="s">
        <v>352</v>
      </c>
      <c r="C40" s="106">
        <v>0</v>
      </c>
      <c r="D40" s="98"/>
      <c r="E40" s="209"/>
      <c r="F40" s="209"/>
      <c r="G40" s="209"/>
      <c r="H40" s="209"/>
      <c r="I40" s="209"/>
      <c r="J40" s="175"/>
      <c r="K40" s="175"/>
      <c r="L40" s="175"/>
    </row>
    <row r="41" spans="1:12" x14ac:dyDescent="0.2">
      <c r="A41" s="175"/>
      <c r="B41" s="209"/>
      <c r="C41" s="209"/>
      <c r="D41" s="209"/>
      <c r="E41" s="209"/>
      <c r="F41" s="209" t="s">
        <v>818</v>
      </c>
      <c r="G41" s="209"/>
      <c r="H41" s="209"/>
      <c r="I41" s="104">
        <v>10</v>
      </c>
      <c r="J41" s="87"/>
      <c r="K41" s="87"/>
      <c r="L41" s="175"/>
    </row>
    <row r="42" spans="1:12" ht="13.5" thickBot="1" x14ac:dyDescent="0.25">
      <c r="A42" s="175"/>
      <c r="B42" s="209"/>
      <c r="C42" s="209"/>
      <c r="D42" s="209"/>
      <c r="E42" s="209"/>
      <c r="F42" s="98"/>
      <c r="G42" s="98"/>
      <c r="H42" s="101"/>
      <c r="I42" s="108"/>
      <c r="J42" s="599" t="s">
        <v>349</v>
      </c>
      <c r="K42" s="210"/>
      <c r="L42" s="175"/>
    </row>
    <row r="43" spans="1:12" x14ac:dyDescent="0.2">
      <c r="A43" s="175"/>
      <c r="B43" s="209"/>
      <c r="C43" s="209"/>
      <c r="D43" s="209"/>
      <c r="E43" s="209"/>
      <c r="F43" s="381" t="s">
        <v>349</v>
      </c>
      <c r="G43" s="381"/>
      <c r="H43" s="376"/>
      <c r="I43" s="97">
        <v>13</v>
      </c>
      <c r="J43" s="90" t="s">
        <v>361</v>
      </c>
      <c r="K43" s="87"/>
      <c r="L43" s="175"/>
    </row>
    <row r="44" spans="1:12" x14ac:dyDescent="0.2">
      <c r="A44" s="175"/>
      <c r="B44" s="209"/>
      <c r="C44" s="209"/>
      <c r="D44" s="209"/>
      <c r="E44" s="209"/>
      <c r="F44" s="209"/>
      <c r="G44" s="209"/>
      <c r="H44" s="209"/>
      <c r="I44" s="209"/>
      <c r="J44" s="87"/>
      <c r="K44" s="87"/>
      <c r="L44" s="175"/>
    </row>
    <row r="45" spans="1:12" ht="13.5" thickBot="1" x14ac:dyDescent="0.25">
      <c r="A45" s="175"/>
      <c r="B45" s="209"/>
      <c r="C45" s="209"/>
      <c r="D45" s="209"/>
      <c r="E45" s="209"/>
      <c r="F45" s="209"/>
      <c r="G45" s="102"/>
      <c r="H45" s="102"/>
      <c r="I45" s="209"/>
      <c r="J45" s="108" t="s">
        <v>818</v>
      </c>
      <c r="K45" s="210"/>
      <c r="L45" s="175"/>
    </row>
    <row r="46" spans="1:12" x14ac:dyDescent="0.2">
      <c r="A46" s="175"/>
      <c r="B46" s="209"/>
      <c r="C46" s="588" t="s">
        <v>352</v>
      </c>
      <c r="D46" s="209"/>
      <c r="E46" s="209"/>
      <c r="F46" s="97">
        <v>0</v>
      </c>
      <c r="G46" s="209"/>
      <c r="H46" s="209"/>
      <c r="I46" s="209"/>
      <c r="J46" s="88" t="s">
        <v>362</v>
      </c>
      <c r="K46" s="89"/>
      <c r="L46" s="175"/>
    </row>
    <row r="47" spans="1:12" x14ac:dyDescent="0.2">
      <c r="A47" s="175"/>
      <c r="B47" s="209"/>
      <c r="C47" s="98"/>
      <c r="D47" s="98"/>
      <c r="E47" s="101"/>
      <c r="F47" s="99" t="s">
        <v>885</v>
      </c>
      <c r="G47" s="381"/>
      <c r="H47" s="381"/>
      <c r="I47" s="97">
        <v>11</v>
      </c>
      <c r="J47" s="175"/>
      <c r="K47" s="175"/>
      <c r="L47" s="175"/>
    </row>
    <row r="48" spans="1:12" x14ac:dyDescent="0.2">
      <c r="A48" s="175"/>
      <c r="B48" s="209"/>
      <c r="C48" s="381" t="s">
        <v>885</v>
      </c>
      <c r="D48" s="381"/>
      <c r="E48" s="376"/>
      <c r="F48" s="100">
        <v>13</v>
      </c>
      <c r="G48" s="209"/>
      <c r="H48" s="103"/>
      <c r="I48" s="209"/>
      <c r="J48" s="175"/>
      <c r="K48" s="175"/>
      <c r="L48" s="175"/>
    </row>
    <row r="49" spans="1:12" ht="13.5" thickBot="1" x14ac:dyDescent="0.25">
      <c r="A49" s="175"/>
      <c r="B49" s="209"/>
      <c r="C49" s="209"/>
      <c r="D49" s="209"/>
      <c r="E49" s="209"/>
      <c r="F49" s="102"/>
      <c r="G49" s="209"/>
      <c r="H49" s="103"/>
      <c r="I49" s="209"/>
      <c r="J49" s="175" t="s">
        <v>886</v>
      </c>
      <c r="K49" s="175"/>
      <c r="L49" s="175"/>
    </row>
    <row r="50" spans="1:12" x14ac:dyDescent="0.2">
      <c r="A50" s="175"/>
      <c r="B50" s="209"/>
      <c r="C50" s="209" t="s">
        <v>886</v>
      </c>
      <c r="D50" s="209"/>
      <c r="E50" s="209"/>
      <c r="F50" s="104">
        <v>13</v>
      </c>
      <c r="G50" s="209"/>
      <c r="H50" s="103"/>
      <c r="I50" s="107"/>
      <c r="J50" s="88" t="s">
        <v>363</v>
      </c>
      <c r="K50" s="89"/>
      <c r="L50" s="175"/>
    </row>
    <row r="51" spans="1:12" x14ac:dyDescent="0.2">
      <c r="A51" s="175"/>
      <c r="B51" s="209"/>
      <c r="C51" s="98"/>
      <c r="D51" s="98"/>
      <c r="E51" s="101"/>
      <c r="F51" s="105" t="s">
        <v>886</v>
      </c>
      <c r="G51" s="209"/>
      <c r="H51" s="376"/>
      <c r="I51" s="104">
        <v>13</v>
      </c>
      <c r="J51" s="175"/>
      <c r="K51" s="175"/>
      <c r="L51" s="175"/>
    </row>
    <row r="52" spans="1:12" ht="13.5" thickBot="1" x14ac:dyDescent="0.25">
      <c r="A52" s="175"/>
      <c r="B52" s="209"/>
      <c r="C52" s="595" t="s">
        <v>352</v>
      </c>
      <c r="D52" s="381"/>
      <c r="E52" s="376"/>
      <c r="F52" s="106">
        <v>0</v>
      </c>
      <c r="G52" s="98"/>
      <c r="H52" s="209"/>
      <c r="I52" s="102"/>
      <c r="J52" s="87" t="s">
        <v>885</v>
      </c>
      <c r="K52" s="210"/>
      <c r="L52" s="175"/>
    </row>
    <row r="53" spans="1:12" x14ac:dyDescent="0.2">
      <c r="A53" s="175"/>
      <c r="B53" s="209"/>
      <c r="C53" s="209"/>
      <c r="D53" s="209"/>
      <c r="E53" s="209"/>
      <c r="F53" s="209"/>
      <c r="G53" s="209"/>
      <c r="H53" s="209"/>
      <c r="I53" s="102"/>
      <c r="J53" s="88" t="s">
        <v>364</v>
      </c>
      <c r="K53" s="87"/>
      <c r="L53" s="175"/>
    </row>
    <row r="54" spans="1:12" x14ac:dyDescent="0.2">
      <c r="A54" s="175"/>
      <c r="B54" s="209"/>
      <c r="C54" s="209"/>
      <c r="D54" s="209"/>
      <c r="E54" s="209"/>
      <c r="F54" s="209"/>
      <c r="G54" s="209"/>
      <c r="H54" s="209"/>
      <c r="I54" s="102"/>
      <c r="J54" s="90"/>
      <c r="K54" s="87"/>
      <c r="L54" s="175"/>
    </row>
    <row r="55" spans="1:12" x14ac:dyDescent="0.2">
      <c r="A55" s="85" t="s">
        <v>882</v>
      </c>
      <c r="B55" s="209"/>
      <c r="C55" s="209"/>
      <c r="D55" s="209"/>
      <c r="E55" s="209"/>
      <c r="F55" s="209"/>
      <c r="G55" s="209"/>
      <c r="H55" s="209"/>
      <c r="I55" s="102"/>
      <c r="J55" s="90"/>
      <c r="K55" s="87"/>
      <c r="L55" s="175"/>
    </row>
    <row r="56" spans="1:12" x14ac:dyDescent="0.2">
      <c r="A56" s="175"/>
      <c r="B56" s="113" t="s">
        <v>407</v>
      </c>
      <c r="C56" s="175" t="s">
        <v>884</v>
      </c>
      <c r="D56" s="175"/>
      <c r="E56" s="175"/>
      <c r="F56" s="260">
        <v>13</v>
      </c>
      <c r="G56" s="175"/>
      <c r="H56" s="175"/>
      <c r="I56" s="175"/>
      <c r="J56" s="175"/>
      <c r="K56" s="175"/>
      <c r="L56" s="175"/>
    </row>
    <row r="57" spans="1:12" x14ac:dyDescent="0.2">
      <c r="A57" s="175"/>
      <c r="B57" s="175"/>
      <c r="C57" s="261"/>
      <c r="D57" s="261"/>
      <c r="E57" s="262"/>
      <c r="F57" s="263" t="s">
        <v>884</v>
      </c>
      <c r="G57" s="264"/>
      <c r="H57" s="264"/>
      <c r="I57" s="260">
        <v>13</v>
      </c>
      <c r="J57" s="175"/>
      <c r="K57" s="175"/>
      <c r="L57" s="175"/>
    </row>
    <row r="58" spans="1:12" x14ac:dyDescent="0.2">
      <c r="A58" s="175"/>
      <c r="B58" s="113" t="s">
        <v>406</v>
      </c>
      <c r="C58" s="264" t="s">
        <v>347</v>
      </c>
      <c r="D58" s="264"/>
      <c r="E58" s="265"/>
      <c r="F58" s="266">
        <v>10</v>
      </c>
      <c r="G58" s="175"/>
      <c r="H58" s="267"/>
      <c r="I58" s="175"/>
      <c r="J58" s="175"/>
      <c r="K58" s="175"/>
      <c r="L58" s="175"/>
    </row>
    <row r="59" spans="1:12" ht="13.5" thickBot="1" x14ac:dyDescent="0.25">
      <c r="A59" s="175"/>
      <c r="B59" s="175"/>
      <c r="C59" s="175"/>
      <c r="D59" s="175"/>
      <c r="E59" s="175"/>
      <c r="F59" s="87"/>
      <c r="G59" s="175"/>
      <c r="H59" s="267"/>
      <c r="I59" s="175"/>
      <c r="J59" s="598" t="s">
        <v>884</v>
      </c>
      <c r="K59" s="175"/>
      <c r="L59" s="175"/>
    </row>
    <row r="60" spans="1:12" x14ac:dyDescent="0.2">
      <c r="A60" s="175"/>
      <c r="B60" s="113" t="s">
        <v>402</v>
      </c>
      <c r="C60" s="175" t="s">
        <v>887</v>
      </c>
      <c r="D60" s="175"/>
      <c r="E60" s="175"/>
      <c r="F60" s="268">
        <v>13</v>
      </c>
      <c r="G60" s="175"/>
      <c r="H60" s="267"/>
      <c r="I60" s="269"/>
      <c r="J60" s="88" t="s">
        <v>369</v>
      </c>
      <c r="K60" s="89"/>
      <c r="L60" s="175"/>
    </row>
    <row r="61" spans="1:12" x14ac:dyDescent="0.2">
      <c r="A61" s="175"/>
      <c r="B61" s="175"/>
      <c r="C61" s="261"/>
      <c r="D61" s="261"/>
      <c r="E61" s="262"/>
      <c r="F61" s="270" t="s">
        <v>887</v>
      </c>
      <c r="G61" s="175"/>
      <c r="H61" s="265"/>
      <c r="I61" s="268">
        <v>12</v>
      </c>
      <c r="J61" s="175"/>
      <c r="K61" s="175"/>
      <c r="L61" s="175"/>
    </row>
    <row r="62" spans="1:12" ht="13.5" thickBot="1" x14ac:dyDescent="0.25">
      <c r="A62" s="175"/>
      <c r="B62" s="113" t="s">
        <v>405</v>
      </c>
      <c r="C62" s="264" t="s">
        <v>719</v>
      </c>
      <c r="D62" s="264"/>
      <c r="E62" s="265"/>
      <c r="F62" s="271">
        <v>1</v>
      </c>
      <c r="G62" s="261"/>
      <c r="H62" s="175"/>
      <c r="I62" s="87"/>
      <c r="J62" s="87" t="s">
        <v>887</v>
      </c>
      <c r="K62" s="210"/>
      <c r="L62" s="175"/>
    </row>
    <row r="63" spans="1:12" x14ac:dyDescent="0.2">
      <c r="A63" s="175"/>
      <c r="B63" s="175"/>
      <c r="C63" s="175"/>
      <c r="D63" s="175"/>
      <c r="E63" s="175"/>
      <c r="F63" s="175"/>
      <c r="G63" s="175"/>
      <c r="H63" s="175"/>
      <c r="I63" s="87"/>
      <c r="J63" s="88" t="s">
        <v>370</v>
      </c>
      <c r="K63" s="87"/>
      <c r="L63" s="175"/>
    </row>
    <row r="64" spans="1:12" x14ac:dyDescent="0.2">
      <c r="A64" s="175"/>
      <c r="B64" s="175"/>
      <c r="C64" s="175"/>
      <c r="D64" s="175"/>
      <c r="E64" s="175"/>
      <c r="F64" s="175"/>
      <c r="G64" s="175"/>
      <c r="H64" s="175"/>
      <c r="I64" s="87"/>
      <c r="J64" s="90"/>
      <c r="K64" s="87"/>
      <c r="L64" s="175"/>
    </row>
    <row r="65" spans="1:12" x14ac:dyDescent="0.2">
      <c r="A65" s="175"/>
      <c r="B65" s="175"/>
      <c r="C65" s="175"/>
      <c r="D65" s="175"/>
      <c r="E65" s="175"/>
      <c r="F65" s="175" t="s">
        <v>347</v>
      </c>
      <c r="G65" s="175"/>
      <c r="H65" s="175"/>
      <c r="I65" s="268">
        <v>13</v>
      </c>
      <c r="J65" s="87"/>
      <c r="K65" s="87"/>
      <c r="L65" s="175"/>
    </row>
    <row r="66" spans="1:12" ht="13.5" thickBot="1" x14ac:dyDescent="0.25">
      <c r="A66" s="175"/>
      <c r="B66" s="175"/>
      <c r="C66" s="175"/>
      <c r="D66" s="175"/>
      <c r="E66" s="175"/>
      <c r="F66" s="261"/>
      <c r="G66" s="261"/>
      <c r="H66" s="262"/>
      <c r="I66" s="210"/>
      <c r="J66" s="210" t="s">
        <v>347</v>
      </c>
      <c r="K66" s="210"/>
      <c r="L66" s="175"/>
    </row>
    <row r="67" spans="1:12" x14ac:dyDescent="0.2">
      <c r="A67" s="175"/>
      <c r="B67" s="175"/>
      <c r="C67" s="175"/>
      <c r="D67" s="175"/>
      <c r="E67" s="175"/>
      <c r="F67" s="264" t="s">
        <v>719</v>
      </c>
      <c r="G67" s="264"/>
      <c r="H67" s="265"/>
      <c r="I67" s="260">
        <v>12</v>
      </c>
      <c r="J67" s="90" t="s">
        <v>374</v>
      </c>
      <c r="K67" s="87"/>
      <c r="L67" s="175"/>
    </row>
    <row r="68" spans="1:12" x14ac:dyDescent="0.2">
      <c r="A68" s="175"/>
      <c r="B68" s="175"/>
      <c r="C68" s="175"/>
      <c r="D68" s="175"/>
      <c r="E68" s="175"/>
      <c r="F68" s="175"/>
      <c r="G68" s="175"/>
      <c r="H68" s="175"/>
      <c r="I68" s="175"/>
      <c r="J68" s="87"/>
      <c r="K68" s="87"/>
      <c r="L68" s="175"/>
    </row>
    <row r="69" spans="1:12" ht="13.5" thickBot="1" x14ac:dyDescent="0.25">
      <c r="A69" s="175"/>
      <c r="B69" s="175"/>
      <c r="C69" s="175"/>
      <c r="D69" s="175"/>
      <c r="E69" s="175"/>
      <c r="F69" s="175"/>
      <c r="G69" s="87"/>
      <c r="H69" s="87"/>
      <c r="I69" s="175"/>
      <c r="J69" s="210" t="s">
        <v>719</v>
      </c>
      <c r="K69" s="210"/>
      <c r="L69" s="175"/>
    </row>
    <row r="70" spans="1:12" x14ac:dyDescent="0.2">
      <c r="A70" s="175"/>
      <c r="B70" s="175"/>
      <c r="C70" s="175"/>
      <c r="D70" s="175"/>
      <c r="E70" s="175"/>
      <c r="F70" s="175"/>
      <c r="G70" s="87"/>
      <c r="H70" s="87"/>
      <c r="I70" s="175"/>
      <c r="J70" s="90" t="s">
        <v>390</v>
      </c>
      <c r="K70" s="175"/>
      <c r="L70" s="175"/>
    </row>
    <row r="71" spans="1:12" x14ac:dyDescent="0.2">
      <c r="A71" s="421"/>
      <c r="B71" s="421"/>
      <c r="C71" s="421"/>
      <c r="D71" s="421"/>
      <c r="E71" s="421"/>
      <c r="F71" s="421"/>
      <c r="G71" s="421"/>
      <c r="H71" s="421"/>
      <c r="I71" s="421"/>
      <c r="J71" s="421"/>
      <c r="K71" s="421"/>
      <c r="L71" s="421"/>
    </row>
    <row r="72" spans="1:12" x14ac:dyDescent="0.2">
      <c r="A72" s="94">
        <v>1</v>
      </c>
      <c r="B72" s="203" t="s">
        <v>883</v>
      </c>
      <c r="C72" s="363"/>
      <c r="D72" s="363"/>
      <c r="E72" s="363"/>
      <c r="F72" s="363"/>
      <c r="G72" s="363"/>
      <c r="H72" s="363"/>
      <c r="I72" s="363"/>
      <c r="J72" s="363"/>
      <c r="K72" s="363"/>
      <c r="L72" s="363"/>
    </row>
    <row r="73" spans="1:12" x14ac:dyDescent="0.2">
      <c r="A73" s="94">
        <v>2</v>
      </c>
      <c r="B73" s="308" t="s">
        <v>348</v>
      </c>
      <c r="C73" s="363"/>
      <c r="D73" s="363"/>
      <c r="E73" s="363"/>
      <c r="F73" s="363"/>
      <c r="G73" s="363"/>
      <c r="H73" s="363"/>
      <c r="I73" s="363"/>
      <c r="J73" s="363"/>
      <c r="K73" s="363"/>
      <c r="L73" s="363"/>
    </row>
    <row r="74" spans="1:12" x14ac:dyDescent="0.2">
      <c r="A74" s="94">
        <v>3</v>
      </c>
      <c r="B74" s="233" t="s">
        <v>349</v>
      </c>
      <c r="C74" s="363"/>
      <c r="D74" s="363"/>
      <c r="E74" s="363"/>
      <c r="F74" s="363"/>
      <c r="G74" s="363"/>
      <c r="H74" s="363"/>
      <c r="I74" s="363"/>
      <c r="J74" s="363"/>
      <c r="K74" s="363"/>
      <c r="L74" s="363"/>
    </row>
    <row r="75" spans="1:12" x14ac:dyDescent="0.2">
      <c r="A75" s="94">
        <v>4</v>
      </c>
      <c r="B75" s="96" t="s">
        <v>818</v>
      </c>
      <c r="C75" s="363"/>
      <c r="D75" s="363"/>
      <c r="E75" s="363"/>
      <c r="F75" s="363"/>
      <c r="G75" s="363"/>
      <c r="H75" s="363"/>
      <c r="I75" s="363"/>
      <c r="J75" s="363"/>
      <c r="K75" s="363"/>
      <c r="L75" s="363"/>
    </row>
    <row r="76" spans="1:12" x14ac:dyDescent="0.2">
      <c r="A76" s="94">
        <v>5</v>
      </c>
      <c r="B76" s="96" t="s">
        <v>886</v>
      </c>
      <c r="C76" s="363"/>
      <c r="D76" s="363"/>
      <c r="E76" s="363"/>
      <c r="F76" s="363"/>
      <c r="G76" s="363"/>
      <c r="H76" s="363"/>
      <c r="I76" s="363"/>
      <c r="J76" s="363"/>
      <c r="K76" s="363"/>
      <c r="L76" s="363"/>
    </row>
    <row r="77" spans="1:12" x14ac:dyDescent="0.2">
      <c r="A77" s="94">
        <v>6</v>
      </c>
      <c r="B77" s="96" t="s">
        <v>885</v>
      </c>
      <c r="C77" s="363"/>
      <c r="D77" s="363"/>
      <c r="E77" s="363"/>
      <c r="F77" s="363"/>
      <c r="G77" s="363"/>
      <c r="H77" s="363"/>
      <c r="I77" s="363"/>
      <c r="J77" s="363"/>
      <c r="K77" s="363"/>
      <c r="L77" s="363"/>
    </row>
    <row r="78" spans="1:12" x14ac:dyDescent="0.2">
      <c r="A78" s="94">
        <v>7</v>
      </c>
      <c r="B78" s="416" t="s">
        <v>884</v>
      </c>
      <c r="C78" s="363"/>
      <c r="D78" s="363"/>
      <c r="E78" s="363"/>
      <c r="F78" s="363"/>
      <c r="G78" s="363"/>
      <c r="H78" s="363"/>
      <c r="I78" s="363"/>
      <c r="J78" s="363"/>
      <c r="K78" s="363"/>
      <c r="L78" s="363"/>
    </row>
    <row r="79" spans="1:12" x14ac:dyDescent="0.2">
      <c r="A79" s="94">
        <v>8</v>
      </c>
      <c r="B79" s="530" t="s">
        <v>887</v>
      </c>
      <c r="C79" s="363"/>
      <c r="D79" s="363"/>
      <c r="E79" s="363"/>
      <c r="F79" s="363"/>
      <c r="G79" s="363"/>
      <c r="H79" s="363"/>
      <c r="I79" s="363"/>
      <c r="J79" s="363"/>
      <c r="K79" s="363"/>
      <c r="L79" s="363"/>
    </row>
    <row r="80" spans="1:12" x14ac:dyDescent="0.2">
      <c r="A80" s="94">
        <v>9</v>
      </c>
      <c r="B80" s="516" t="s">
        <v>347</v>
      </c>
      <c r="C80" s="363"/>
      <c r="D80" s="363"/>
      <c r="E80" s="363"/>
      <c r="F80" s="363"/>
      <c r="G80" s="363"/>
      <c r="H80" s="363"/>
      <c r="I80" s="363"/>
      <c r="J80" s="363"/>
      <c r="K80" s="363"/>
      <c r="L80" s="363"/>
    </row>
    <row r="81" spans="1:12" x14ac:dyDescent="0.2">
      <c r="A81" s="94">
        <v>10</v>
      </c>
      <c r="B81" s="530" t="s">
        <v>719</v>
      </c>
      <c r="C81" s="528"/>
      <c r="D81" s="528"/>
      <c r="E81" s="528"/>
      <c r="F81" s="528"/>
      <c r="G81" s="528"/>
      <c r="H81" s="528"/>
      <c r="I81" s="528"/>
      <c r="J81" s="528"/>
      <c r="K81" s="528"/>
      <c r="L81" s="528"/>
    </row>
    <row r="82" spans="1:12" x14ac:dyDescent="0.2">
      <c r="A82" s="528"/>
      <c r="B82" s="528"/>
      <c r="C82" s="528"/>
      <c r="D82" s="528"/>
      <c r="E82" s="528"/>
      <c r="F82" s="528"/>
      <c r="G82" s="528"/>
      <c r="H82" s="528"/>
      <c r="I82" s="528"/>
      <c r="J82" s="528"/>
      <c r="K82" s="528"/>
      <c r="L82" s="528"/>
    </row>
    <row r="83" spans="1:12" x14ac:dyDescent="0.2">
      <c r="A83" s="528"/>
      <c r="B83" s="528"/>
      <c r="C83" s="528"/>
      <c r="D83" s="528"/>
      <c r="E83" s="528"/>
      <c r="F83" s="528"/>
      <c r="G83" s="528"/>
      <c r="H83" s="528"/>
      <c r="I83" s="528"/>
      <c r="J83" s="528"/>
      <c r="K83" s="528"/>
      <c r="L83" s="528"/>
    </row>
  </sheetData>
  <conditionalFormatting sqref="C7:F10 C13:F16 C19:F22">
    <cfRule type="cellIs" dxfId="191" priority="2" stopIfTrue="1" operator="equal">
      <formula>13</formula>
    </cfRule>
  </conditionalFormatting>
  <conditionalFormatting sqref="C26:I67">
    <cfRule type="cellIs" dxfId="190" priority="1" stopIfTrue="1"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2" manualBreakCount="2">
    <brk id="22" max="16383" man="1"/>
    <brk id="5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0"/>
  <sheetViews>
    <sheetView showGridLines="0" showRowColHeaders="0" zoomScaleNormal="100" workbookViewId="0">
      <pane ySplit="2" topLeftCell="A3" activePane="bottomLeft" state="frozen"/>
      <selection pane="bottomLeft" activeCell="I1" sqref="I1"/>
    </sheetView>
  </sheetViews>
  <sheetFormatPr defaultRowHeight="12.75" x14ac:dyDescent="0.2"/>
  <cols>
    <col min="1" max="1" width="3.28515625" style="244" customWidth="1"/>
    <col min="2" max="2" width="30.28515625" style="244" bestFit="1" customWidth="1"/>
    <col min="3" max="3" width="7.28515625" style="244" bestFit="1" customWidth="1"/>
    <col min="4" max="4" width="7.42578125" style="244" bestFit="1" customWidth="1"/>
    <col min="5" max="5" width="9.140625" style="244"/>
    <col min="6" max="6" width="6.7109375" style="244" bestFit="1" customWidth="1"/>
    <col min="7" max="7" width="5.140625" style="244" bestFit="1" customWidth="1"/>
    <col min="8" max="16384" width="9.140625" style="244"/>
  </cols>
  <sheetData>
    <row r="1" spans="1:11" x14ac:dyDescent="0.2">
      <c r="A1" s="314" t="str">
        <f>UPPER((Kalend!E32)&amp;" - "&amp;(Kalend!C32)&amp;" - "&amp;(Kalend!D32))</f>
        <v>16 - EESTI REITINGUVÕISTLUS, 3. VIRU KARIKAS - DUO</v>
      </c>
      <c r="G1" s="204" t="str">
        <f>HYPERLINK("#Üldreiting!I1","Reiting")</f>
        <v>Reiting</v>
      </c>
      <c r="H1" s="528"/>
      <c r="I1" s="528"/>
    </row>
    <row r="2" spans="1:11" x14ac:dyDescent="0.2">
      <c r="A2" s="309" t="str">
        <f>"Toimumisaeg: "&amp;(Kalend!A32)&amp;" kell "&amp;(Kalend!B32)</f>
        <v>Toimumisaeg: P, 14.08.2016 kell 10:00</v>
      </c>
    </row>
    <row r="3" spans="1:11" x14ac:dyDescent="0.2">
      <c r="A3" s="309" t="str">
        <f>"Toimumiskoht: "&amp;(Kalend!H32)</f>
        <v>Toimumiskoht: Kohtla-Järve, Järveküla tee 44</v>
      </c>
    </row>
    <row r="4" spans="1:11" x14ac:dyDescent="0.2">
      <c r="A4" s="309" t="str">
        <f>"Korraldaja: "&amp;(Kalend!I32)</f>
        <v>Korraldaja: K-Järve SHK</v>
      </c>
    </row>
    <row r="6" spans="1:11" x14ac:dyDescent="0.2">
      <c r="A6" s="855" t="s">
        <v>331</v>
      </c>
      <c r="B6" s="856"/>
      <c r="C6" s="77" t="s">
        <v>332</v>
      </c>
      <c r="D6" s="77" t="s">
        <v>333</v>
      </c>
      <c r="E6" s="77" t="s">
        <v>334</v>
      </c>
      <c r="F6" s="77" t="s">
        <v>335</v>
      </c>
      <c r="G6" s="77" t="s">
        <v>28</v>
      </c>
      <c r="H6"/>
      <c r="I6"/>
      <c r="J6"/>
      <c r="K6"/>
    </row>
    <row r="7" spans="1:11" x14ac:dyDescent="0.2">
      <c r="A7" s="76">
        <v>1</v>
      </c>
      <c r="B7" s="605" t="s">
        <v>497</v>
      </c>
      <c r="C7" s="79">
        <v>13</v>
      </c>
      <c r="D7" s="79">
        <v>4</v>
      </c>
      <c r="E7" s="79"/>
      <c r="F7" s="79">
        <v>4</v>
      </c>
      <c r="G7" s="603" t="s">
        <v>338</v>
      </c>
      <c r="H7"/>
      <c r="I7"/>
      <c r="J7"/>
      <c r="K7"/>
    </row>
    <row r="8" spans="1:11" x14ac:dyDescent="0.2">
      <c r="A8" s="76">
        <v>2</v>
      </c>
      <c r="B8" s="605" t="s">
        <v>888</v>
      </c>
      <c r="C8" s="79">
        <v>13</v>
      </c>
      <c r="D8" s="79">
        <v>13</v>
      </c>
      <c r="E8" s="79"/>
      <c r="F8" s="79"/>
      <c r="G8" s="603" t="s">
        <v>337</v>
      </c>
      <c r="H8"/>
      <c r="I8"/>
      <c r="J8"/>
      <c r="K8" s="44"/>
    </row>
    <row r="9" spans="1:11" x14ac:dyDescent="0.2">
      <c r="A9" s="76">
        <v>3</v>
      </c>
      <c r="B9" s="605" t="s">
        <v>889</v>
      </c>
      <c r="C9" s="79">
        <v>7</v>
      </c>
      <c r="D9" s="79"/>
      <c r="E9" s="79">
        <v>4</v>
      </c>
      <c r="F9" s="79"/>
      <c r="G9" s="603" t="s">
        <v>398</v>
      </c>
      <c r="H9"/>
      <c r="I9"/>
      <c r="J9"/>
      <c r="K9"/>
    </row>
    <row r="10" spans="1:11" x14ac:dyDescent="0.2">
      <c r="A10" s="76">
        <v>4</v>
      </c>
      <c r="B10" s="606" t="s">
        <v>890</v>
      </c>
      <c r="C10" s="79">
        <v>2</v>
      </c>
      <c r="D10" s="79"/>
      <c r="E10" s="79">
        <v>13</v>
      </c>
      <c r="F10" s="79">
        <v>13</v>
      </c>
      <c r="G10" s="603" t="s">
        <v>336</v>
      </c>
      <c r="H10"/>
      <c r="I10"/>
      <c r="J10"/>
      <c r="K10"/>
    </row>
    <row r="11" spans="1:11" x14ac:dyDescent="0.2">
      <c r="A11" s="80"/>
      <c r="B11" s="81"/>
      <c r="C11" s="82"/>
      <c r="D11" s="82"/>
      <c r="E11" s="82"/>
      <c r="F11" s="83"/>
      <c r="G11" s="84"/>
      <c r="H11"/>
      <c r="I11"/>
      <c r="J11"/>
      <c r="K11"/>
    </row>
    <row r="12" spans="1:11" x14ac:dyDescent="0.2">
      <c r="A12" s="855" t="s">
        <v>339</v>
      </c>
      <c r="B12" s="856"/>
      <c r="C12" s="77" t="s">
        <v>332</v>
      </c>
      <c r="D12" s="77" t="s">
        <v>333</v>
      </c>
      <c r="E12" s="77" t="s">
        <v>334</v>
      </c>
      <c r="F12" s="77" t="s">
        <v>335</v>
      </c>
      <c r="G12" s="77" t="s">
        <v>28</v>
      </c>
      <c r="H12"/>
      <c r="I12"/>
      <c r="J12"/>
      <c r="K12"/>
    </row>
    <row r="13" spans="1:11" x14ac:dyDescent="0.2">
      <c r="A13" s="76">
        <v>1</v>
      </c>
      <c r="B13" s="605" t="s">
        <v>891</v>
      </c>
      <c r="C13" s="79">
        <v>11</v>
      </c>
      <c r="D13" s="79"/>
      <c r="E13" s="79">
        <v>5</v>
      </c>
      <c r="F13" s="79"/>
      <c r="G13" s="603" t="s">
        <v>398</v>
      </c>
      <c r="H13"/>
      <c r="I13"/>
      <c r="J13"/>
      <c r="K13"/>
    </row>
    <row r="14" spans="1:11" x14ac:dyDescent="0.2">
      <c r="A14" s="76">
        <v>2</v>
      </c>
      <c r="B14" s="605" t="s">
        <v>568</v>
      </c>
      <c r="C14" s="79">
        <v>7</v>
      </c>
      <c r="D14" s="79"/>
      <c r="E14" s="79">
        <v>13</v>
      </c>
      <c r="F14" s="79">
        <v>10</v>
      </c>
      <c r="G14" s="603" t="s">
        <v>338</v>
      </c>
      <c r="H14"/>
      <c r="I14"/>
      <c r="J14"/>
      <c r="K14"/>
    </row>
    <row r="15" spans="1:11" x14ac:dyDescent="0.2">
      <c r="A15" s="76">
        <v>3</v>
      </c>
      <c r="B15" s="605" t="s">
        <v>384</v>
      </c>
      <c r="C15" s="79">
        <v>13</v>
      </c>
      <c r="D15" s="79">
        <v>8</v>
      </c>
      <c r="E15" s="79"/>
      <c r="F15" s="79">
        <v>13</v>
      </c>
      <c r="G15" s="603" t="s">
        <v>336</v>
      </c>
      <c r="H15"/>
      <c r="I15"/>
      <c r="J15"/>
      <c r="K15"/>
    </row>
    <row r="16" spans="1:11" x14ac:dyDescent="0.2">
      <c r="A16" s="76">
        <v>4</v>
      </c>
      <c r="B16" s="530" t="s">
        <v>892</v>
      </c>
      <c r="C16" s="79">
        <v>13</v>
      </c>
      <c r="D16" s="79">
        <v>13</v>
      </c>
      <c r="E16" s="79"/>
      <c r="F16" s="79"/>
      <c r="G16" s="603" t="s">
        <v>337</v>
      </c>
      <c r="H16"/>
      <c r="I16"/>
      <c r="J16"/>
      <c r="K16"/>
    </row>
    <row r="17" spans="1:11" x14ac:dyDescent="0.2">
      <c r="A17" s="80"/>
      <c r="B17" s="81"/>
      <c r="C17" s="82"/>
      <c r="D17" s="82"/>
      <c r="E17" s="82"/>
      <c r="F17" s="83"/>
      <c r="G17" s="84"/>
      <c r="H17"/>
      <c r="I17"/>
      <c r="J17"/>
      <c r="K17"/>
    </row>
    <row r="18" spans="1:11" x14ac:dyDescent="0.2">
      <c r="A18" s="855" t="s">
        <v>341</v>
      </c>
      <c r="B18" s="856"/>
      <c r="C18" s="77" t="s">
        <v>332</v>
      </c>
      <c r="D18" s="77" t="s">
        <v>333</v>
      </c>
      <c r="E18" s="77" t="s">
        <v>334</v>
      </c>
      <c r="F18" s="77" t="s">
        <v>335</v>
      </c>
      <c r="G18" s="77" t="s">
        <v>28</v>
      </c>
      <c r="H18"/>
      <c r="I18"/>
      <c r="J18"/>
      <c r="K18"/>
    </row>
    <row r="19" spans="1:11" x14ac:dyDescent="0.2">
      <c r="A19" s="76">
        <v>1</v>
      </c>
      <c r="B19" s="604" t="s">
        <v>804</v>
      </c>
      <c r="C19" s="79">
        <v>13</v>
      </c>
      <c r="D19" s="79">
        <v>13</v>
      </c>
      <c r="E19" s="79"/>
      <c r="F19" s="79"/>
      <c r="G19" s="603" t="s">
        <v>337</v>
      </c>
      <c r="H19"/>
      <c r="I19"/>
      <c r="J19"/>
      <c r="K19"/>
    </row>
    <row r="20" spans="1:11" x14ac:dyDescent="0.2">
      <c r="A20" s="76">
        <v>2</v>
      </c>
      <c r="B20" s="605" t="s">
        <v>378</v>
      </c>
      <c r="C20" s="79">
        <v>4</v>
      </c>
      <c r="D20" s="79"/>
      <c r="E20" s="79">
        <v>13</v>
      </c>
      <c r="F20" s="79">
        <v>0</v>
      </c>
      <c r="G20" s="603" t="s">
        <v>338</v>
      </c>
      <c r="H20"/>
      <c r="I20"/>
      <c r="J20"/>
      <c r="K20"/>
    </row>
    <row r="21" spans="1:11" x14ac:dyDescent="0.2">
      <c r="A21" s="76">
        <v>3</v>
      </c>
      <c r="B21" s="607" t="s">
        <v>893</v>
      </c>
      <c r="C21" s="79">
        <v>13</v>
      </c>
      <c r="D21" s="79">
        <v>12</v>
      </c>
      <c r="E21" s="79"/>
      <c r="F21" s="79">
        <v>13</v>
      </c>
      <c r="G21" s="603" t="s">
        <v>336</v>
      </c>
      <c r="H21"/>
      <c r="I21"/>
      <c r="J21"/>
      <c r="K21"/>
    </row>
    <row r="22" spans="1:11" x14ac:dyDescent="0.2">
      <c r="A22" s="76">
        <v>4</v>
      </c>
      <c r="B22" s="606" t="s">
        <v>830</v>
      </c>
      <c r="C22" s="79">
        <v>11</v>
      </c>
      <c r="D22" s="79"/>
      <c r="E22" s="79">
        <v>0</v>
      </c>
      <c r="F22" s="79"/>
      <c r="G22" s="603" t="s">
        <v>398</v>
      </c>
      <c r="H22"/>
      <c r="I22"/>
      <c r="J22"/>
      <c r="K22"/>
    </row>
    <row r="23" spans="1:11" x14ac:dyDescent="0.2">
      <c r="A23" s="80"/>
      <c r="B23" s="81"/>
      <c r="C23" s="82"/>
      <c r="D23" s="82"/>
      <c r="E23" s="82"/>
      <c r="F23" s="83"/>
      <c r="G23" s="84"/>
      <c r="H23"/>
      <c r="I23"/>
      <c r="J23"/>
      <c r="K23"/>
    </row>
    <row r="24" spans="1:11" x14ac:dyDescent="0.2">
      <c r="A24" s="855" t="s">
        <v>375</v>
      </c>
      <c r="B24" s="856"/>
      <c r="C24" s="77" t="s">
        <v>332</v>
      </c>
      <c r="D24" s="77" t="s">
        <v>333</v>
      </c>
      <c r="E24" s="77" t="s">
        <v>334</v>
      </c>
      <c r="F24" s="77" t="s">
        <v>335</v>
      </c>
      <c r="G24" s="77" t="s">
        <v>28</v>
      </c>
      <c r="H24"/>
      <c r="I24"/>
      <c r="J24"/>
      <c r="K24"/>
    </row>
    <row r="25" spans="1:11" x14ac:dyDescent="0.2">
      <c r="A25" s="76">
        <v>1</v>
      </c>
      <c r="B25" s="604" t="s">
        <v>894</v>
      </c>
      <c r="C25" s="79">
        <v>13</v>
      </c>
      <c r="D25" s="79">
        <v>13</v>
      </c>
      <c r="E25" s="79"/>
      <c r="F25" s="79"/>
      <c r="G25" s="603" t="s">
        <v>337</v>
      </c>
      <c r="H25"/>
      <c r="I25"/>
      <c r="J25"/>
      <c r="K25"/>
    </row>
    <row r="26" spans="1:11" x14ac:dyDescent="0.2">
      <c r="A26" s="76">
        <v>2</v>
      </c>
      <c r="B26" s="605" t="s">
        <v>895</v>
      </c>
      <c r="C26" s="79">
        <v>9</v>
      </c>
      <c r="D26" s="79"/>
      <c r="E26" s="79">
        <v>7</v>
      </c>
      <c r="F26" s="79"/>
      <c r="G26" s="603" t="s">
        <v>398</v>
      </c>
      <c r="H26"/>
      <c r="I26"/>
      <c r="J26"/>
      <c r="K26"/>
    </row>
    <row r="27" spans="1:11" x14ac:dyDescent="0.2">
      <c r="A27" s="76">
        <v>3</v>
      </c>
      <c r="B27" s="605" t="s">
        <v>707</v>
      </c>
      <c r="C27" s="79">
        <v>13</v>
      </c>
      <c r="D27" s="79">
        <v>6</v>
      </c>
      <c r="E27" s="79"/>
      <c r="F27" s="79">
        <v>13</v>
      </c>
      <c r="G27" s="603" t="s">
        <v>336</v>
      </c>
      <c r="H27"/>
      <c r="I27"/>
      <c r="J27"/>
      <c r="K27"/>
    </row>
    <row r="28" spans="1:11" x14ac:dyDescent="0.2">
      <c r="A28" s="76">
        <v>4</v>
      </c>
      <c r="B28" s="606" t="s">
        <v>489</v>
      </c>
      <c r="C28" s="79">
        <v>2</v>
      </c>
      <c r="D28" s="79"/>
      <c r="E28" s="79">
        <v>13</v>
      </c>
      <c r="F28" s="79">
        <v>4</v>
      </c>
      <c r="G28" s="603" t="s">
        <v>338</v>
      </c>
      <c r="H28"/>
      <c r="I28"/>
      <c r="J28"/>
      <c r="K28"/>
    </row>
    <row r="29" spans="1:11" x14ac:dyDescent="0.2">
      <c r="A29"/>
      <c r="B29"/>
      <c r="C29"/>
      <c r="D29"/>
      <c r="E29"/>
      <c r="F29"/>
      <c r="G29"/>
      <c r="H29"/>
      <c r="I29"/>
      <c r="J29"/>
      <c r="K29"/>
    </row>
    <row r="30" spans="1:11" x14ac:dyDescent="0.2">
      <c r="A30" s="119" t="s">
        <v>376</v>
      </c>
      <c r="B30" s="578"/>
      <c r="C30" s="578"/>
      <c r="D30" s="578"/>
      <c r="E30" s="578"/>
      <c r="F30" s="578"/>
      <c r="G30" s="578"/>
      <c r="H30" s="578"/>
      <c r="I30" s="528"/>
      <c r="J30"/>
      <c r="K30"/>
    </row>
    <row r="31" spans="1:11" x14ac:dyDescent="0.2">
      <c r="A31" s="119"/>
      <c r="B31" s="578"/>
      <c r="C31" s="578"/>
      <c r="D31" s="578"/>
      <c r="E31" s="578"/>
      <c r="F31" s="578"/>
      <c r="G31" s="578"/>
      <c r="H31" s="578"/>
      <c r="I31" s="528"/>
      <c r="J31"/>
      <c r="K31"/>
    </row>
    <row r="32" spans="1:11" x14ac:dyDescent="0.2">
      <c r="A32" s="120" t="s">
        <v>353</v>
      </c>
      <c r="B32" s="578" t="s">
        <v>804</v>
      </c>
      <c r="C32" s="372">
        <v>13</v>
      </c>
      <c r="D32" s="578"/>
      <c r="E32" s="578"/>
      <c r="F32" s="578"/>
      <c r="G32" s="578"/>
      <c r="H32" s="578"/>
      <c r="I32" s="528"/>
      <c r="J32"/>
      <c r="K32"/>
    </row>
    <row r="33" spans="1:11" x14ac:dyDescent="0.2">
      <c r="A33" s="578"/>
      <c r="B33" s="373"/>
      <c r="C33" s="402" t="s">
        <v>804</v>
      </c>
      <c r="D33" s="403"/>
      <c r="E33" s="578"/>
      <c r="F33" s="372">
        <v>13</v>
      </c>
      <c r="G33" s="578"/>
      <c r="H33" s="578"/>
      <c r="I33" s="528"/>
      <c r="J33"/>
      <c r="K33"/>
    </row>
    <row r="34" spans="1:11" x14ac:dyDescent="0.2">
      <c r="A34" s="120" t="s">
        <v>355</v>
      </c>
      <c r="B34" s="376" t="s">
        <v>384</v>
      </c>
      <c r="C34" s="377">
        <v>4</v>
      </c>
      <c r="D34" s="578"/>
      <c r="E34" s="378"/>
      <c r="F34" s="578"/>
      <c r="G34" s="578"/>
      <c r="H34" s="578"/>
      <c r="I34" s="528"/>
      <c r="J34"/>
      <c r="K34"/>
    </row>
    <row r="35" spans="1:11" x14ac:dyDescent="0.2">
      <c r="A35" s="578"/>
      <c r="B35" s="578"/>
      <c r="C35" s="578"/>
      <c r="D35" s="379"/>
      <c r="E35" s="380"/>
      <c r="F35" s="528" t="s">
        <v>804</v>
      </c>
      <c r="G35" s="528"/>
      <c r="H35" s="578"/>
      <c r="I35" s="372">
        <v>5</v>
      </c>
      <c r="J35" s="578"/>
      <c r="K35" s="528"/>
    </row>
    <row r="36" spans="1:11" x14ac:dyDescent="0.2">
      <c r="A36" s="120" t="s">
        <v>399</v>
      </c>
      <c r="B36" s="381" t="s">
        <v>894</v>
      </c>
      <c r="C36" s="382">
        <v>4</v>
      </c>
      <c r="D36" s="578"/>
      <c r="E36" s="380"/>
      <c r="F36" s="590"/>
      <c r="G36" s="590"/>
      <c r="H36" s="378"/>
      <c r="I36" s="578"/>
      <c r="J36" s="578"/>
      <c r="K36" s="528"/>
    </row>
    <row r="37" spans="1:11" x14ac:dyDescent="0.2">
      <c r="A37" s="578"/>
      <c r="B37" s="378"/>
      <c r="C37" s="528" t="s">
        <v>890</v>
      </c>
      <c r="D37" s="578"/>
      <c r="E37" s="576"/>
      <c r="F37" s="591">
        <v>10</v>
      </c>
      <c r="G37" s="531"/>
      <c r="H37" s="384"/>
      <c r="I37" s="578"/>
      <c r="J37" s="578"/>
      <c r="K37" s="528"/>
    </row>
    <row r="38" spans="1:11" x14ac:dyDescent="0.2">
      <c r="A38" s="120" t="s">
        <v>358</v>
      </c>
      <c r="B38" s="376" t="s">
        <v>890</v>
      </c>
      <c r="C38" s="385">
        <v>13</v>
      </c>
      <c r="D38" s="373"/>
      <c r="E38" s="578"/>
      <c r="F38" s="531"/>
      <c r="G38" s="531"/>
      <c r="H38" s="380"/>
      <c r="I38" s="578"/>
      <c r="J38" s="578"/>
      <c r="K38" s="528"/>
    </row>
    <row r="39" spans="1:11" ht="13.5" thickBot="1" x14ac:dyDescent="0.25">
      <c r="A39" s="578"/>
      <c r="B39" s="578"/>
      <c r="C39" s="578"/>
      <c r="D39" s="578"/>
      <c r="E39" s="578"/>
      <c r="F39" s="531"/>
      <c r="G39" s="531"/>
      <c r="H39" s="380"/>
      <c r="I39" s="578"/>
      <c r="J39" s="386" t="s">
        <v>893</v>
      </c>
      <c r="K39" s="528"/>
    </row>
    <row r="40" spans="1:11" x14ac:dyDescent="0.2">
      <c r="A40" s="120" t="s">
        <v>356</v>
      </c>
      <c r="B40" s="578" t="s">
        <v>892</v>
      </c>
      <c r="C40" s="372">
        <v>1</v>
      </c>
      <c r="D40" s="578"/>
      <c r="E40" s="578"/>
      <c r="F40" s="531"/>
      <c r="G40" s="531"/>
      <c r="H40" s="380"/>
      <c r="I40" s="387"/>
      <c r="J40" s="129" t="s">
        <v>357</v>
      </c>
      <c r="K40" s="532"/>
    </row>
    <row r="41" spans="1:11" x14ac:dyDescent="0.2">
      <c r="A41" s="578"/>
      <c r="B41" s="373"/>
      <c r="C41" s="402" t="s">
        <v>893</v>
      </c>
      <c r="D41" s="403"/>
      <c r="E41" s="578"/>
      <c r="F41" s="591">
        <v>13</v>
      </c>
      <c r="G41" s="531"/>
      <c r="H41" s="384"/>
      <c r="I41" s="578"/>
      <c r="J41" s="578"/>
      <c r="K41" s="531"/>
    </row>
    <row r="42" spans="1:11" ht="13.5" thickBot="1" x14ac:dyDescent="0.25">
      <c r="A42" s="120" t="s">
        <v>354</v>
      </c>
      <c r="B42" s="403" t="s">
        <v>893</v>
      </c>
      <c r="C42" s="377">
        <v>13</v>
      </c>
      <c r="D42" s="578"/>
      <c r="E42" s="378"/>
      <c r="F42" s="531"/>
      <c r="G42" s="531"/>
      <c r="H42" s="380"/>
      <c r="I42" s="578"/>
      <c r="J42" s="520" t="s">
        <v>804</v>
      </c>
      <c r="K42" s="533"/>
    </row>
    <row r="43" spans="1:11" x14ac:dyDescent="0.2">
      <c r="A43" s="578"/>
      <c r="B43" s="578"/>
      <c r="C43" s="578"/>
      <c r="D43" s="379"/>
      <c r="E43" s="380"/>
      <c r="F43" s="592" t="s">
        <v>893</v>
      </c>
      <c r="G43" s="592"/>
      <c r="H43" s="576"/>
      <c r="I43" s="372">
        <v>13</v>
      </c>
      <c r="J43" s="129" t="s">
        <v>359</v>
      </c>
      <c r="K43" s="528"/>
    </row>
    <row r="44" spans="1:11" x14ac:dyDescent="0.2">
      <c r="A44" s="120" t="s">
        <v>360</v>
      </c>
      <c r="B44" s="578" t="s">
        <v>888</v>
      </c>
      <c r="C44" s="382">
        <v>13</v>
      </c>
      <c r="D44" s="578"/>
      <c r="E44" s="380"/>
      <c r="F44" s="528"/>
      <c r="G44" s="528"/>
      <c r="H44" s="578"/>
      <c r="I44" s="578"/>
      <c r="J44" s="578"/>
      <c r="K44" s="528"/>
    </row>
    <row r="45" spans="1:11" x14ac:dyDescent="0.2">
      <c r="A45" s="578"/>
      <c r="B45" s="373"/>
      <c r="C45" s="577" t="s">
        <v>888</v>
      </c>
      <c r="D45" s="578"/>
      <c r="E45" s="576"/>
      <c r="F45" s="273">
        <v>7</v>
      </c>
      <c r="G45" s="528"/>
      <c r="H45" s="372"/>
      <c r="I45" s="578"/>
      <c r="J45" s="578"/>
      <c r="K45" s="528"/>
    </row>
    <row r="46" spans="1:11" x14ac:dyDescent="0.2">
      <c r="A46" s="120" t="s">
        <v>401</v>
      </c>
      <c r="B46" s="403" t="s">
        <v>707</v>
      </c>
      <c r="C46" s="390">
        <v>10</v>
      </c>
      <c r="D46" s="373"/>
      <c r="E46" s="578"/>
      <c r="F46" s="528"/>
      <c r="G46" s="528"/>
      <c r="H46" s="578"/>
      <c r="I46" s="578"/>
      <c r="J46" s="578"/>
      <c r="K46" s="528"/>
    </row>
    <row r="47" spans="1:11" x14ac:dyDescent="0.2">
      <c r="A47" s="578"/>
      <c r="B47" s="578"/>
      <c r="C47" s="578"/>
      <c r="D47" s="578"/>
      <c r="E47" s="578"/>
      <c r="F47" s="528" t="s">
        <v>890</v>
      </c>
      <c r="G47" s="528"/>
      <c r="H47" s="528"/>
      <c r="I47" s="382">
        <v>13</v>
      </c>
      <c r="J47" s="379"/>
      <c r="K47" s="528"/>
    </row>
    <row r="48" spans="1:11" ht="13.5" thickBot="1" x14ac:dyDescent="0.25">
      <c r="A48" s="578"/>
      <c r="B48" s="578"/>
      <c r="C48" s="578"/>
      <c r="D48" s="578"/>
      <c r="E48" s="578"/>
      <c r="F48" s="590"/>
      <c r="G48" s="590"/>
      <c r="H48" s="378"/>
      <c r="I48" s="520"/>
      <c r="J48" s="240" t="s">
        <v>890</v>
      </c>
      <c r="K48" s="528"/>
    </row>
    <row r="49" spans="1:11" x14ac:dyDescent="0.2">
      <c r="A49" s="578"/>
      <c r="B49" s="578"/>
      <c r="C49" s="578"/>
      <c r="D49" s="578"/>
      <c r="E49" s="578"/>
      <c r="F49" s="592" t="s">
        <v>888</v>
      </c>
      <c r="G49" s="592"/>
      <c r="H49" s="576"/>
      <c r="I49" s="372">
        <v>3</v>
      </c>
      <c r="J49" s="129" t="s">
        <v>361</v>
      </c>
      <c r="K49" s="532"/>
    </row>
    <row r="50" spans="1:11" x14ac:dyDescent="0.2">
      <c r="A50" s="578"/>
      <c r="B50" s="578"/>
      <c r="C50" s="578"/>
      <c r="D50" s="578"/>
      <c r="E50" s="578"/>
      <c r="F50" s="528"/>
      <c r="G50" s="528"/>
      <c r="H50" s="578"/>
      <c r="I50" s="578"/>
      <c r="J50" s="379"/>
      <c r="K50" s="531"/>
    </row>
    <row r="51" spans="1:11" ht="13.5" thickBot="1" x14ac:dyDescent="0.25">
      <c r="A51" s="578"/>
      <c r="B51" s="578"/>
      <c r="C51" s="578"/>
      <c r="D51" s="578"/>
      <c r="E51" s="578"/>
      <c r="F51" s="528"/>
      <c r="G51" s="528"/>
      <c r="H51" s="578"/>
      <c r="I51" s="578"/>
      <c r="J51" s="240" t="s">
        <v>888</v>
      </c>
      <c r="K51" s="533"/>
    </row>
    <row r="52" spans="1:11" x14ac:dyDescent="0.2">
      <c r="A52" s="578"/>
      <c r="B52" s="578"/>
      <c r="C52" s="578" t="s">
        <v>384</v>
      </c>
      <c r="D52" s="578"/>
      <c r="E52" s="578"/>
      <c r="F52" s="273">
        <v>4</v>
      </c>
      <c r="G52" s="528"/>
      <c r="H52" s="372"/>
      <c r="I52" s="578"/>
      <c r="J52" s="129" t="s">
        <v>362</v>
      </c>
      <c r="K52" s="528"/>
    </row>
    <row r="53" spans="1:11" x14ac:dyDescent="0.2">
      <c r="A53" s="578"/>
      <c r="B53" s="578"/>
      <c r="C53" s="373"/>
      <c r="D53" s="373"/>
      <c r="E53" s="378"/>
      <c r="F53" s="593" t="s">
        <v>894</v>
      </c>
      <c r="G53" s="592"/>
      <c r="H53" s="403"/>
      <c r="I53" s="372">
        <v>13</v>
      </c>
      <c r="J53" s="578"/>
      <c r="K53" s="528"/>
    </row>
    <row r="54" spans="1:11" x14ac:dyDescent="0.2">
      <c r="A54" s="578"/>
      <c r="B54" s="578"/>
      <c r="C54" s="403" t="s">
        <v>894</v>
      </c>
      <c r="D54" s="403"/>
      <c r="E54" s="576"/>
      <c r="F54" s="594">
        <v>13</v>
      </c>
      <c r="G54" s="590"/>
      <c r="H54" s="348"/>
      <c r="I54" s="578"/>
      <c r="J54" s="578"/>
      <c r="K54" s="528"/>
    </row>
    <row r="55" spans="1:11" ht="13.5" thickBot="1" x14ac:dyDescent="0.25">
      <c r="A55" s="578"/>
      <c r="B55" s="578"/>
      <c r="C55" s="578"/>
      <c r="D55" s="578"/>
      <c r="E55" s="578"/>
      <c r="F55" s="528"/>
      <c r="G55" s="528"/>
      <c r="H55" s="380"/>
      <c r="I55" s="578"/>
      <c r="J55" s="386" t="s">
        <v>894</v>
      </c>
      <c r="K55" s="528"/>
    </row>
    <row r="56" spans="1:11" x14ac:dyDescent="0.2">
      <c r="A56" s="578"/>
      <c r="B56" s="578"/>
      <c r="C56" s="578" t="s">
        <v>892</v>
      </c>
      <c r="D56" s="578"/>
      <c r="E56" s="578"/>
      <c r="F56" s="273">
        <v>13</v>
      </c>
      <c r="G56" s="528"/>
      <c r="H56" s="384"/>
      <c r="I56" s="387"/>
      <c r="J56" s="129" t="s">
        <v>363</v>
      </c>
      <c r="K56" s="532"/>
    </row>
    <row r="57" spans="1:11" x14ac:dyDescent="0.2">
      <c r="A57" s="578"/>
      <c r="B57" s="578"/>
      <c r="C57" s="373"/>
      <c r="D57" s="373"/>
      <c r="E57" s="378"/>
      <c r="F57" s="593" t="s">
        <v>892</v>
      </c>
      <c r="G57" s="592"/>
      <c r="H57" s="576"/>
      <c r="I57" s="382">
        <v>9</v>
      </c>
      <c r="J57" s="578"/>
      <c r="K57" s="531"/>
    </row>
    <row r="58" spans="1:11" ht="13.5" thickBot="1" x14ac:dyDescent="0.25">
      <c r="A58" s="578"/>
      <c r="B58" s="578"/>
      <c r="C58" s="403" t="s">
        <v>707</v>
      </c>
      <c r="D58" s="403"/>
      <c r="E58" s="576"/>
      <c r="F58" s="594">
        <v>1</v>
      </c>
      <c r="G58" s="590"/>
      <c r="H58" s="385"/>
      <c r="I58" s="379"/>
      <c r="J58" s="379" t="s">
        <v>892</v>
      </c>
      <c r="K58" s="533"/>
    </row>
    <row r="59" spans="1:11" x14ac:dyDescent="0.2">
      <c r="A59" s="578"/>
      <c r="B59" s="578"/>
      <c r="C59" s="578"/>
      <c r="D59" s="578"/>
      <c r="E59" s="578"/>
      <c r="F59" s="528"/>
      <c r="G59" s="528"/>
      <c r="H59" s="578"/>
      <c r="I59" s="379"/>
      <c r="J59" s="129" t="s">
        <v>364</v>
      </c>
      <c r="K59" s="528"/>
    </row>
    <row r="60" spans="1:11" x14ac:dyDescent="0.2">
      <c r="A60" s="578"/>
      <c r="B60" s="578"/>
      <c r="C60" s="578"/>
      <c r="D60" s="578"/>
      <c r="E60" s="578"/>
      <c r="F60" s="528" t="s">
        <v>384</v>
      </c>
      <c r="G60" s="528"/>
      <c r="H60" s="578"/>
      <c r="I60" s="382">
        <v>5</v>
      </c>
      <c r="J60" s="379"/>
      <c r="K60" s="528"/>
    </row>
    <row r="61" spans="1:11" ht="13.5" thickBot="1" x14ac:dyDescent="0.25">
      <c r="A61" s="578"/>
      <c r="B61" s="578"/>
      <c r="C61" s="578"/>
      <c r="D61" s="578"/>
      <c r="E61" s="578"/>
      <c r="F61" s="590"/>
      <c r="G61" s="590"/>
      <c r="H61" s="378"/>
      <c r="I61" s="520"/>
      <c r="J61" s="520" t="s">
        <v>707</v>
      </c>
      <c r="K61" s="528"/>
    </row>
    <row r="62" spans="1:11" x14ac:dyDescent="0.2">
      <c r="A62" s="578"/>
      <c r="B62" s="578"/>
      <c r="C62" s="578"/>
      <c r="D62" s="578"/>
      <c r="E62" s="578"/>
      <c r="F62" s="592" t="s">
        <v>707</v>
      </c>
      <c r="G62" s="592"/>
      <c r="H62" s="576"/>
      <c r="I62" s="372">
        <v>13</v>
      </c>
      <c r="J62" s="133" t="s">
        <v>369</v>
      </c>
      <c r="K62" s="532"/>
    </row>
    <row r="63" spans="1:11" x14ac:dyDescent="0.2">
      <c r="A63" s="578"/>
      <c r="B63" s="578"/>
      <c r="C63" s="578"/>
      <c r="D63" s="578"/>
      <c r="E63" s="578"/>
      <c r="F63" s="528"/>
      <c r="G63" s="528"/>
      <c r="H63" s="578"/>
      <c r="I63" s="578"/>
      <c r="J63" s="379"/>
      <c r="K63" s="531"/>
    </row>
    <row r="64" spans="1:11" ht="13.5" thickBot="1" x14ac:dyDescent="0.25">
      <c r="A64" s="578"/>
      <c r="B64" s="578"/>
      <c r="C64" s="578"/>
      <c r="D64" s="578"/>
      <c r="E64" s="578"/>
      <c r="F64" s="528"/>
      <c r="G64" s="528"/>
      <c r="H64" s="578"/>
      <c r="I64" s="578"/>
      <c r="J64" s="520" t="s">
        <v>384</v>
      </c>
      <c r="K64" s="533"/>
    </row>
    <row r="65" spans="1:11" x14ac:dyDescent="0.2">
      <c r="A65" s="578"/>
      <c r="B65" s="578"/>
      <c r="C65" s="578"/>
      <c r="D65" s="578"/>
      <c r="E65" s="578"/>
      <c r="F65" s="528"/>
      <c r="G65" s="528"/>
      <c r="H65" s="578"/>
      <c r="I65" s="578"/>
      <c r="J65" s="120" t="s">
        <v>370</v>
      </c>
      <c r="K65" s="528"/>
    </row>
    <row r="66" spans="1:11" x14ac:dyDescent="0.2">
      <c r="A66" s="578"/>
      <c r="B66" s="578"/>
      <c r="C66" s="578"/>
      <c r="D66" s="578"/>
      <c r="E66" s="578"/>
      <c r="F66" s="528"/>
      <c r="G66" s="528"/>
      <c r="H66" s="578"/>
      <c r="I66" s="578"/>
      <c r="J66" s="120"/>
      <c r="K66" s="528"/>
    </row>
    <row r="67" spans="1:11" x14ac:dyDescent="0.2">
      <c r="A67" s="119" t="s">
        <v>449</v>
      </c>
      <c r="B67" s="578"/>
      <c r="C67" s="578"/>
      <c r="D67" s="578"/>
      <c r="E67" s="578"/>
      <c r="F67" s="528"/>
      <c r="G67" s="528"/>
      <c r="H67" s="578"/>
      <c r="I67" s="578"/>
      <c r="J67" s="578"/>
      <c r="K67" s="528"/>
    </row>
    <row r="68" spans="1:11" x14ac:dyDescent="0.2">
      <c r="A68" s="119"/>
      <c r="B68" s="578"/>
      <c r="C68" s="578"/>
      <c r="D68" s="578"/>
      <c r="E68" s="578"/>
      <c r="F68" s="528"/>
      <c r="G68" s="528"/>
      <c r="H68" s="578"/>
      <c r="I68" s="578"/>
      <c r="J68" s="578"/>
      <c r="K68" s="528"/>
    </row>
    <row r="69" spans="1:11" x14ac:dyDescent="0.2">
      <c r="A69" s="120" t="s">
        <v>402</v>
      </c>
      <c r="B69" s="608" t="s">
        <v>378</v>
      </c>
      <c r="C69" s="372">
        <v>2</v>
      </c>
      <c r="D69" s="578"/>
      <c r="E69" s="578"/>
      <c r="F69" s="578"/>
      <c r="G69" s="578"/>
      <c r="H69" s="578"/>
      <c r="I69" s="528"/>
      <c r="J69"/>
      <c r="K69"/>
    </row>
    <row r="70" spans="1:11" x14ac:dyDescent="0.2">
      <c r="A70" s="578"/>
      <c r="B70" s="373"/>
      <c r="C70" s="402" t="s">
        <v>891</v>
      </c>
      <c r="D70" s="403"/>
      <c r="E70" s="578"/>
      <c r="F70" s="372">
        <v>13</v>
      </c>
      <c r="G70" s="578"/>
      <c r="H70" s="578"/>
      <c r="I70" s="528"/>
      <c r="J70"/>
      <c r="K70"/>
    </row>
    <row r="71" spans="1:11" x14ac:dyDescent="0.2">
      <c r="A71" s="120" t="s">
        <v>403</v>
      </c>
      <c r="B71" s="376" t="s">
        <v>891</v>
      </c>
      <c r="C71" s="377">
        <v>13</v>
      </c>
      <c r="D71" s="578"/>
      <c r="E71" s="378"/>
      <c r="F71" s="578"/>
      <c r="G71" s="578"/>
      <c r="H71" s="578"/>
      <c r="I71" s="528"/>
      <c r="J71"/>
      <c r="K71"/>
    </row>
    <row r="72" spans="1:11" x14ac:dyDescent="0.2">
      <c r="A72" s="578"/>
      <c r="B72" s="578"/>
      <c r="C72" s="578"/>
      <c r="D72" s="379"/>
      <c r="E72" s="380"/>
      <c r="F72" s="528" t="s">
        <v>891</v>
      </c>
      <c r="G72" s="528"/>
      <c r="H72" s="578"/>
      <c r="I72" s="372">
        <v>12</v>
      </c>
      <c r="J72" s="578"/>
      <c r="K72" s="528"/>
    </row>
    <row r="73" spans="1:11" x14ac:dyDescent="0.2">
      <c r="A73" s="120" t="s">
        <v>405</v>
      </c>
      <c r="B73" s="381" t="s">
        <v>497</v>
      </c>
      <c r="C73" s="382">
        <v>13</v>
      </c>
      <c r="D73" s="578"/>
      <c r="E73" s="380"/>
      <c r="F73" s="590"/>
      <c r="G73" s="590"/>
      <c r="H73" s="378"/>
      <c r="I73" s="578"/>
      <c r="J73" s="578"/>
      <c r="K73" s="528"/>
    </row>
    <row r="74" spans="1:11" x14ac:dyDescent="0.2">
      <c r="A74" s="578"/>
      <c r="B74" s="378"/>
      <c r="C74" s="528" t="s">
        <v>497</v>
      </c>
      <c r="D74" s="578"/>
      <c r="E74" s="576"/>
      <c r="F74" s="591">
        <v>4</v>
      </c>
      <c r="G74" s="531"/>
      <c r="H74" s="384"/>
      <c r="I74" s="578"/>
      <c r="J74" s="578"/>
      <c r="K74" s="528"/>
    </row>
    <row r="75" spans="1:11" x14ac:dyDescent="0.2">
      <c r="A75" s="120" t="s">
        <v>408</v>
      </c>
      <c r="B75" s="376" t="s">
        <v>895</v>
      </c>
      <c r="C75" s="385">
        <v>4</v>
      </c>
      <c r="D75" s="373"/>
      <c r="E75" s="578"/>
      <c r="F75" s="531"/>
      <c r="G75" s="531"/>
      <c r="H75" s="380"/>
      <c r="I75" s="578"/>
      <c r="J75" s="578"/>
      <c r="K75" s="528"/>
    </row>
    <row r="76" spans="1:11" ht="13.5" thickBot="1" x14ac:dyDescent="0.25">
      <c r="A76" s="578"/>
      <c r="B76" s="578"/>
      <c r="C76" s="578"/>
      <c r="D76" s="578"/>
      <c r="E76" s="578"/>
      <c r="F76" s="531"/>
      <c r="G76" s="531"/>
      <c r="H76" s="380"/>
      <c r="I76" s="578"/>
      <c r="J76" s="386" t="s">
        <v>568</v>
      </c>
      <c r="K76" s="528"/>
    </row>
    <row r="77" spans="1:11" x14ac:dyDescent="0.2">
      <c r="A77" s="120" t="s">
        <v>404</v>
      </c>
      <c r="B77" s="608" t="s">
        <v>489</v>
      </c>
      <c r="C77" s="372">
        <v>13</v>
      </c>
      <c r="D77" s="578"/>
      <c r="E77" s="578"/>
      <c r="F77" s="531"/>
      <c r="G77" s="531"/>
      <c r="H77" s="380"/>
      <c r="I77" s="387"/>
      <c r="J77" s="129" t="s">
        <v>374</v>
      </c>
      <c r="K77" s="532"/>
    </row>
    <row r="78" spans="1:11" x14ac:dyDescent="0.2">
      <c r="A78" s="578"/>
      <c r="B78" s="373"/>
      <c r="C78" s="402" t="s">
        <v>489</v>
      </c>
      <c r="D78" s="403"/>
      <c r="E78" s="578"/>
      <c r="F78" s="591">
        <v>5</v>
      </c>
      <c r="G78" s="531"/>
      <c r="H78" s="384"/>
      <c r="I78" s="578"/>
      <c r="J78" s="578"/>
      <c r="K78" s="531"/>
    </row>
    <row r="79" spans="1:11" ht="13.5" thickBot="1" x14ac:dyDescent="0.25">
      <c r="A79" s="120" t="s">
        <v>407</v>
      </c>
      <c r="B79" s="403" t="s">
        <v>889</v>
      </c>
      <c r="C79" s="377">
        <v>12</v>
      </c>
      <c r="D79" s="578"/>
      <c r="E79" s="378"/>
      <c r="F79" s="531"/>
      <c r="G79" s="531"/>
      <c r="H79" s="380"/>
      <c r="I79" s="578"/>
      <c r="J79" s="520" t="s">
        <v>891</v>
      </c>
      <c r="K79" s="533"/>
    </row>
    <row r="80" spans="1:11" x14ac:dyDescent="0.2">
      <c r="A80" s="578"/>
      <c r="B80" s="578"/>
      <c r="C80" s="578"/>
      <c r="D80" s="379"/>
      <c r="E80" s="380"/>
      <c r="F80" s="592" t="s">
        <v>568</v>
      </c>
      <c r="G80" s="592"/>
      <c r="H80" s="576"/>
      <c r="I80" s="372">
        <v>13</v>
      </c>
      <c r="J80" s="129" t="s">
        <v>390</v>
      </c>
      <c r="K80" s="528"/>
    </row>
    <row r="81" spans="1:11" x14ac:dyDescent="0.2">
      <c r="A81" s="120" t="s">
        <v>406</v>
      </c>
      <c r="B81" s="578" t="s">
        <v>568</v>
      </c>
      <c r="C81" s="382">
        <v>13</v>
      </c>
      <c r="D81" s="578"/>
      <c r="E81" s="380"/>
      <c r="F81" s="528"/>
      <c r="G81" s="528"/>
      <c r="H81" s="578"/>
      <c r="I81" s="578"/>
      <c r="J81" s="578"/>
      <c r="K81" s="528"/>
    </row>
    <row r="82" spans="1:11" x14ac:dyDescent="0.2">
      <c r="A82" s="578"/>
      <c r="B82" s="373"/>
      <c r="C82" s="577" t="s">
        <v>568</v>
      </c>
      <c r="D82" s="578"/>
      <c r="E82" s="576"/>
      <c r="F82" s="273">
        <v>13</v>
      </c>
      <c r="G82" s="528"/>
      <c r="H82" s="372"/>
      <c r="I82" s="578"/>
      <c r="J82" s="578"/>
      <c r="K82" s="528"/>
    </row>
    <row r="83" spans="1:11" x14ac:dyDescent="0.2">
      <c r="A83" s="120" t="s">
        <v>409</v>
      </c>
      <c r="B83" s="403" t="s">
        <v>830</v>
      </c>
      <c r="C83" s="390">
        <v>5</v>
      </c>
      <c r="D83" s="373"/>
      <c r="E83" s="578"/>
      <c r="F83" s="528"/>
      <c r="G83" s="528"/>
      <c r="H83" s="578"/>
      <c r="I83" s="578"/>
      <c r="J83" s="578"/>
      <c r="K83" s="528"/>
    </row>
    <row r="84" spans="1:11" x14ac:dyDescent="0.2">
      <c r="A84" s="578"/>
      <c r="B84" s="578"/>
      <c r="C84" s="578"/>
      <c r="D84" s="578"/>
      <c r="E84" s="578"/>
      <c r="F84" s="528" t="s">
        <v>497</v>
      </c>
      <c r="G84" s="528"/>
      <c r="H84" s="528"/>
      <c r="I84" s="382">
        <v>13</v>
      </c>
      <c r="J84" s="379"/>
      <c r="K84" s="528"/>
    </row>
    <row r="85" spans="1:11" ht="13.5" thickBot="1" x14ac:dyDescent="0.25">
      <c r="A85" s="578"/>
      <c r="B85" s="578"/>
      <c r="C85" s="578"/>
      <c r="D85" s="578"/>
      <c r="E85" s="578"/>
      <c r="F85" s="590"/>
      <c r="G85" s="590"/>
      <c r="H85" s="378"/>
      <c r="I85" s="520"/>
      <c r="J85" s="520" t="s">
        <v>497</v>
      </c>
      <c r="K85" s="528"/>
    </row>
    <row r="86" spans="1:11" x14ac:dyDescent="0.2">
      <c r="A86" s="578"/>
      <c r="B86" s="578"/>
      <c r="C86" s="578"/>
      <c r="D86" s="578"/>
      <c r="E86" s="578"/>
      <c r="F86" s="592" t="s">
        <v>489</v>
      </c>
      <c r="G86" s="592"/>
      <c r="H86" s="576"/>
      <c r="I86" s="372">
        <v>8</v>
      </c>
      <c r="J86" s="133" t="s">
        <v>391</v>
      </c>
      <c r="K86" s="532"/>
    </row>
    <row r="87" spans="1:11" x14ac:dyDescent="0.2">
      <c r="A87" s="578"/>
      <c r="B87" s="578"/>
      <c r="C87" s="578"/>
      <c r="D87" s="578"/>
      <c r="E87" s="578"/>
      <c r="F87" s="528"/>
      <c r="G87" s="528"/>
      <c r="H87" s="578"/>
      <c r="I87" s="578"/>
      <c r="J87" s="379"/>
      <c r="K87" s="531"/>
    </row>
    <row r="88" spans="1:11" ht="13.5" thickBot="1" x14ac:dyDescent="0.25">
      <c r="A88" s="578"/>
      <c r="B88" s="578"/>
      <c r="C88" s="578"/>
      <c r="D88" s="578"/>
      <c r="E88" s="578"/>
      <c r="F88" s="528"/>
      <c r="G88" s="528"/>
      <c r="H88" s="578"/>
      <c r="I88" s="578"/>
      <c r="J88" s="520" t="s">
        <v>489</v>
      </c>
      <c r="K88" s="533"/>
    </row>
    <row r="89" spans="1:11" x14ac:dyDescent="0.2">
      <c r="A89" s="578"/>
      <c r="B89" s="578"/>
      <c r="C89" s="578" t="s">
        <v>378</v>
      </c>
      <c r="D89" s="578"/>
      <c r="E89" s="578"/>
      <c r="F89" s="273">
        <v>8</v>
      </c>
      <c r="G89" s="528"/>
      <c r="H89" s="372"/>
      <c r="I89" s="578"/>
      <c r="J89" s="120" t="s">
        <v>392</v>
      </c>
      <c r="K89" s="528"/>
    </row>
    <row r="90" spans="1:11" x14ac:dyDescent="0.2">
      <c r="A90" s="578"/>
      <c r="B90" s="578"/>
      <c r="C90" s="373"/>
      <c r="D90" s="373"/>
      <c r="E90" s="378"/>
      <c r="F90" s="593" t="s">
        <v>895</v>
      </c>
      <c r="G90" s="592"/>
      <c r="H90" s="403"/>
      <c r="I90" s="372">
        <v>8</v>
      </c>
      <c r="J90" s="578"/>
      <c r="K90" s="528"/>
    </row>
    <row r="91" spans="1:11" x14ac:dyDescent="0.2">
      <c r="A91" s="578"/>
      <c r="B91" s="578"/>
      <c r="C91" s="403" t="s">
        <v>895</v>
      </c>
      <c r="D91" s="403"/>
      <c r="E91" s="576"/>
      <c r="F91" s="594">
        <v>13</v>
      </c>
      <c r="G91" s="590"/>
      <c r="H91" s="348"/>
      <c r="I91" s="578"/>
      <c r="J91" s="578"/>
      <c r="K91" s="528"/>
    </row>
    <row r="92" spans="1:11" ht="13.5" thickBot="1" x14ac:dyDescent="0.25">
      <c r="A92" s="578"/>
      <c r="B92" s="578"/>
      <c r="C92" s="578"/>
      <c r="D92" s="578"/>
      <c r="E92" s="578"/>
      <c r="F92" s="528"/>
      <c r="G92" s="528"/>
      <c r="H92" s="380"/>
      <c r="I92" s="578"/>
      <c r="J92" s="578" t="s">
        <v>889</v>
      </c>
      <c r="K92" s="528"/>
    </row>
    <row r="93" spans="1:11" x14ac:dyDescent="0.2">
      <c r="A93" s="578"/>
      <c r="B93" s="578"/>
      <c r="C93" s="578" t="s">
        <v>889</v>
      </c>
      <c r="D93" s="578"/>
      <c r="E93" s="578"/>
      <c r="F93" s="273">
        <v>13</v>
      </c>
      <c r="G93" s="528"/>
      <c r="H93" s="384"/>
      <c r="I93" s="387"/>
      <c r="J93" s="129" t="s">
        <v>393</v>
      </c>
      <c r="K93" s="532"/>
    </row>
    <row r="94" spans="1:11" x14ac:dyDescent="0.2">
      <c r="A94" s="578"/>
      <c r="B94" s="578"/>
      <c r="C94" s="373"/>
      <c r="D94" s="373"/>
      <c r="E94" s="378"/>
      <c r="F94" s="593" t="s">
        <v>889</v>
      </c>
      <c r="G94" s="592"/>
      <c r="H94" s="576"/>
      <c r="I94" s="382">
        <v>13</v>
      </c>
      <c r="J94" s="578"/>
      <c r="K94" s="531"/>
    </row>
    <row r="95" spans="1:11" ht="13.5" thickBot="1" x14ac:dyDescent="0.25">
      <c r="A95" s="578"/>
      <c r="B95" s="578"/>
      <c r="C95" s="403" t="s">
        <v>830</v>
      </c>
      <c r="D95" s="403"/>
      <c r="E95" s="576"/>
      <c r="F95" s="594">
        <v>5</v>
      </c>
      <c r="G95" s="590"/>
      <c r="H95" s="385"/>
      <c r="I95" s="379"/>
      <c r="J95" s="379" t="s">
        <v>895</v>
      </c>
      <c r="K95" s="533"/>
    </row>
    <row r="96" spans="1:11" x14ac:dyDescent="0.2">
      <c r="A96" s="578"/>
      <c r="B96" s="578"/>
      <c r="C96" s="578"/>
      <c r="D96" s="578"/>
      <c r="E96" s="578"/>
      <c r="F96" s="528"/>
      <c r="G96" s="528"/>
      <c r="H96" s="578"/>
      <c r="I96" s="379"/>
      <c r="J96" s="129" t="s">
        <v>394</v>
      </c>
      <c r="K96" s="528"/>
    </row>
    <row r="97" spans="1:11" x14ac:dyDescent="0.2">
      <c r="A97" s="578"/>
      <c r="B97" s="578"/>
      <c r="C97" s="578"/>
      <c r="D97" s="578"/>
      <c r="E97" s="578"/>
      <c r="F97" s="528" t="s">
        <v>378</v>
      </c>
      <c r="G97" s="528"/>
      <c r="H97" s="578"/>
      <c r="I97" s="382">
        <v>6</v>
      </c>
      <c r="J97" s="379"/>
      <c r="K97" s="528"/>
    </row>
    <row r="98" spans="1:11" ht="13.5" thickBot="1" x14ac:dyDescent="0.25">
      <c r="A98" s="578"/>
      <c r="B98" s="578"/>
      <c r="C98" s="578"/>
      <c r="D98" s="578"/>
      <c r="E98" s="578"/>
      <c r="F98" s="590"/>
      <c r="G98" s="590"/>
      <c r="H98" s="378"/>
      <c r="I98" s="520"/>
      <c r="J98" s="520" t="s">
        <v>830</v>
      </c>
      <c r="K98" s="528"/>
    </row>
    <row r="99" spans="1:11" x14ac:dyDescent="0.2">
      <c r="A99" s="578"/>
      <c r="B99" s="578"/>
      <c r="C99" s="578"/>
      <c r="D99" s="578"/>
      <c r="E99" s="578"/>
      <c r="F99" s="592" t="s">
        <v>830</v>
      </c>
      <c r="G99" s="592"/>
      <c r="H99" s="576"/>
      <c r="I99" s="372">
        <v>13</v>
      </c>
      <c r="J99" s="133" t="s">
        <v>395</v>
      </c>
      <c r="K99" s="532"/>
    </row>
    <row r="100" spans="1:11" s="528" customFormat="1" x14ac:dyDescent="0.2">
      <c r="A100" s="578"/>
      <c r="B100" s="578"/>
      <c r="C100" s="578"/>
      <c r="D100" s="578"/>
      <c r="E100" s="578"/>
      <c r="F100" s="306"/>
      <c r="G100" s="306"/>
      <c r="H100" s="379"/>
      <c r="I100" s="372"/>
      <c r="J100" s="133"/>
      <c r="K100" s="531"/>
    </row>
    <row r="101" spans="1:11" s="528" customFormat="1" ht="13.5" thickBot="1" x14ac:dyDescent="0.25">
      <c r="A101" s="578"/>
      <c r="B101" s="578"/>
      <c r="C101" s="578"/>
      <c r="D101" s="578"/>
      <c r="E101" s="578"/>
      <c r="F101" s="306"/>
      <c r="G101" s="306"/>
      <c r="H101" s="379"/>
      <c r="I101" s="372"/>
      <c r="J101" s="520" t="s">
        <v>378</v>
      </c>
    </row>
    <row r="102" spans="1:11" x14ac:dyDescent="0.2">
      <c r="A102" s="578"/>
      <c r="B102" s="578"/>
      <c r="C102" s="578"/>
      <c r="D102" s="578"/>
      <c r="E102" s="578"/>
      <c r="F102"/>
      <c r="G102"/>
      <c r="H102" s="578"/>
      <c r="I102" s="578"/>
      <c r="J102" s="133" t="s">
        <v>396</v>
      </c>
      <c r="K102" s="532"/>
    </row>
    <row r="103" spans="1:11" s="528" customFormat="1" x14ac:dyDescent="0.2">
      <c r="A103" s="578"/>
      <c r="B103" s="578"/>
      <c r="C103" s="578"/>
      <c r="D103" s="578"/>
      <c r="E103" s="578"/>
      <c r="F103"/>
      <c r="G103"/>
      <c r="H103" s="578"/>
      <c r="I103" s="578"/>
      <c r="J103" s="133"/>
      <c r="K103" s="531"/>
    </row>
    <row r="104" spans="1:11" x14ac:dyDescent="0.2">
      <c r="A104" s="134">
        <v>1</v>
      </c>
      <c r="B104" s="135" t="s">
        <v>893</v>
      </c>
      <c r="C104" s="363"/>
      <c r="D104" s="363"/>
      <c r="E104" s="363"/>
      <c r="F104" s="363"/>
      <c r="G104" s="363"/>
      <c r="H104" s="363"/>
      <c r="I104" s="528"/>
      <c r="J104"/>
      <c r="K104"/>
    </row>
    <row r="105" spans="1:11" x14ac:dyDescent="0.2">
      <c r="A105" s="134">
        <v>2</v>
      </c>
      <c r="B105" s="394" t="s">
        <v>804</v>
      </c>
      <c r="C105" s="363"/>
      <c r="D105" s="363"/>
      <c r="E105" s="363"/>
      <c r="F105" s="363"/>
      <c r="G105" s="363"/>
      <c r="H105" s="363"/>
      <c r="I105" s="528"/>
      <c r="J105"/>
      <c r="K105"/>
    </row>
    <row r="106" spans="1:11" x14ac:dyDescent="0.2">
      <c r="A106" s="134">
        <v>3</v>
      </c>
      <c r="B106" s="395" t="s">
        <v>890</v>
      </c>
      <c r="C106" s="363"/>
      <c r="D106" s="363"/>
      <c r="E106" s="363"/>
      <c r="F106" s="363"/>
      <c r="G106" s="363"/>
      <c r="H106" s="363"/>
      <c r="I106" s="528"/>
      <c r="J106"/>
      <c r="K106"/>
    </row>
    <row r="107" spans="1:11" x14ac:dyDescent="0.2">
      <c r="A107" s="134">
        <v>4</v>
      </c>
      <c r="B107" s="27" t="s">
        <v>888</v>
      </c>
      <c r="C107" s="363"/>
      <c r="D107" s="363"/>
      <c r="E107" s="363"/>
      <c r="F107" s="363"/>
      <c r="G107" s="363"/>
      <c r="H107" s="363"/>
      <c r="I107" s="528"/>
      <c r="J107"/>
      <c r="K107"/>
    </row>
    <row r="108" spans="1:11" x14ac:dyDescent="0.2">
      <c r="A108" s="134">
        <v>5</v>
      </c>
      <c r="B108" s="368" t="s">
        <v>894</v>
      </c>
      <c r="C108" s="363"/>
      <c r="D108" s="363"/>
      <c r="E108" s="363"/>
      <c r="F108" s="363"/>
      <c r="G108" s="363"/>
      <c r="H108" s="363"/>
      <c r="I108" s="528"/>
      <c r="J108"/>
      <c r="K108"/>
    </row>
    <row r="109" spans="1:11" x14ac:dyDescent="0.2">
      <c r="A109" s="134">
        <v>6</v>
      </c>
      <c r="B109" s="368" t="s">
        <v>892</v>
      </c>
      <c r="C109" s="363"/>
      <c r="D109" s="363"/>
      <c r="E109" s="363"/>
      <c r="F109" s="363"/>
      <c r="G109" s="363"/>
      <c r="H109" s="363"/>
      <c r="I109" s="528"/>
      <c r="J109"/>
      <c r="K109"/>
    </row>
    <row r="110" spans="1:11" x14ac:dyDescent="0.2">
      <c r="A110" s="134">
        <v>7</v>
      </c>
      <c r="B110" s="368" t="s">
        <v>707</v>
      </c>
      <c r="C110" s="363"/>
      <c r="D110" s="363"/>
      <c r="E110" s="363"/>
      <c r="F110" s="363"/>
      <c r="G110" s="363"/>
      <c r="H110" s="363"/>
      <c r="I110" s="528"/>
      <c r="J110"/>
      <c r="K110"/>
    </row>
    <row r="111" spans="1:11" x14ac:dyDescent="0.2">
      <c r="A111" s="134">
        <v>8</v>
      </c>
      <c r="B111" s="368" t="s">
        <v>384</v>
      </c>
      <c r="C111" s="363"/>
      <c r="D111" s="363"/>
      <c r="E111" s="363"/>
      <c r="F111" s="363"/>
      <c r="G111" s="363"/>
      <c r="H111" s="363"/>
      <c r="I111" s="528"/>
      <c r="J111"/>
      <c r="K111"/>
    </row>
    <row r="112" spans="1:11" x14ac:dyDescent="0.2">
      <c r="A112" s="134">
        <v>9</v>
      </c>
      <c r="B112" s="583" t="s">
        <v>568</v>
      </c>
      <c r="C112" s="363"/>
      <c r="D112" s="363"/>
      <c r="E112" s="363"/>
      <c r="F112" s="363"/>
      <c r="G112" s="363"/>
      <c r="H112" s="363"/>
      <c r="I112" s="528"/>
      <c r="J112"/>
      <c r="K112"/>
    </row>
    <row r="113" spans="1:11" x14ac:dyDescent="0.2">
      <c r="A113" s="134">
        <v>10</v>
      </c>
      <c r="B113" s="583" t="s">
        <v>891</v>
      </c>
      <c r="C113" s="363"/>
      <c r="D113" s="363"/>
      <c r="E113" s="363"/>
      <c r="F113" s="363"/>
      <c r="G113" s="363"/>
      <c r="H113" s="363"/>
      <c r="I113" s="528"/>
      <c r="J113"/>
      <c r="K113"/>
    </row>
    <row r="114" spans="1:11" x14ac:dyDescent="0.2">
      <c r="A114" s="134">
        <v>11</v>
      </c>
      <c r="B114" s="584" t="s">
        <v>497</v>
      </c>
      <c r="C114" s="363"/>
      <c r="D114" s="363"/>
      <c r="E114" s="363"/>
      <c r="F114" s="363"/>
      <c r="G114" s="363"/>
      <c r="H114" s="363"/>
      <c r="I114" s="528"/>
      <c r="J114"/>
      <c r="K114"/>
    </row>
    <row r="115" spans="1:11" x14ac:dyDescent="0.2">
      <c r="A115" s="134">
        <v>12</v>
      </c>
      <c r="B115" s="583" t="s">
        <v>489</v>
      </c>
      <c r="C115" s="363"/>
      <c r="D115" s="363"/>
      <c r="E115" s="363"/>
      <c r="F115" s="363"/>
      <c r="G115" s="363"/>
      <c r="H115" s="363"/>
      <c r="I115" s="528"/>
      <c r="J115"/>
      <c r="K115"/>
    </row>
    <row r="116" spans="1:11" x14ac:dyDescent="0.2">
      <c r="A116" s="134">
        <v>13</v>
      </c>
      <c r="B116" s="516" t="s">
        <v>889</v>
      </c>
      <c r="C116" s="363"/>
      <c r="D116" s="363"/>
      <c r="E116" s="363"/>
      <c r="F116" s="363"/>
      <c r="G116" s="363"/>
      <c r="H116" s="363"/>
      <c r="I116" s="528"/>
      <c r="J116"/>
      <c r="K116"/>
    </row>
    <row r="117" spans="1:11" x14ac:dyDescent="0.2">
      <c r="A117" s="134">
        <v>14</v>
      </c>
      <c r="B117" s="584" t="s">
        <v>895</v>
      </c>
      <c r="C117" s="528"/>
      <c r="D117" s="528"/>
      <c r="E117" s="528"/>
      <c r="F117" s="528"/>
      <c r="G117" s="528"/>
      <c r="H117" s="528"/>
      <c r="I117" s="528"/>
      <c r="J117"/>
      <c r="K117"/>
    </row>
    <row r="118" spans="1:11" x14ac:dyDescent="0.2">
      <c r="A118" s="134">
        <v>15</v>
      </c>
      <c r="B118" s="583" t="s">
        <v>830</v>
      </c>
      <c r="C118" s="528"/>
      <c r="D118" s="528"/>
      <c r="E118" s="528"/>
      <c r="F118" s="528"/>
      <c r="G118" s="528"/>
      <c r="H118" s="528"/>
      <c r="I118" s="528"/>
      <c r="J118"/>
      <c r="K118"/>
    </row>
    <row r="119" spans="1:11" x14ac:dyDescent="0.2">
      <c r="A119" s="609">
        <v>16</v>
      </c>
      <c r="B119" s="27" t="s">
        <v>378</v>
      </c>
      <c r="C119"/>
      <c r="D119"/>
      <c r="E119"/>
      <c r="F119"/>
      <c r="G119"/>
      <c r="H119"/>
      <c r="I119"/>
      <c r="J119"/>
      <c r="K119"/>
    </row>
    <row r="120" spans="1:11" x14ac:dyDescent="0.2">
      <c r="A120"/>
      <c r="B120"/>
      <c r="C120"/>
      <c r="D120"/>
      <c r="E120"/>
      <c r="F120"/>
      <c r="G120"/>
      <c r="H120"/>
      <c r="I120"/>
      <c r="J120"/>
      <c r="K120"/>
    </row>
  </sheetData>
  <conditionalFormatting sqref="C7:F10 C13:F16 C19:F22 C25:F28">
    <cfRule type="cellIs" dxfId="189" priority="4" stopIfTrue="1" operator="equal">
      <formula>13</formula>
    </cfRule>
  </conditionalFormatting>
  <conditionalFormatting sqref="C32:I99">
    <cfRule type="cellIs" dxfId="188" priority="1" stopIfTrue="1"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3" manualBreakCount="3">
    <brk id="28" max="16383" man="1"/>
    <brk id="65" max="16383" man="1"/>
    <brk id="10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L256"/>
  <sheetViews>
    <sheetView showGridLines="0" showRowColHeaders="0" zoomScaleNormal="100" workbookViewId="0">
      <pane ySplit="2" topLeftCell="A3" activePane="bottomLeft" state="frozen"/>
      <selection activeCell="J1" sqref="J1"/>
      <selection pane="bottomLeft" activeCell="K1" sqref="K1"/>
    </sheetView>
  </sheetViews>
  <sheetFormatPr defaultRowHeight="12.75" x14ac:dyDescent="0.2"/>
  <cols>
    <col min="1" max="1" width="11" style="528" customWidth="1"/>
    <col min="2" max="6" width="9.140625" style="528" customWidth="1"/>
    <col min="7" max="7" width="8.7109375" style="528" bestFit="1" customWidth="1"/>
    <col min="8" max="8" width="9.140625" style="528" customWidth="1"/>
    <col min="9" max="9" width="9.140625" style="528"/>
    <col min="10" max="10" width="9.140625" style="528" customWidth="1"/>
    <col min="11" max="11" width="9.140625" style="528"/>
    <col min="12" max="12" width="9.7109375" style="528" customWidth="1"/>
    <col min="13" max="16384" width="9.140625" style="528"/>
  </cols>
  <sheetData>
    <row r="1" spans="1:12" x14ac:dyDescent="0.2">
      <c r="A1" s="314" t="str">
        <f>UPPER(((Kalend!C34)&amp;" - "&amp;(Kalend!D34)))</f>
        <v>13. KLUBIDE KARIKAS (ALAGRUPID) - TRIO, DUO, SEGATRIO, SEGADUO</v>
      </c>
      <c r="I1" s="204" t="str">
        <f>HYPERLINK("#Üldreiting!I1","Reiting")</f>
        <v>Reiting</v>
      </c>
    </row>
    <row r="2" spans="1:12" x14ac:dyDescent="0.2">
      <c r="A2" s="309" t="str">
        <f>"Toimumisaeg: "&amp;(Kalend!A34)&amp;" kell "&amp;(Kalend!B34)</f>
        <v>Toimumisaeg: L, 27.08.2016 kell 10:30</v>
      </c>
    </row>
    <row r="3" spans="1:12" x14ac:dyDescent="0.2">
      <c r="A3" s="309" t="str">
        <f>"Toimumiskoht: "&amp;(Kalend!H34)</f>
        <v>Toimumiskoht: Saku, Teaduse 2</v>
      </c>
    </row>
    <row r="4" spans="1:12" x14ac:dyDescent="0.2">
      <c r="A4" s="309" t="str">
        <f>"Korraldaja: "&amp;(Kalend!I34)</f>
        <v>Korraldaja: EPKL</v>
      </c>
    </row>
    <row r="5" spans="1:12" x14ac:dyDescent="0.2">
      <c r="A5" s="309"/>
    </row>
    <row r="6" spans="1:12" x14ac:dyDescent="0.2">
      <c r="A6" s="741" t="s">
        <v>990</v>
      </c>
      <c r="B6" s="724"/>
      <c r="C6" s="725"/>
      <c r="D6" s="678">
        <v>1</v>
      </c>
      <c r="E6" s="678">
        <v>2</v>
      </c>
      <c r="F6" s="678">
        <v>3</v>
      </c>
      <c r="G6" s="678" t="s">
        <v>366</v>
      </c>
      <c r="H6" s="678" t="s">
        <v>28</v>
      </c>
    </row>
    <row r="7" spans="1:12" x14ac:dyDescent="0.2">
      <c r="A7" s="677">
        <v>1</v>
      </c>
      <c r="B7" s="785" t="s">
        <v>669</v>
      </c>
      <c r="C7" s="786"/>
      <c r="D7" s="679"/>
      <c r="E7" s="680">
        <v>2</v>
      </c>
      <c r="F7" s="678">
        <v>5</v>
      </c>
      <c r="G7" s="674" t="s">
        <v>368</v>
      </c>
      <c r="H7" s="401" t="s">
        <v>337</v>
      </c>
      <c r="I7" s="712" t="s">
        <v>371</v>
      </c>
    </row>
    <row r="8" spans="1:12" x14ac:dyDescent="0.2">
      <c r="A8" s="677">
        <v>2</v>
      </c>
      <c r="B8" s="787" t="s">
        <v>1008</v>
      </c>
      <c r="C8" s="788"/>
      <c r="D8" s="678">
        <v>3</v>
      </c>
      <c r="E8" s="679"/>
      <c r="F8" s="680">
        <v>2</v>
      </c>
      <c r="G8" s="674" t="s">
        <v>368</v>
      </c>
      <c r="H8" s="401" t="s">
        <v>336</v>
      </c>
      <c r="I8" s="273">
        <v>0</v>
      </c>
    </row>
    <row r="9" spans="1:12" x14ac:dyDescent="0.2">
      <c r="A9" s="677">
        <v>3</v>
      </c>
      <c r="B9" s="789" t="s">
        <v>1005</v>
      </c>
      <c r="C9" s="790"/>
      <c r="D9" s="680">
        <v>0</v>
      </c>
      <c r="E9" s="694">
        <v>3</v>
      </c>
      <c r="F9" s="679"/>
      <c r="G9" s="674" t="s">
        <v>368</v>
      </c>
      <c r="H9" s="681" t="s">
        <v>338</v>
      </c>
      <c r="I9" s="712" t="s">
        <v>973</v>
      </c>
    </row>
    <row r="10" spans="1:12" s="700" customFormat="1" x14ac:dyDescent="0.2">
      <c r="A10" s="695"/>
      <c r="B10" s="693" t="s">
        <v>641</v>
      </c>
      <c r="C10" s="693"/>
      <c r="D10" s="686" t="s">
        <v>937</v>
      </c>
      <c r="E10" s="698"/>
      <c r="F10" s="697"/>
      <c r="G10" s="699"/>
      <c r="H10" s="698"/>
    </row>
    <row r="11" spans="1:12" s="700" customFormat="1" x14ac:dyDescent="0.2">
      <c r="A11" s="695"/>
      <c r="B11" s="693" t="s">
        <v>642</v>
      </c>
      <c r="C11" s="693"/>
      <c r="D11" s="686" t="s">
        <v>921</v>
      </c>
      <c r="E11" s="698"/>
      <c r="F11" s="697"/>
      <c r="G11" s="699"/>
      <c r="H11" s="698"/>
    </row>
    <row r="12" spans="1:12" s="700" customFormat="1" x14ac:dyDescent="0.2">
      <c r="A12" s="695"/>
      <c r="B12" s="693" t="s">
        <v>643</v>
      </c>
      <c r="C12" s="693"/>
      <c r="D12" s="686" t="s">
        <v>939</v>
      </c>
      <c r="E12" s="698"/>
      <c r="F12" s="697"/>
      <c r="G12" s="699"/>
      <c r="H12" s="698"/>
    </row>
    <row r="13" spans="1:12" s="700" customFormat="1" x14ac:dyDescent="0.2">
      <c r="A13" s="695"/>
      <c r="B13" s="696"/>
      <c r="C13" s="696"/>
      <c r="D13" s="696"/>
      <c r="E13" s="696"/>
      <c r="F13" s="696"/>
      <c r="G13" s="697"/>
      <c r="H13" s="698"/>
      <c r="I13" s="697"/>
      <c r="J13" s="699"/>
      <c r="K13" s="698"/>
    </row>
    <row r="14" spans="1:12" x14ac:dyDescent="0.2">
      <c r="A14" s="742" t="s">
        <v>937</v>
      </c>
      <c r="B14" s="708"/>
      <c r="C14" s="721"/>
      <c r="D14" s="721" t="s">
        <v>1008</v>
      </c>
      <c r="E14" s="721"/>
      <c r="F14" s="727"/>
      <c r="G14" s="669" t="s">
        <v>908</v>
      </c>
      <c r="H14" s="713"/>
      <c r="I14" s="714"/>
      <c r="J14" s="715" t="s">
        <v>1005</v>
      </c>
      <c r="K14" s="714"/>
      <c r="L14" s="716"/>
    </row>
    <row r="15" spans="1:12" x14ac:dyDescent="0.2">
      <c r="A15" s="670" t="s">
        <v>905</v>
      </c>
      <c r="B15" s="778" t="s">
        <v>1011</v>
      </c>
      <c r="C15" s="722"/>
      <c r="D15" s="722"/>
      <c r="E15" s="722"/>
      <c r="F15" s="728"/>
      <c r="G15" s="672" t="s">
        <v>962</v>
      </c>
      <c r="H15" s="779" t="s">
        <v>1012</v>
      </c>
      <c r="I15" s="714"/>
      <c r="J15" s="714"/>
      <c r="K15" s="714"/>
      <c r="L15" s="716"/>
    </row>
    <row r="16" spans="1:12" x14ac:dyDescent="0.2">
      <c r="A16" s="670" t="s">
        <v>904</v>
      </c>
      <c r="B16" s="732" t="s">
        <v>974</v>
      </c>
      <c r="C16" s="722"/>
      <c r="D16" s="722"/>
      <c r="E16" s="722"/>
      <c r="F16" s="728"/>
      <c r="G16" s="672" t="s">
        <v>915</v>
      </c>
      <c r="H16" s="717" t="s">
        <v>545</v>
      </c>
      <c r="I16" s="714"/>
      <c r="J16" s="714"/>
      <c r="K16" s="714"/>
      <c r="L16" s="716"/>
    </row>
    <row r="17" spans="1:12" x14ac:dyDescent="0.2">
      <c r="A17" s="670" t="s">
        <v>906</v>
      </c>
      <c r="B17" s="778" t="s">
        <v>1013</v>
      </c>
      <c r="C17" s="722"/>
      <c r="D17" s="722"/>
      <c r="E17" s="722"/>
      <c r="F17" s="728"/>
      <c r="G17" s="672" t="s">
        <v>966</v>
      </c>
      <c r="H17" s="779" t="s">
        <v>1014</v>
      </c>
      <c r="I17" s="714"/>
      <c r="J17" s="714"/>
      <c r="K17" s="714"/>
      <c r="L17" s="716"/>
    </row>
    <row r="18" spans="1:12" x14ac:dyDescent="0.2">
      <c r="A18" s="671" t="s">
        <v>907</v>
      </c>
      <c r="B18" s="732" t="s">
        <v>975</v>
      </c>
      <c r="C18" s="722"/>
      <c r="D18" s="722"/>
      <c r="E18" s="722"/>
      <c r="F18" s="728"/>
      <c r="G18" s="672" t="s">
        <v>977</v>
      </c>
      <c r="H18" s="717" t="s">
        <v>568</v>
      </c>
      <c r="I18" s="714"/>
      <c r="J18" s="714"/>
      <c r="K18" s="714"/>
      <c r="L18" s="716"/>
    </row>
    <row r="19" spans="1:12" x14ac:dyDescent="0.2">
      <c r="A19" s="671" t="s">
        <v>907</v>
      </c>
      <c r="B19" s="732" t="s">
        <v>976</v>
      </c>
      <c r="C19" s="722"/>
      <c r="D19" s="722"/>
      <c r="E19" s="722"/>
      <c r="F19" s="728"/>
      <c r="G19" s="672" t="s">
        <v>956</v>
      </c>
      <c r="H19" s="717" t="s">
        <v>379</v>
      </c>
      <c r="I19" s="714"/>
      <c r="J19" s="714"/>
      <c r="K19" s="714"/>
      <c r="L19" s="716"/>
    </row>
    <row r="20" spans="1:12" x14ac:dyDescent="0.2">
      <c r="C20" s="673"/>
      <c r="D20" s="673"/>
      <c r="E20" s="673"/>
      <c r="F20" s="673" t="s">
        <v>911</v>
      </c>
      <c r="G20" s="672" t="s">
        <v>978</v>
      </c>
      <c r="H20" s="687"/>
    </row>
    <row r="21" spans="1:12" x14ac:dyDescent="0.2">
      <c r="C21" s="542"/>
      <c r="D21" s="542"/>
      <c r="E21" s="542"/>
      <c r="F21" s="542" t="s">
        <v>910</v>
      </c>
      <c r="G21" s="672" t="s">
        <v>933</v>
      </c>
    </row>
    <row r="22" spans="1:12" x14ac:dyDescent="0.2">
      <c r="C22" s="542"/>
      <c r="D22" s="542"/>
      <c r="E22" s="542"/>
      <c r="F22" s="542" t="s">
        <v>909</v>
      </c>
      <c r="G22" s="672" t="s">
        <v>971</v>
      </c>
    </row>
    <row r="24" spans="1:12" x14ac:dyDescent="0.2">
      <c r="A24" s="742" t="s">
        <v>921</v>
      </c>
      <c r="B24" s="688"/>
      <c r="C24" s="665"/>
      <c r="D24" s="665" t="s">
        <v>669</v>
      </c>
      <c r="E24" s="665"/>
      <c r="F24" s="666"/>
      <c r="G24" s="669" t="s">
        <v>908</v>
      </c>
      <c r="H24" s="713"/>
      <c r="I24" s="714"/>
      <c r="J24" s="715" t="s">
        <v>1005</v>
      </c>
      <c r="K24" s="714"/>
      <c r="L24" s="716"/>
    </row>
    <row r="25" spans="1:12" x14ac:dyDescent="0.2">
      <c r="A25" s="670" t="s">
        <v>905</v>
      </c>
      <c r="B25" s="780" t="s">
        <v>1015</v>
      </c>
      <c r="C25" s="718"/>
      <c r="D25" s="718"/>
      <c r="E25" s="718"/>
      <c r="F25" s="723"/>
      <c r="G25" s="672" t="s">
        <v>957</v>
      </c>
      <c r="H25" s="779" t="s">
        <v>1012</v>
      </c>
      <c r="I25" s="714"/>
      <c r="J25" s="714"/>
      <c r="K25" s="714"/>
      <c r="L25" s="716"/>
    </row>
    <row r="26" spans="1:12" x14ac:dyDescent="0.2">
      <c r="A26" s="670" t="s">
        <v>904</v>
      </c>
      <c r="B26" s="689" t="s">
        <v>979</v>
      </c>
      <c r="C26" s="718"/>
      <c r="D26" s="718"/>
      <c r="E26" s="718"/>
      <c r="F26" s="723"/>
      <c r="G26" s="672" t="s">
        <v>982</v>
      </c>
      <c r="H26" s="717" t="s">
        <v>545</v>
      </c>
      <c r="I26" s="714"/>
      <c r="J26" s="714"/>
      <c r="K26" s="714"/>
      <c r="L26" s="716"/>
    </row>
    <row r="27" spans="1:12" x14ac:dyDescent="0.2">
      <c r="A27" s="670" t="s">
        <v>906</v>
      </c>
      <c r="B27" s="780" t="s">
        <v>1016</v>
      </c>
      <c r="C27" s="718"/>
      <c r="D27" s="718"/>
      <c r="E27" s="718"/>
      <c r="F27" s="723"/>
      <c r="G27" s="672" t="s">
        <v>983</v>
      </c>
      <c r="H27" s="779" t="s">
        <v>1014</v>
      </c>
      <c r="I27" s="714"/>
      <c r="J27" s="714"/>
      <c r="K27" s="714"/>
      <c r="L27" s="716"/>
    </row>
    <row r="28" spans="1:12" x14ac:dyDescent="0.2">
      <c r="A28" s="671" t="s">
        <v>907</v>
      </c>
      <c r="B28" s="689" t="s">
        <v>980</v>
      </c>
      <c r="C28" s="718"/>
      <c r="D28" s="718"/>
      <c r="E28" s="718"/>
      <c r="F28" s="723"/>
      <c r="G28" s="672" t="s">
        <v>916</v>
      </c>
      <c r="H28" s="717" t="s">
        <v>568</v>
      </c>
      <c r="I28" s="714"/>
      <c r="J28" s="714"/>
      <c r="K28" s="714"/>
      <c r="L28" s="716"/>
    </row>
    <row r="29" spans="1:12" x14ac:dyDescent="0.2">
      <c r="A29" s="671" t="s">
        <v>907</v>
      </c>
      <c r="B29" s="689" t="s">
        <v>981</v>
      </c>
      <c r="C29" s="718"/>
      <c r="D29" s="718"/>
      <c r="E29" s="718"/>
      <c r="F29" s="723"/>
      <c r="G29" s="672" t="s">
        <v>982</v>
      </c>
      <c r="H29" s="717" t="s">
        <v>379</v>
      </c>
      <c r="I29" s="714"/>
      <c r="J29" s="714"/>
      <c r="K29" s="714"/>
      <c r="L29" s="716"/>
    </row>
    <row r="30" spans="1:12" x14ac:dyDescent="0.2">
      <c r="C30" s="673"/>
      <c r="D30" s="673"/>
      <c r="E30" s="673"/>
      <c r="F30" s="673" t="s">
        <v>911</v>
      </c>
      <c r="G30" s="672" t="s">
        <v>984</v>
      </c>
      <c r="H30" s="664"/>
    </row>
    <row r="31" spans="1:12" x14ac:dyDescent="0.2">
      <c r="C31" s="542"/>
      <c r="D31" s="542"/>
      <c r="E31" s="542"/>
      <c r="F31" s="542" t="s">
        <v>910</v>
      </c>
      <c r="G31" s="672" t="s">
        <v>950</v>
      </c>
    </row>
    <row r="32" spans="1:12" x14ac:dyDescent="0.2">
      <c r="C32" s="542"/>
      <c r="D32" s="542"/>
      <c r="E32" s="542"/>
      <c r="F32" s="542" t="s">
        <v>909</v>
      </c>
      <c r="G32" s="672" t="s">
        <v>972</v>
      </c>
    </row>
    <row r="34" spans="1:12" x14ac:dyDescent="0.2">
      <c r="A34" s="742" t="s">
        <v>939</v>
      </c>
      <c r="B34" s="688"/>
      <c r="C34" s="665"/>
      <c r="D34" s="665" t="s">
        <v>669</v>
      </c>
      <c r="E34" s="665"/>
      <c r="F34" s="666"/>
      <c r="G34" s="669" t="s">
        <v>908</v>
      </c>
      <c r="H34" s="708"/>
      <c r="I34" s="709"/>
      <c r="J34" s="710" t="s">
        <v>1008</v>
      </c>
      <c r="K34" s="709"/>
      <c r="L34" s="711"/>
    </row>
    <row r="35" spans="1:12" x14ac:dyDescent="0.2">
      <c r="A35" s="670" t="s">
        <v>905</v>
      </c>
      <c r="B35" s="780" t="s">
        <v>1017</v>
      </c>
      <c r="C35" s="718"/>
      <c r="D35" s="718"/>
      <c r="E35" s="718"/>
      <c r="F35" s="723"/>
      <c r="G35" s="672" t="s">
        <v>983</v>
      </c>
      <c r="H35" s="778" t="s">
        <v>1018</v>
      </c>
      <c r="I35" s="709"/>
      <c r="J35" s="709"/>
      <c r="K35" s="709"/>
      <c r="L35" s="711"/>
    </row>
    <row r="36" spans="1:12" x14ac:dyDescent="0.2">
      <c r="A36" s="670" t="s">
        <v>904</v>
      </c>
      <c r="B36" s="689" t="s">
        <v>979</v>
      </c>
      <c r="C36" s="718"/>
      <c r="D36" s="718"/>
      <c r="E36" s="718"/>
      <c r="F36" s="723"/>
      <c r="G36" s="672" t="s">
        <v>931</v>
      </c>
      <c r="H36" s="732" t="s">
        <v>986</v>
      </c>
      <c r="I36" s="709"/>
      <c r="J36" s="709"/>
      <c r="K36" s="709"/>
      <c r="L36" s="711"/>
    </row>
    <row r="37" spans="1:12" x14ac:dyDescent="0.2">
      <c r="A37" s="670" t="s">
        <v>906</v>
      </c>
      <c r="B37" s="780" t="s">
        <v>1016</v>
      </c>
      <c r="C37" s="718"/>
      <c r="D37" s="718"/>
      <c r="E37" s="718"/>
      <c r="F37" s="723"/>
      <c r="G37" s="672" t="s">
        <v>982</v>
      </c>
      <c r="H37" s="778" t="s">
        <v>1019</v>
      </c>
      <c r="I37" s="709"/>
      <c r="J37" s="709"/>
      <c r="K37" s="709"/>
      <c r="L37" s="711"/>
    </row>
    <row r="38" spans="1:12" x14ac:dyDescent="0.2">
      <c r="A38" s="671" t="s">
        <v>907</v>
      </c>
      <c r="B38" s="689" t="s">
        <v>980</v>
      </c>
      <c r="C38" s="718"/>
      <c r="D38" s="718"/>
      <c r="E38" s="718"/>
      <c r="F38" s="723"/>
      <c r="G38" s="672" t="s">
        <v>915</v>
      </c>
      <c r="H38" s="732" t="s">
        <v>987</v>
      </c>
      <c r="I38" s="709"/>
      <c r="J38" s="709"/>
      <c r="K38" s="709"/>
      <c r="L38" s="711"/>
    </row>
    <row r="39" spans="1:12" x14ac:dyDescent="0.2">
      <c r="A39" s="671" t="s">
        <v>907</v>
      </c>
      <c r="B39" s="689" t="s">
        <v>985</v>
      </c>
      <c r="C39" s="718"/>
      <c r="D39" s="718"/>
      <c r="E39" s="718"/>
      <c r="F39" s="723"/>
      <c r="G39" s="672" t="s">
        <v>955</v>
      </c>
      <c r="H39" s="732" t="s">
        <v>486</v>
      </c>
      <c r="I39" s="709"/>
      <c r="J39" s="709"/>
      <c r="K39" s="709"/>
      <c r="L39" s="711"/>
    </row>
    <row r="40" spans="1:12" x14ac:dyDescent="0.2">
      <c r="C40" s="673"/>
      <c r="D40" s="673"/>
      <c r="E40" s="673"/>
      <c r="F40" s="673" t="s">
        <v>911</v>
      </c>
      <c r="G40" s="672" t="s">
        <v>988</v>
      </c>
      <c r="H40" s="664"/>
    </row>
    <row r="41" spans="1:12" x14ac:dyDescent="0.2">
      <c r="C41" s="542"/>
      <c r="D41" s="542"/>
      <c r="E41" s="542"/>
      <c r="F41" s="542" t="s">
        <v>910</v>
      </c>
      <c r="G41" s="672" t="s">
        <v>933</v>
      </c>
    </row>
    <row r="42" spans="1:12" x14ac:dyDescent="0.2">
      <c r="C42" s="542"/>
      <c r="D42" s="542"/>
      <c r="E42" s="542"/>
      <c r="F42" s="542" t="s">
        <v>909</v>
      </c>
      <c r="G42" s="672" t="s">
        <v>971</v>
      </c>
    </row>
    <row r="43" spans="1:12" s="700" customFormat="1" x14ac:dyDescent="0.2">
      <c r="A43" s="695"/>
      <c r="B43" s="696"/>
      <c r="C43" s="696"/>
      <c r="D43" s="696"/>
      <c r="E43" s="696"/>
      <c r="F43" s="696"/>
      <c r="G43" s="697"/>
      <c r="H43" s="698"/>
      <c r="I43" s="697"/>
      <c r="J43" s="699"/>
      <c r="K43" s="698"/>
    </row>
    <row r="44" spans="1:12" x14ac:dyDescent="0.2">
      <c r="A44" s="741" t="s">
        <v>991</v>
      </c>
      <c r="B44" s="724"/>
      <c r="C44" s="725"/>
      <c r="D44" s="678">
        <v>1</v>
      </c>
      <c r="E44" s="678">
        <v>2</v>
      </c>
      <c r="F44" s="678">
        <v>3</v>
      </c>
      <c r="G44" s="678">
        <v>4</v>
      </c>
      <c r="H44" s="678" t="s">
        <v>366</v>
      </c>
      <c r="I44" s="678" t="s">
        <v>28</v>
      </c>
    </row>
    <row r="45" spans="1:12" x14ac:dyDescent="0.2">
      <c r="A45" s="677">
        <v>1</v>
      </c>
      <c r="B45" s="791" t="s">
        <v>1006</v>
      </c>
      <c r="C45" s="792"/>
      <c r="D45" s="679"/>
      <c r="E45" s="678">
        <v>4</v>
      </c>
      <c r="F45" s="678">
        <v>5</v>
      </c>
      <c r="G45" s="678">
        <v>3</v>
      </c>
      <c r="H45" s="674" t="s">
        <v>919</v>
      </c>
      <c r="I45" s="401" t="s">
        <v>337</v>
      </c>
    </row>
    <row r="46" spans="1:12" x14ac:dyDescent="0.2">
      <c r="A46" s="677">
        <v>2</v>
      </c>
      <c r="B46" s="749" t="s">
        <v>934</v>
      </c>
      <c r="C46" s="726"/>
      <c r="D46" s="680">
        <v>1</v>
      </c>
      <c r="E46" s="679"/>
      <c r="F46" s="680">
        <v>2</v>
      </c>
      <c r="G46" s="680">
        <v>1</v>
      </c>
      <c r="H46" s="674" t="s">
        <v>922</v>
      </c>
      <c r="I46" s="401" t="s">
        <v>398</v>
      </c>
    </row>
    <row r="47" spans="1:12" x14ac:dyDescent="0.2">
      <c r="A47" s="677">
        <v>3</v>
      </c>
      <c r="B47" s="795" t="s">
        <v>1007</v>
      </c>
      <c r="C47" s="796"/>
      <c r="D47" s="680">
        <v>0</v>
      </c>
      <c r="E47" s="694">
        <v>3</v>
      </c>
      <c r="F47" s="679"/>
      <c r="G47" s="401" t="s">
        <v>946</v>
      </c>
      <c r="H47" s="674" t="s">
        <v>939</v>
      </c>
      <c r="I47" s="681" t="s">
        <v>338</v>
      </c>
    </row>
    <row r="48" spans="1:12" x14ac:dyDescent="0.2">
      <c r="A48" s="677">
        <v>4</v>
      </c>
      <c r="B48" s="793" t="s">
        <v>935</v>
      </c>
      <c r="C48" s="794"/>
      <c r="D48" s="680">
        <v>2</v>
      </c>
      <c r="E48" s="678">
        <v>4</v>
      </c>
      <c r="F48" s="701" t="s">
        <v>945</v>
      </c>
      <c r="G48" s="679"/>
      <c r="H48" s="674" t="s">
        <v>920</v>
      </c>
      <c r="I48" s="401" t="s">
        <v>336</v>
      </c>
    </row>
    <row r="50" spans="1:12" x14ac:dyDescent="0.2">
      <c r="B50" s="693" t="s">
        <v>641</v>
      </c>
      <c r="C50" s="693"/>
      <c r="D50" s="686" t="s">
        <v>936</v>
      </c>
      <c r="E50" s="686" t="s">
        <v>937</v>
      </c>
    </row>
    <row r="51" spans="1:12" x14ac:dyDescent="0.2">
      <c r="B51" s="693" t="s">
        <v>642</v>
      </c>
      <c r="C51" s="693"/>
      <c r="D51" s="686" t="s">
        <v>921</v>
      </c>
      <c r="E51" s="686" t="s">
        <v>938</v>
      </c>
    </row>
    <row r="52" spans="1:12" x14ac:dyDescent="0.2">
      <c r="B52" s="693" t="s">
        <v>643</v>
      </c>
      <c r="C52" s="693"/>
      <c r="D52" s="686" t="s">
        <v>939</v>
      </c>
      <c r="E52" s="686" t="s">
        <v>940</v>
      </c>
    </row>
    <row r="54" spans="1:12" x14ac:dyDescent="0.2">
      <c r="A54" s="742" t="s">
        <v>936</v>
      </c>
      <c r="B54" s="713"/>
      <c r="C54" s="667"/>
      <c r="D54" s="667" t="s">
        <v>1006</v>
      </c>
      <c r="E54" s="667"/>
      <c r="F54" s="729"/>
      <c r="G54" s="669" t="s">
        <v>908</v>
      </c>
      <c r="H54" s="703"/>
      <c r="I54" s="704"/>
      <c r="J54" s="705" t="s">
        <v>935</v>
      </c>
      <c r="K54" s="704"/>
      <c r="L54" s="706"/>
    </row>
    <row r="55" spans="1:12" x14ac:dyDescent="0.2">
      <c r="A55" s="670" t="s">
        <v>905</v>
      </c>
      <c r="B55" s="779" t="s">
        <v>1021</v>
      </c>
      <c r="C55" s="719"/>
      <c r="D55" s="719"/>
      <c r="E55" s="719"/>
      <c r="F55" s="730"/>
      <c r="G55" s="672" t="s">
        <v>913</v>
      </c>
      <c r="H55" s="781" t="s">
        <v>1020</v>
      </c>
      <c r="I55" s="704"/>
      <c r="J55" s="704"/>
      <c r="K55" s="704"/>
      <c r="L55" s="706"/>
    </row>
    <row r="56" spans="1:12" x14ac:dyDescent="0.2">
      <c r="A56" s="670" t="s">
        <v>904</v>
      </c>
      <c r="B56" s="717" t="s">
        <v>923</v>
      </c>
      <c r="C56" s="719"/>
      <c r="D56" s="719"/>
      <c r="E56" s="719"/>
      <c r="F56" s="730"/>
      <c r="G56" s="672" t="s">
        <v>915</v>
      </c>
      <c r="H56" s="707" t="s">
        <v>924</v>
      </c>
      <c r="I56" s="704"/>
      <c r="J56" s="704"/>
      <c r="K56" s="704"/>
      <c r="L56" s="706"/>
    </row>
    <row r="57" spans="1:12" x14ac:dyDescent="0.2">
      <c r="A57" s="670" t="s">
        <v>906</v>
      </c>
      <c r="B57" s="779" t="s">
        <v>1022</v>
      </c>
      <c r="C57" s="719"/>
      <c r="D57" s="719"/>
      <c r="E57" s="719"/>
      <c r="F57" s="730"/>
      <c r="G57" s="672" t="s">
        <v>916</v>
      </c>
      <c r="H57" s="781" t="s">
        <v>1023</v>
      </c>
      <c r="I57" s="704"/>
      <c r="J57" s="704"/>
      <c r="K57" s="704"/>
      <c r="L57" s="706"/>
    </row>
    <row r="58" spans="1:12" x14ac:dyDescent="0.2">
      <c r="A58" s="671" t="s">
        <v>907</v>
      </c>
      <c r="B58" s="717" t="s">
        <v>893</v>
      </c>
      <c r="C58" s="719"/>
      <c r="D58" s="719"/>
      <c r="E58" s="719"/>
      <c r="F58" s="730"/>
      <c r="G58" s="672" t="s">
        <v>917</v>
      </c>
      <c r="H58" s="707" t="s">
        <v>925</v>
      </c>
      <c r="I58" s="704"/>
      <c r="J58" s="704"/>
      <c r="K58" s="704"/>
      <c r="L58" s="706"/>
    </row>
    <row r="59" spans="1:12" x14ac:dyDescent="0.2">
      <c r="A59" s="671" t="s">
        <v>907</v>
      </c>
      <c r="B59" s="717" t="s">
        <v>890</v>
      </c>
      <c r="C59" s="719"/>
      <c r="D59" s="719"/>
      <c r="E59" s="719"/>
      <c r="F59" s="730"/>
      <c r="G59" s="672" t="s">
        <v>918</v>
      </c>
      <c r="H59" s="707" t="s">
        <v>926</v>
      </c>
      <c r="I59" s="704"/>
      <c r="J59" s="704"/>
      <c r="K59" s="704"/>
      <c r="L59" s="706"/>
    </row>
    <row r="60" spans="1:12" x14ac:dyDescent="0.2">
      <c r="C60" s="673"/>
      <c r="D60" s="673"/>
      <c r="E60" s="673"/>
      <c r="F60" s="673" t="s">
        <v>911</v>
      </c>
      <c r="G60" s="672" t="s">
        <v>968</v>
      </c>
      <c r="H60" s="687"/>
    </row>
    <row r="61" spans="1:12" x14ac:dyDescent="0.2">
      <c r="C61" s="542"/>
      <c r="D61" s="542"/>
      <c r="E61" s="542"/>
      <c r="F61" s="542" t="s">
        <v>910</v>
      </c>
      <c r="G61" s="672" t="s">
        <v>912</v>
      </c>
    </row>
    <row r="62" spans="1:12" x14ac:dyDescent="0.2">
      <c r="C62" s="542"/>
      <c r="D62" s="542"/>
      <c r="E62" s="542"/>
      <c r="F62" s="542" t="s">
        <v>909</v>
      </c>
      <c r="G62" s="672" t="s">
        <v>972</v>
      </c>
    </row>
    <row r="64" spans="1:12" x14ac:dyDescent="0.2">
      <c r="A64" s="742" t="s">
        <v>937</v>
      </c>
      <c r="B64" s="675"/>
      <c r="C64" s="668"/>
      <c r="D64" s="668" t="s">
        <v>934</v>
      </c>
      <c r="E64" s="668"/>
      <c r="F64" s="676"/>
      <c r="G64" s="669" t="s">
        <v>908</v>
      </c>
      <c r="H64" s="752"/>
      <c r="I64" s="758"/>
      <c r="J64" s="759" t="s">
        <v>1007</v>
      </c>
      <c r="K64" s="758"/>
      <c r="L64" s="760"/>
    </row>
    <row r="65" spans="1:12" x14ac:dyDescent="0.2">
      <c r="A65" s="670" t="s">
        <v>905</v>
      </c>
      <c r="B65" s="782" t="s">
        <v>1024</v>
      </c>
      <c r="C65" s="720"/>
      <c r="D65" s="720"/>
      <c r="E65" s="720"/>
      <c r="F65" s="731"/>
      <c r="G65" s="672" t="s">
        <v>913</v>
      </c>
      <c r="H65" s="783" t="s">
        <v>1025</v>
      </c>
      <c r="I65" s="758"/>
      <c r="J65" s="758"/>
      <c r="K65" s="758"/>
      <c r="L65" s="760"/>
    </row>
    <row r="66" spans="1:12" x14ac:dyDescent="0.2">
      <c r="A66" s="670" t="s">
        <v>904</v>
      </c>
      <c r="B66" s="692" t="s">
        <v>927</v>
      </c>
      <c r="C66" s="720"/>
      <c r="D66" s="720"/>
      <c r="E66" s="720"/>
      <c r="F66" s="731"/>
      <c r="G66" s="672" t="s">
        <v>930</v>
      </c>
      <c r="H66" s="755" t="s">
        <v>349</v>
      </c>
      <c r="I66" s="758"/>
      <c r="J66" s="758"/>
      <c r="K66" s="758"/>
      <c r="L66" s="760"/>
    </row>
    <row r="67" spans="1:12" x14ac:dyDescent="0.2">
      <c r="A67" s="670" t="s">
        <v>906</v>
      </c>
      <c r="B67" s="782" t="s">
        <v>1026</v>
      </c>
      <c r="C67" s="720"/>
      <c r="D67" s="720"/>
      <c r="E67" s="720"/>
      <c r="F67" s="731"/>
      <c r="G67" s="672" t="s">
        <v>931</v>
      </c>
      <c r="H67" s="783" t="s">
        <v>1027</v>
      </c>
      <c r="I67" s="758"/>
      <c r="J67" s="758"/>
      <c r="K67" s="758"/>
      <c r="L67" s="760"/>
    </row>
    <row r="68" spans="1:12" x14ac:dyDescent="0.2">
      <c r="A68" s="671" t="s">
        <v>907</v>
      </c>
      <c r="B68" s="692" t="s">
        <v>929</v>
      </c>
      <c r="C68" s="720"/>
      <c r="D68" s="720"/>
      <c r="E68" s="720"/>
      <c r="F68" s="731"/>
      <c r="G68" s="672" t="s">
        <v>916</v>
      </c>
      <c r="H68" s="755" t="s">
        <v>380</v>
      </c>
      <c r="I68" s="758"/>
      <c r="J68" s="758"/>
      <c r="K68" s="758"/>
      <c r="L68" s="760"/>
    </row>
    <row r="69" spans="1:12" x14ac:dyDescent="0.2">
      <c r="A69" s="671" t="s">
        <v>907</v>
      </c>
      <c r="B69" s="692" t="s">
        <v>928</v>
      </c>
      <c r="C69" s="720"/>
      <c r="D69" s="720"/>
      <c r="E69" s="720"/>
      <c r="F69" s="731"/>
      <c r="G69" s="672" t="s">
        <v>913</v>
      </c>
      <c r="H69" s="783" t="s">
        <v>1028</v>
      </c>
      <c r="I69" s="758"/>
      <c r="J69" s="758"/>
      <c r="K69" s="758"/>
      <c r="L69" s="760"/>
    </row>
    <row r="70" spans="1:12" x14ac:dyDescent="0.2">
      <c r="C70" s="673"/>
      <c r="D70" s="673"/>
      <c r="E70" s="673"/>
      <c r="F70" s="673" t="s">
        <v>911</v>
      </c>
      <c r="G70" s="672" t="s">
        <v>932</v>
      </c>
      <c r="H70" s="664"/>
    </row>
    <row r="71" spans="1:12" x14ac:dyDescent="0.2">
      <c r="C71" s="542"/>
      <c r="D71" s="542"/>
      <c r="E71" s="542"/>
      <c r="F71" s="542" t="s">
        <v>910</v>
      </c>
      <c r="G71" s="672" t="s">
        <v>933</v>
      </c>
    </row>
    <row r="72" spans="1:12" x14ac:dyDescent="0.2">
      <c r="C72" s="542"/>
      <c r="D72" s="542"/>
      <c r="E72" s="542"/>
      <c r="F72" s="542" t="s">
        <v>909</v>
      </c>
      <c r="G72" s="672" t="s">
        <v>971</v>
      </c>
    </row>
    <row r="74" spans="1:12" x14ac:dyDescent="0.2">
      <c r="A74" s="742" t="s">
        <v>921</v>
      </c>
      <c r="B74" s="713"/>
      <c r="C74" s="667"/>
      <c r="D74" s="667" t="s">
        <v>1006</v>
      </c>
      <c r="E74" s="667"/>
      <c r="F74" s="729"/>
      <c r="G74" s="669" t="s">
        <v>908</v>
      </c>
      <c r="H74" s="752"/>
      <c r="I74" s="758"/>
      <c r="J74" s="759" t="s">
        <v>1007</v>
      </c>
      <c r="K74" s="758"/>
      <c r="L74" s="760"/>
    </row>
    <row r="75" spans="1:12" x14ac:dyDescent="0.2">
      <c r="A75" s="670" t="s">
        <v>905</v>
      </c>
      <c r="B75" s="779" t="s">
        <v>1021</v>
      </c>
      <c r="C75" s="719"/>
      <c r="D75" s="719"/>
      <c r="E75" s="719"/>
      <c r="F75" s="730"/>
      <c r="G75" s="672" t="s">
        <v>960</v>
      </c>
      <c r="H75" s="783" t="s">
        <v>1025</v>
      </c>
      <c r="I75" s="758"/>
      <c r="J75" s="758"/>
      <c r="K75" s="758"/>
      <c r="L75" s="760"/>
    </row>
    <row r="76" spans="1:12" x14ac:dyDescent="0.2">
      <c r="A76" s="670" t="s">
        <v>904</v>
      </c>
      <c r="B76" s="717" t="s">
        <v>923</v>
      </c>
      <c r="C76" s="719"/>
      <c r="D76" s="719"/>
      <c r="E76" s="719"/>
      <c r="F76" s="730"/>
      <c r="G76" s="672" t="s">
        <v>961</v>
      </c>
      <c r="H76" s="755" t="s">
        <v>948</v>
      </c>
      <c r="I76" s="758"/>
      <c r="J76" s="758"/>
      <c r="K76" s="758"/>
      <c r="L76" s="760"/>
    </row>
    <row r="77" spans="1:12" x14ac:dyDescent="0.2">
      <c r="A77" s="670" t="s">
        <v>906</v>
      </c>
      <c r="B77" s="779" t="s">
        <v>1022</v>
      </c>
      <c r="C77" s="719"/>
      <c r="D77" s="719"/>
      <c r="E77" s="719"/>
      <c r="F77" s="730"/>
      <c r="G77" s="672" t="s">
        <v>962</v>
      </c>
      <c r="H77" s="783" t="s">
        <v>1028</v>
      </c>
      <c r="I77" s="758"/>
      <c r="J77" s="758"/>
      <c r="K77" s="758"/>
      <c r="L77" s="760"/>
    </row>
    <row r="78" spans="1:12" x14ac:dyDescent="0.2">
      <c r="A78" s="671" t="s">
        <v>907</v>
      </c>
      <c r="B78" s="717" t="s">
        <v>893</v>
      </c>
      <c r="C78" s="719"/>
      <c r="D78" s="719"/>
      <c r="E78" s="719"/>
      <c r="F78" s="730"/>
      <c r="G78" s="672" t="s">
        <v>960</v>
      </c>
      <c r="H78" s="755" t="s">
        <v>947</v>
      </c>
      <c r="I78" s="758"/>
      <c r="J78" s="758"/>
      <c r="K78" s="758"/>
      <c r="L78" s="760"/>
    </row>
    <row r="79" spans="1:12" x14ac:dyDescent="0.2">
      <c r="A79" s="671" t="s">
        <v>907</v>
      </c>
      <c r="B79" s="717" t="s">
        <v>890</v>
      </c>
      <c r="C79" s="719"/>
      <c r="D79" s="719"/>
      <c r="E79" s="719"/>
      <c r="F79" s="730"/>
      <c r="G79" s="672" t="s">
        <v>962</v>
      </c>
      <c r="H79" s="783" t="s">
        <v>1027</v>
      </c>
      <c r="I79" s="758"/>
      <c r="J79" s="758"/>
      <c r="K79" s="758"/>
      <c r="L79" s="760"/>
    </row>
    <row r="80" spans="1:12" x14ac:dyDescent="0.2">
      <c r="C80" s="673"/>
      <c r="D80" s="673"/>
      <c r="E80" s="673"/>
      <c r="F80" s="673" t="s">
        <v>911</v>
      </c>
      <c r="G80" s="672" t="s">
        <v>949</v>
      </c>
      <c r="H80" s="664"/>
    </row>
    <row r="81" spans="1:12" x14ac:dyDescent="0.2">
      <c r="C81" s="542"/>
      <c r="D81" s="542"/>
      <c r="E81" s="542"/>
      <c r="F81" s="542" t="s">
        <v>910</v>
      </c>
      <c r="G81" s="672" t="s">
        <v>950</v>
      </c>
    </row>
    <row r="82" spans="1:12" x14ac:dyDescent="0.2">
      <c r="C82" s="542"/>
      <c r="D82" s="542"/>
      <c r="E82" s="542"/>
      <c r="F82" s="542" t="s">
        <v>909</v>
      </c>
      <c r="G82" s="672" t="s">
        <v>972</v>
      </c>
    </row>
    <row r="84" spans="1:12" x14ac:dyDescent="0.2">
      <c r="A84" s="742" t="s">
        <v>938</v>
      </c>
      <c r="B84" s="675"/>
      <c r="C84" s="668"/>
      <c r="D84" s="668" t="s">
        <v>934</v>
      </c>
      <c r="E84" s="668"/>
      <c r="F84" s="676"/>
      <c r="G84" s="669" t="s">
        <v>908</v>
      </c>
      <c r="H84" s="703"/>
      <c r="I84" s="704"/>
      <c r="J84" s="705" t="s">
        <v>935</v>
      </c>
      <c r="K84" s="704"/>
      <c r="L84" s="706"/>
    </row>
    <row r="85" spans="1:12" x14ac:dyDescent="0.2">
      <c r="A85" s="670" t="s">
        <v>905</v>
      </c>
      <c r="B85" s="782" t="s">
        <v>1029</v>
      </c>
      <c r="C85" s="720"/>
      <c r="D85" s="720"/>
      <c r="E85" s="720"/>
      <c r="F85" s="731"/>
      <c r="G85" s="672" t="s">
        <v>955</v>
      </c>
      <c r="H85" s="781" t="s">
        <v>1020</v>
      </c>
      <c r="I85" s="704"/>
      <c r="J85" s="704"/>
      <c r="K85" s="704"/>
      <c r="L85" s="706"/>
    </row>
    <row r="86" spans="1:12" x14ac:dyDescent="0.2">
      <c r="A86" s="670" t="s">
        <v>904</v>
      </c>
      <c r="B86" s="692" t="s">
        <v>951</v>
      </c>
      <c r="C86" s="720"/>
      <c r="D86" s="720"/>
      <c r="E86" s="720"/>
      <c r="F86" s="731"/>
      <c r="G86" s="672" t="s">
        <v>956</v>
      </c>
      <c r="H86" s="707" t="s">
        <v>924</v>
      </c>
      <c r="I86" s="704"/>
      <c r="J86" s="704"/>
      <c r="K86" s="704"/>
      <c r="L86" s="706"/>
    </row>
    <row r="87" spans="1:12" x14ac:dyDescent="0.2">
      <c r="A87" s="670" t="s">
        <v>906</v>
      </c>
      <c r="B87" s="782" t="s">
        <v>1026</v>
      </c>
      <c r="C87" s="720"/>
      <c r="D87" s="720"/>
      <c r="E87" s="720"/>
      <c r="F87" s="731"/>
      <c r="G87" s="672" t="s">
        <v>957</v>
      </c>
      <c r="H87" s="781" t="s">
        <v>1030</v>
      </c>
      <c r="I87" s="704"/>
      <c r="J87" s="704"/>
      <c r="K87" s="704"/>
      <c r="L87" s="706"/>
    </row>
    <row r="88" spans="1:12" x14ac:dyDescent="0.2">
      <c r="A88" s="671" t="s">
        <v>907</v>
      </c>
      <c r="B88" s="692" t="s">
        <v>952</v>
      </c>
      <c r="C88" s="720"/>
      <c r="D88" s="720"/>
      <c r="E88" s="720"/>
      <c r="F88" s="731"/>
      <c r="G88" s="672" t="s">
        <v>958</v>
      </c>
      <c r="H88" s="707" t="s">
        <v>944</v>
      </c>
      <c r="I88" s="704"/>
      <c r="J88" s="704"/>
      <c r="K88" s="704"/>
      <c r="L88" s="706"/>
    </row>
    <row r="89" spans="1:12" x14ac:dyDescent="0.2">
      <c r="A89" s="671" t="s">
        <v>907</v>
      </c>
      <c r="B89" s="692" t="s">
        <v>953</v>
      </c>
      <c r="C89" s="720"/>
      <c r="D89" s="720"/>
      <c r="E89" s="720"/>
      <c r="F89" s="731"/>
      <c r="G89" s="672" t="s">
        <v>955</v>
      </c>
      <c r="H89" s="707" t="s">
        <v>500</v>
      </c>
      <c r="I89" s="704"/>
      <c r="J89" s="704"/>
      <c r="K89" s="704"/>
      <c r="L89" s="706"/>
    </row>
    <row r="90" spans="1:12" x14ac:dyDescent="0.2">
      <c r="C90" s="673"/>
      <c r="D90" s="673"/>
      <c r="E90" s="673"/>
      <c r="F90" s="673" t="s">
        <v>911</v>
      </c>
      <c r="G90" s="672" t="s">
        <v>954</v>
      </c>
      <c r="H90" s="664"/>
    </row>
    <row r="91" spans="1:12" x14ac:dyDescent="0.2">
      <c r="C91" s="542"/>
      <c r="D91" s="542"/>
      <c r="E91" s="542"/>
      <c r="F91" s="542" t="s">
        <v>910</v>
      </c>
      <c r="G91" s="672" t="s">
        <v>959</v>
      </c>
    </row>
    <row r="92" spans="1:12" x14ac:dyDescent="0.2">
      <c r="C92" s="542"/>
      <c r="D92" s="542"/>
      <c r="E92" s="542"/>
      <c r="F92" s="542" t="s">
        <v>909</v>
      </c>
      <c r="G92" s="672" t="s">
        <v>971</v>
      </c>
    </row>
    <row r="93" spans="1:12" x14ac:dyDescent="0.2">
      <c r="A93" s="682"/>
      <c r="B93" s="683"/>
      <c r="C93" s="683"/>
      <c r="D93" s="683"/>
      <c r="E93" s="683"/>
      <c r="F93" s="683"/>
      <c r="G93" s="684"/>
      <c r="H93" s="685"/>
      <c r="J93" s="686"/>
      <c r="K93" s="685"/>
    </row>
    <row r="94" spans="1:12" x14ac:dyDescent="0.2">
      <c r="A94" s="742" t="s">
        <v>939</v>
      </c>
      <c r="B94" s="713"/>
      <c r="C94" s="667"/>
      <c r="D94" s="667" t="s">
        <v>1006</v>
      </c>
      <c r="E94" s="667"/>
      <c r="F94" s="729"/>
      <c r="G94" s="669" t="s">
        <v>908</v>
      </c>
      <c r="H94" s="675"/>
      <c r="I94" s="690"/>
      <c r="J94" s="702" t="s">
        <v>934</v>
      </c>
      <c r="K94" s="690"/>
      <c r="L94" s="691"/>
    </row>
    <row r="95" spans="1:12" x14ac:dyDescent="0.2">
      <c r="A95" s="670" t="s">
        <v>905</v>
      </c>
      <c r="B95" s="779" t="s">
        <v>1021</v>
      </c>
      <c r="C95" s="719"/>
      <c r="D95" s="719"/>
      <c r="E95" s="719"/>
      <c r="F95" s="730"/>
      <c r="G95" s="672" t="s">
        <v>966</v>
      </c>
      <c r="H95" s="782" t="s">
        <v>1031</v>
      </c>
      <c r="I95" s="690"/>
      <c r="J95" s="690"/>
      <c r="K95" s="690"/>
      <c r="L95" s="691"/>
    </row>
    <row r="96" spans="1:12" x14ac:dyDescent="0.2">
      <c r="A96" s="670" t="s">
        <v>904</v>
      </c>
      <c r="B96" s="717" t="s">
        <v>923</v>
      </c>
      <c r="C96" s="719"/>
      <c r="D96" s="719"/>
      <c r="E96" s="719"/>
      <c r="F96" s="730"/>
      <c r="G96" s="672" t="s">
        <v>962</v>
      </c>
      <c r="H96" s="692" t="s">
        <v>963</v>
      </c>
      <c r="I96" s="690"/>
      <c r="J96" s="690"/>
      <c r="K96" s="690"/>
      <c r="L96" s="691"/>
    </row>
    <row r="97" spans="1:12" x14ac:dyDescent="0.2">
      <c r="A97" s="670" t="s">
        <v>906</v>
      </c>
      <c r="B97" s="779" t="s">
        <v>1022</v>
      </c>
      <c r="C97" s="719"/>
      <c r="D97" s="719"/>
      <c r="E97" s="719"/>
      <c r="F97" s="730"/>
      <c r="G97" s="672" t="s">
        <v>957</v>
      </c>
      <c r="H97" s="782" t="s">
        <v>1032</v>
      </c>
      <c r="I97" s="690"/>
      <c r="J97" s="690"/>
      <c r="K97" s="690"/>
      <c r="L97" s="691"/>
    </row>
    <row r="98" spans="1:12" x14ac:dyDescent="0.2">
      <c r="A98" s="671" t="s">
        <v>907</v>
      </c>
      <c r="B98" s="717" t="s">
        <v>893</v>
      </c>
      <c r="C98" s="719"/>
      <c r="D98" s="719"/>
      <c r="E98" s="719"/>
      <c r="F98" s="730"/>
      <c r="G98" s="672" t="s">
        <v>962</v>
      </c>
      <c r="H98" s="692" t="s">
        <v>964</v>
      </c>
      <c r="I98" s="690"/>
      <c r="J98" s="690"/>
      <c r="K98" s="690"/>
      <c r="L98" s="691"/>
    </row>
    <row r="99" spans="1:12" x14ac:dyDescent="0.2">
      <c r="A99" s="671" t="s">
        <v>907</v>
      </c>
      <c r="B99" s="717" t="s">
        <v>890</v>
      </c>
      <c r="C99" s="719"/>
      <c r="D99" s="719"/>
      <c r="E99" s="719"/>
      <c r="F99" s="730"/>
      <c r="G99" s="672" t="s">
        <v>962</v>
      </c>
      <c r="H99" s="692" t="s">
        <v>928</v>
      </c>
      <c r="I99" s="690"/>
      <c r="J99" s="690"/>
      <c r="K99" s="690"/>
      <c r="L99" s="691"/>
    </row>
    <row r="100" spans="1:12" x14ac:dyDescent="0.2">
      <c r="C100" s="673"/>
      <c r="D100" s="673"/>
      <c r="E100" s="673"/>
      <c r="F100" s="673" t="s">
        <v>911</v>
      </c>
      <c r="G100" s="672" t="s">
        <v>965</v>
      </c>
      <c r="H100" s="664"/>
    </row>
    <row r="101" spans="1:12" x14ac:dyDescent="0.2">
      <c r="C101" s="542"/>
      <c r="D101" s="542"/>
      <c r="E101" s="542"/>
      <c r="F101" s="542" t="s">
        <v>910</v>
      </c>
      <c r="G101" s="672" t="s">
        <v>967</v>
      </c>
    </row>
    <row r="102" spans="1:12" x14ac:dyDescent="0.2">
      <c r="C102" s="542"/>
      <c r="D102" s="542"/>
      <c r="E102" s="542"/>
      <c r="F102" s="542" t="s">
        <v>909</v>
      </c>
      <c r="G102" s="672" t="s">
        <v>972</v>
      </c>
    </row>
    <row r="104" spans="1:12" x14ac:dyDescent="0.2">
      <c r="A104" s="742" t="s">
        <v>940</v>
      </c>
      <c r="B104" s="752"/>
      <c r="C104" s="753"/>
      <c r="D104" s="753" t="s">
        <v>1007</v>
      </c>
      <c r="E104" s="753"/>
      <c r="F104" s="754"/>
      <c r="G104" s="669" t="s">
        <v>908</v>
      </c>
      <c r="H104" s="703"/>
      <c r="I104" s="704"/>
      <c r="J104" s="705" t="s">
        <v>935</v>
      </c>
      <c r="K104" s="704"/>
      <c r="L104" s="706"/>
    </row>
    <row r="105" spans="1:12" x14ac:dyDescent="0.2">
      <c r="A105" s="670" t="s">
        <v>905</v>
      </c>
      <c r="B105" s="783" t="s">
        <v>1033</v>
      </c>
      <c r="C105" s="756"/>
      <c r="D105" s="756"/>
      <c r="E105" s="756"/>
      <c r="F105" s="757"/>
      <c r="G105" s="672" t="s">
        <v>969</v>
      </c>
      <c r="H105" s="781" t="s">
        <v>1034</v>
      </c>
      <c r="I105" s="704"/>
      <c r="J105" s="704"/>
      <c r="K105" s="704"/>
      <c r="L105" s="706"/>
    </row>
    <row r="106" spans="1:12" x14ac:dyDescent="0.2">
      <c r="A106" s="670" t="s">
        <v>904</v>
      </c>
      <c r="B106" s="755" t="s">
        <v>941</v>
      </c>
      <c r="C106" s="756"/>
      <c r="D106" s="756"/>
      <c r="E106" s="756"/>
      <c r="F106" s="757"/>
      <c r="G106" s="672" t="s">
        <v>970</v>
      </c>
      <c r="H106" s="707" t="s">
        <v>943</v>
      </c>
      <c r="I106" s="704"/>
      <c r="J106" s="704"/>
      <c r="K106" s="704"/>
      <c r="L106" s="706"/>
    </row>
    <row r="107" spans="1:12" x14ac:dyDescent="0.2">
      <c r="A107" s="670" t="s">
        <v>906</v>
      </c>
      <c r="B107" s="783" t="s">
        <v>1028</v>
      </c>
      <c r="C107" s="756"/>
      <c r="D107" s="756"/>
      <c r="E107" s="756"/>
      <c r="F107" s="757"/>
      <c r="G107" s="672" t="s">
        <v>914</v>
      </c>
      <c r="H107" s="781" t="s">
        <v>1030</v>
      </c>
      <c r="I107" s="704"/>
      <c r="J107" s="704"/>
      <c r="K107" s="704"/>
      <c r="L107" s="706"/>
    </row>
    <row r="108" spans="1:12" x14ac:dyDescent="0.2">
      <c r="A108" s="671" t="s">
        <v>907</v>
      </c>
      <c r="B108" s="755" t="s">
        <v>888</v>
      </c>
      <c r="C108" s="756"/>
      <c r="D108" s="756"/>
      <c r="E108" s="756"/>
      <c r="F108" s="757"/>
      <c r="G108" s="672" t="s">
        <v>962</v>
      </c>
      <c r="H108" s="707" t="s">
        <v>944</v>
      </c>
      <c r="I108" s="704"/>
      <c r="J108" s="704"/>
      <c r="K108" s="704"/>
      <c r="L108" s="706"/>
    </row>
    <row r="109" spans="1:12" x14ac:dyDescent="0.2">
      <c r="A109" s="671" t="s">
        <v>907</v>
      </c>
      <c r="B109" s="755" t="s">
        <v>942</v>
      </c>
      <c r="C109" s="756"/>
      <c r="D109" s="756"/>
      <c r="E109" s="756"/>
      <c r="F109" s="757"/>
      <c r="G109" s="672" t="s">
        <v>966</v>
      </c>
      <c r="H109" s="707" t="s">
        <v>500</v>
      </c>
      <c r="I109" s="704"/>
      <c r="J109" s="704"/>
      <c r="K109" s="704"/>
      <c r="L109" s="706"/>
    </row>
    <row r="110" spans="1:12" x14ac:dyDescent="0.2">
      <c r="C110" s="673"/>
      <c r="D110" s="673"/>
      <c r="E110" s="673"/>
      <c r="F110" s="673" t="s">
        <v>911</v>
      </c>
      <c r="G110" s="672" t="s">
        <v>914</v>
      </c>
      <c r="H110" s="664"/>
    </row>
    <row r="111" spans="1:12" x14ac:dyDescent="0.2">
      <c r="C111" s="542"/>
      <c r="D111" s="542"/>
      <c r="E111" s="542"/>
      <c r="F111" s="542" t="s">
        <v>910</v>
      </c>
      <c r="G111" s="672" t="s">
        <v>914</v>
      </c>
    </row>
    <row r="112" spans="1:12" x14ac:dyDescent="0.2">
      <c r="C112" s="542"/>
      <c r="D112" s="542"/>
      <c r="E112" s="542"/>
      <c r="F112" s="542" t="s">
        <v>909</v>
      </c>
      <c r="G112" s="672" t="s">
        <v>971</v>
      </c>
    </row>
    <row r="113" spans="1:11" x14ac:dyDescent="0.2">
      <c r="A113" s="682"/>
      <c r="B113" s="683"/>
      <c r="C113" s="683"/>
      <c r="D113" s="683"/>
      <c r="E113" s="683"/>
      <c r="F113" s="683"/>
      <c r="G113" s="684"/>
      <c r="H113" s="685"/>
      <c r="J113" s="686"/>
      <c r="K113" s="685"/>
    </row>
    <row r="114" spans="1:11" x14ac:dyDescent="0.2">
      <c r="A114" s="682"/>
      <c r="B114" s="683"/>
      <c r="C114" s="683"/>
      <c r="D114" s="683"/>
      <c r="E114" s="683"/>
      <c r="F114" s="683"/>
      <c r="G114" s="684"/>
      <c r="H114" s="685"/>
      <c r="J114" s="686"/>
      <c r="K114" s="685"/>
    </row>
    <row r="115" spans="1:11" x14ac:dyDescent="0.2">
      <c r="C115" s="683"/>
      <c r="D115" s="683"/>
      <c r="E115" s="683"/>
      <c r="F115" s="683"/>
      <c r="G115" s="684"/>
      <c r="H115" s="685"/>
      <c r="J115" s="686"/>
      <c r="K115" s="685"/>
    </row>
    <row r="116" spans="1:11" x14ac:dyDescent="0.2">
      <c r="C116" s="683"/>
      <c r="D116" s="683"/>
      <c r="E116" s="683"/>
      <c r="F116" s="683"/>
      <c r="G116" s="684"/>
      <c r="H116" s="685"/>
      <c r="J116" s="686"/>
      <c r="K116" s="685"/>
    </row>
    <row r="117" spans="1:11" x14ac:dyDescent="0.2">
      <c r="C117" s="683"/>
      <c r="D117" s="683"/>
      <c r="E117" s="683"/>
      <c r="F117" s="683"/>
      <c r="G117" s="684"/>
      <c r="H117" s="685"/>
      <c r="J117" s="686"/>
      <c r="K117" s="685"/>
    </row>
    <row r="118" spans="1:11" x14ac:dyDescent="0.2">
      <c r="C118" s="683"/>
      <c r="D118" s="683"/>
      <c r="E118" s="683"/>
      <c r="F118" s="683"/>
      <c r="G118" s="684"/>
      <c r="H118" s="685"/>
      <c r="J118" s="686"/>
      <c r="K118" s="685"/>
    </row>
    <row r="119" spans="1:11" x14ac:dyDescent="0.2">
      <c r="C119" s="683"/>
      <c r="D119" s="683"/>
      <c r="E119" s="683"/>
      <c r="F119" s="683"/>
      <c r="G119" s="684"/>
      <c r="H119" s="685"/>
      <c r="J119" s="686"/>
      <c r="K119" s="685"/>
    </row>
    <row r="120" spans="1:11" x14ac:dyDescent="0.2">
      <c r="C120" s="683"/>
      <c r="D120" s="683"/>
      <c r="E120" s="683"/>
      <c r="F120" s="683"/>
      <c r="G120" s="684"/>
      <c r="H120" s="685"/>
      <c r="J120" s="686"/>
      <c r="K120" s="685"/>
    </row>
    <row r="121" spans="1:11" x14ac:dyDescent="0.2">
      <c r="C121" s="683"/>
      <c r="D121" s="683"/>
      <c r="E121" s="683"/>
      <c r="F121" s="683"/>
      <c r="G121" s="684"/>
      <c r="H121" s="685"/>
      <c r="J121" s="686"/>
      <c r="K121" s="685"/>
    </row>
    <row r="122" spans="1:11" x14ac:dyDescent="0.2">
      <c r="A122" s="682"/>
      <c r="B122" s="683"/>
      <c r="C122" s="683"/>
      <c r="D122" s="683"/>
      <c r="E122" s="683"/>
      <c r="F122" s="683"/>
      <c r="G122" s="684"/>
      <c r="H122" s="685"/>
      <c r="J122" s="686"/>
      <c r="K122" s="685"/>
    </row>
    <row r="123" spans="1:11" x14ac:dyDescent="0.2">
      <c r="A123" s="682"/>
      <c r="B123" s="683"/>
      <c r="C123" s="683"/>
      <c r="D123" s="683"/>
      <c r="E123" s="683"/>
      <c r="F123" s="683"/>
      <c r="G123" s="684"/>
      <c r="H123" s="685"/>
      <c r="J123" s="686"/>
      <c r="K123" s="685"/>
    </row>
    <row r="124" spans="1:11" x14ac:dyDescent="0.2">
      <c r="A124" s="682"/>
      <c r="B124" s="683"/>
      <c r="C124" s="683"/>
      <c r="D124" s="683"/>
      <c r="E124" s="683"/>
      <c r="F124" s="683"/>
      <c r="G124" s="684"/>
      <c r="H124" s="685"/>
      <c r="J124" s="686"/>
      <c r="K124" s="685"/>
    </row>
    <row r="125" spans="1:11" x14ac:dyDescent="0.2">
      <c r="A125" s="682"/>
      <c r="B125" s="683"/>
      <c r="C125" s="683"/>
      <c r="D125" s="683"/>
      <c r="E125" s="683"/>
      <c r="F125" s="683"/>
      <c r="G125" s="684"/>
      <c r="H125" s="685"/>
      <c r="J125" s="686"/>
      <c r="K125" s="685"/>
    </row>
    <row r="126" spans="1:11" x14ac:dyDescent="0.2">
      <c r="A126" s="682"/>
      <c r="B126" s="683"/>
      <c r="C126" s="683"/>
      <c r="D126" s="683"/>
      <c r="E126" s="683"/>
      <c r="F126" s="683"/>
      <c r="G126" s="684"/>
      <c r="H126" s="685"/>
      <c r="J126" s="686"/>
      <c r="K126" s="685"/>
    </row>
    <row r="127" spans="1:11" x14ac:dyDescent="0.2">
      <c r="A127" s="682"/>
      <c r="B127" s="683"/>
      <c r="C127" s="683"/>
      <c r="D127" s="683"/>
      <c r="E127" s="683"/>
      <c r="F127" s="683"/>
      <c r="G127" s="684"/>
      <c r="H127" s="685"/>
      <c r="J127" s="686"/>
      <c r="K127" s="685"/>
    </row>
    <row r="128" spans="1:11" x14ac:dyDescent="0.2">
      <c r="A128" s="682"/>
      <c r="B128" s="683"/>
      <c r="C128" s="683"/>
      <c r="D128" s="683"/>
      <c r="E128" s="683"/>
      <c r="F128" s="683"/>
      <c r="G128" s="684"/>
      <c r="H128" s="685"/>
      <c r="J128" s="686"/>
      <c r="K128" s="685"/>
    </row>
    <row r="129" spans="1:11" x14ac:dyDescent="0.2">
      <c r="A129" s="682"/>
      <c r="B129" s="683"/>
      <c r="C129" s="683"/>
      <c r="D129" s="683"/>
      <c r="E129" s="683"/>
      <c r="F129" s="683"/>
      <c r="G129" s="684"/>
      <c r="H129" s="685"/>
      <c r="J129" s="686"/>
      <c r="K129" s="685"/>
    </row>
    <row r="130" spans="1:11" x14ac:dyDescent="0.2">
      <c r="A130" s="682"/>
      <c r="B130" s="683"/>
      <c r="C130" s="683"/>
      <c r="D130" s="683"/>
      <c r="E130" s="683"/>
      <c r="F130" s="683"/>
      <c r="G130" s="684"/>
      <c r="H130" s="685"/>
      <c r="J130" s="686"/>
      <c r="K130" s="685"/>
    </row>
    <row r="131" spans="1:11" x14ac:dyDescent="0.2">
      <c r="A131" s="682"/>
      <c r="B131" s="683"/>
      <c r="C131" s="683"/>
      <c r="D131" s="683"/>
      <c r="E131" s="683"/>
      <c r="F131" s="683"/>
      <c r="G131" s="684"/>
      <c r="H131" s="685"/>
      <c r="J131" s="686"/>
      <c r="K131" s="685"/>
    </row>
    <row r="132" spans="1:11" x14ac:dyDescent="0.2">
      <c r="A132" s="682"/>
      <c r="B132" s="683"/>
      <c r="C132" s="683"/>
      <c r="D132" s="683"/>
      <c r="E132" s="683"/>
      <c r="F132" s="683"/>
      <c r="G132" s="684"/>
      <c r="H132" s="685"/>
      <c r="J132" s="686"/>
      <c r="K132" s="685"/>
    </row>
    <row r="133" spans="1:11" x14ac:dyDescent="0.2">
      <c r="A133" s="682"/>
      <c r="B133" s="683"/>
      <c r="C133" s="683"/>
      <c r="D133" s="683"/>
      <c r="E133" s="683"/>
      <c r="F133" s="683"/>
      <c r="G133" s="684"/>
      <c r="H133" s="685"/>
      <c r="J133" s="686"/>
      <c r="K133" s="685"/>
    </row>
    <row r="134" spans="1:11" x14ac:dyDescent="0.2">
      <c r="A134" s="682"/>
      <c r="B134" s="683"/>
      <c r="C134" s="683"/>
      <c r="D134" s="683"/>
      <c r="E134" s="683"/>
      <c r="F134" s="683"/>
      <c r="G134" s="684"/>
      <c r="H134" s="685"/>
      <c r="J134" s="686"/>
      <c r="K134" s="685"/>
    </row>
    <row r="135" spans="1:11" x14ac:dyDescent="0.2">
      <c r="A135" s="682"/>
      <c r="B135" s="683"/>
      <c r="C135" s="683"/>
      <c r="D135" s="683"/>
      <c r="E135" s="683"/>
      <c r="F135" s="683"/>
      <c r="G135" s="684"/>
      <c r="H135" s="685"/>
      <c r="J135" s="686"/>
      <c r="K135" s="685"/>
    </row>
    <row r="136" spans="1:11" x14ac:dyDescent="0.2">
      <c r="A136" s="682"/>
      <c r="B136" s="683"/>
      <c r="C136" s="683"/>
      <c r="D136" s="683"/>
      <c r="E136" s="683"/>
      <c r="F136" s="683"/>
      <c r="G136" s="684"/>
      <c r="H136" s="685"/>
      <c r="J136" s="686"/>
      <c r="K136" s="685"/>
    </row>
    <row r="137" spans="1:11" x14ac:dyDescent="0.2">
      <c r="A137" s="682"/>
      <c r="B137" s="683"/>
      <c r="C137" s="683"/>
      <c r="D137" s="683"/>
      <c r="E137" s="683"/>
      <c r="F137" s="683"/>
      <c r="G137" s="684"/>
      <c r="H137" s="685"/>
      <c r="J137" s="686"/>
      <c r="K137" s="685"/>
    </row>
    <row r="138" spans="1:11" x14ac:dyDescent="0.2">
      <c r="A138" s="682"/>
      <c r="B138" s="683"/>
      <c r="C138" s="683"/>
      <c r="D138" s="683"/>
      <c r="E138" s="683"/>
      <c r="F138" s="683"/>
      <c r="G138" s="684"/>
      <c r="H138" s="685"/>
      <c r="J138" s="686"/>
      <c r="K138" s="685"/>
    </row>
    <row r="139" spans="1:11" x14ac:dyDescent="0.2">
      <c r="A139" s="682"/>
      <c r="B139" s="683"/>
      <c r="C139" s="683"/>
      <c r="D139" s="683"/>
      <c r="E139" s="683"/>
      <c r="F139" s="683"/>
      <c r="G139" s="684"/>
      <c r="H139" s="685"/>
      <c r="J139" s="686"/>
      <c r="K139" s="685"/>
    </row>
    <row r="140" spans="1:11" x14ac:dyDescent="0.2">
      <c r="A140" s="682"/>
      <c r="B140" s="683"/>
      <c r="C140" s="683"/>
      <c r="D140" s="683"/>
      <c r="E140" s="683"/>
      <c r="F140" s="683"/>
      <c r="G140" s="684"/>
      <c r="H140" s="685"/>
      <c r="J140" s="686"/>
      <c r="K140" s="685"/>
    </row>
    <row r="141" spans="1:11" x14ac:dyDescent="0.2">
      <c r="A141" s="682"/>
      <c r="B141" s="683"/>
      <c r="C141" s="683"/>
      <c r="D141" s="683"/>
      <c r="E141" s="683"/>
      <c r="F141" s="683"/>
      <c r="G141" s="684"/>
      <c r="H141" s="685"/>
      <c r="J141" s="686"/>
      <c r="K141" s="685"/>
    </row>
    <row r="142" spans="1:11" x14ac:dyDescent="0.2">
      <c r="A142" s="682"/>
      <c r="B142" s="683"/>
      <c r="C142" s="683"/>
      <c r="D142" s="683"/>
      <c r="E142" s="683"/>
      <c r="F142" s="683"/>
      <c r="G142" s="684"/>
      <c r="H142" s="685"/>
      <c r="J142" s="686"/>
      <c r="K142" s="685"/>
    </row>
    <row r="143" spans="1:11" x14ac:dyDescent="0.2">
      <c r="A143" s="682"/>
      <c r="B143" s="683"/>
      <c r="C143" s="683"/>
      <c r="D143" s="683"/>
      <c r="E143" s="683"/>
      <c r="F143" s="683"/>
      <c r="G143" s="684"/>
      <c r="H143" s="685"/>
      <c r="J143" s="686"/>
      <c r="K143" s="685"/>
    </row>
    <row r="144" spans="1:11" x14ac:dyDescent="0.2">
      <c r="A144" s="682"/>
      <c r="B144" s="683"/>
      <c r="C144" s="683"/>
      <c r="D144" s="683"/>
      <c r="E144" s="683"/>
      <c r="F144" s="683"/>
      <c r="G144" s="684"/>
      <c r="H144" s="685"/>
      <c r="J144" s="686"/>
      <c r="K144" s="685"/>
    </row>
    <row r="145" spans="1:11" x14ac:dyDescent="0.2">
      <c r="A145" s="682"/>
      <c r="B145" s="683"/>
      <c r="C145" s="683"/>
      <c r="D145" s="683"/>
      <c r="E145" s="683"/>
      <c r="F145" s="683"/>
      <c r="G145" s="684"/>
      <c r="H145" s="685"/>
      <c r="J145" s="686"/>
      <c r="K145" s="685"/>
    </row>
    <row r="146" spans="1:11" x14ac:dyDescent="0.2">
      <c r="A146" s="682"/>
      <c r="B146" s="683"/>
      <c r="C146" s="683"/>
      <c r="D146" s="683"/>
      <c r="E146" s="683"/>
      <c r="F146" s="683"/>
      <c r="G146" s="684"/>
      <c r="H146" s="685"/>
      <c r="J146" s="686"/>
      <c r="K146" s="685"/>
    </row>
    <row r="147" spans="1:11" x14ac:dyDescent="0.2">
      <c r="A147" s="682"/>
      <c r="B147" s="683"/>
      <c r="C147" s="683"/>
      <c r="D147" s="683"/>
      <c r="E147" s="683"/>
      <c r="F147" s="683"/>
      <c r="G147" s="684"/>
      <c r="H147" s="685"/>
      <c r="J147" s="686"/>
      <c r="K147" s="685"/>
    </row>
    <row r="148" spans="1:11" x14ac:dyDescent="0.2">
      <c r="A148" s="682"/>
      <c r="B148" s="683"/>
      <c r="C148" s="683"/>
      <c r="D148" s="683"/>
      <c r="E148" s="683"/>
      <c r="F148" s="683"/>
      <c r="G148" s="684"/>
      <c r="H148" s="685"/>
      <c r="J148" s="686"/>
      <c r="K148" s="685"/>
    </row>
    <row r="149" spans="1:11" x14ac:dyDescent="0.2">
      <c r="A149" s="682"/>
      <c r="B149" s="683"/>
      <c r="C149" s="683"/>
      <c r="D149" s="683"/>
      <c r="E149" s="683"/>
      <c r="F149" s="683"/>
      <c r="G149" s="684"/>
      <c r="H149" s="685"/>
      <c r="J149" s="686"/>
      <c r="K149" s="685"/>
    </row>
    <row r="150" spans="1:11" x14ac:dyDescent="0.2">
      <c r="A150" s="682"/>
      <c r="B150" s="683"/>
      <c r="C150" s="683"/>
      <c r="D150" s="683"/>
      <c r="E150" s="683"/>
      <c r="F150" s="683"/>
      <c r="G150" s="684"/>
      <c r="H150" s="685"/>
      <c r="J150" s="686"/>
      <c r="K150" s="685"/>
    </row>
    <row r="151" spans="1:11" x14ac:dyDescent="0.2">
      <c r="A151" s="682"/>
      <c r="B151" s="683"/>
      <c r="C151" s="683"/>
      <c r="D151" s="683"/>
      <c r="E151" s="683"/>
      <c r="F151" s="683"/>
      <c r="G151" s="684"/>
      <c r="H151" s="685"/>
      <c r="J151" s="686"/>
      <c r="K151" s="685"/>
    </row>
    <row r="152" spans="1:11" x14ac:dyDescent="0.2">
      <c r="A152" s="682"/>
      <c r="B152" s="683"/>
      <c r="C152" s="683"/>
      <c r="D152" s="683"/>
      <c r="E152" s="683"/>
      <c r="F152" s="683"/>
      <c r="G152" s="684"/>
      <c r="H152" s="685"/>
      <c r="J152" s="686"/>
      <c r="K152" s="685"/>
    </row>
    <row r="153" spans="1:11" x14ac:dyDescent="0.2">
      <c r="A153" s="682"/>
      <c r="B153" s="683"/>
      <c r="C153" s="683"/>
      <c r="D153" s="683"/>
      <c r="E153" s="683"/>
      <c r="F153" s="683"/>
      <c r="G153" s="684"/>
      <c r="H153" s="685"/>
      <c r="J153" s="686"/>
      <c r="K153" s="685"/>
    </row>
    <row r="154" spans="1:11" x14ac:dyDescent="0.2">
      <c r="A154" s="682"/>
      <c r="B154" s="683"/>
      <c r="C154" s="683"/>
      <c r="D154" s="683"/>
      <c r="E154" s="683"/>
      <c r="F154" s="683"/>
      <c r="G154" s="684"/>
      <c r="H154" s="685"/>
      <c r="J154" s="686"/>
      <c r="K154" s="685"/>
    </row>
    <row r="155" spans="1:11" x14ac:dyDescent="0.2">
      <c r="C155" s="683"/>
      <c r="D155" s="683"/>
      <c r="E155" s="683"/>
      <c r="F155" s="683"/>
      <c r="G155" s="684"/>
      <c r="H155" s="685"/>
      <c r="J155" s="686"/>
      <c r="K155" s="685"/>
    </row>
    <row r="156" spans="1:11" x14ac:dyDescent="0.2">
      <c r="C156" s="683"/>
      <c r="D156" s="683"/>
      <c r="E156" s="683"/>
      <c r="F156" s="683"/>
      <c r="G156" s="684"/>
      <c r="H156" s="685"/>
      <c r="J156" s="686"/>
      <c r="K156" s="685"/>
    </row>
    <row r="157" spans="1:11" x14ac:dyDescent="0.2">
      <c r="C157" s="683"/>
      <c r="D157" s="683"/>
      <c r="E157" s="683"/>
      <c r="F157" s="683"/>
      <c r="G157" s="684"/>
      <c r="H157" s="685"/>
      <c r="J157" s="686"/>
      <c r="K157" s="685"/>
    </row>
    <row r="158" spans="1:11" x14ac:dyDescent="0.2">
      <c r="C158" s="683"/>
      <c r="D158" s="683"/>
      <c r="E158" s="683"/>
      <c r="F158" s="683"/>
      <c r="G158" s="684"/>
      <c r="H158" s="685"/>
      <c r="J158" s="686"/>
      <c r="K158" s="685"/>
    </row>
    <row r="159" spans="1:11" x14ac:dyDescent="0.2">
      <c r="C159" s="683"/>
      <c r="D159" s="683"/>
      <c r="E159" s="683"/>
      <c r="F159" s="683"/>
      <c r="G159" s="684"/>
      <c r="H159" s="685"/>
      <c r="J159" s="686"/>
      <c r="K159" s="685"/>
    </row>
    <row r="160" spans="1:11" x14ac:dyDescent="0.2">
      <c r="C160" s="683"/>
      <c r="D160" s="683"/>
      <c r="E160" s="683"/>
      <c r="F160" s="683"/>
      <c r="G160" s="684"/>
      <c r="H160" s="685"/>
      <c r="J160" s="686"/>
      <c r="K160" s="685"/>
    </row>
    <row r="161" spans="1:11" x14ac:dyDescent="0.2">
      <c r="C161" s="683"/>
      <c r="D161" s="683"/>
      <c r="E161" s="683"/>
      <c r="F161" s="683"/>
      <c r="G161" s="684"/>
      <c r="H161" s="685"/>
      <c r="J161" s="686"/>
      <c r="K161" s="685"/>
    </row>
    <row r="162" spans="1:11" x14ac:dyDescent="0.2">
      <c r="A162" s="682"/>
      <c r="B162" s="683"/>
      <c r="C162" s="683"/>
      <c r="D162" s="683"/>
      <c r="E162" s="683"/>
      <c r="F162" s="683"/>
      <c r="G162" s="684"/>
      <c r="H162" s="685"/>
      <c r="J162" s="686"/>
      <c r="K162" s="685"/>
    </row>
    <row r="163" spans="1:11" x14ac:dyDescent="0.2">
      <c r="A163" s="682"/>
      <c r="B163" s="683"/>
      <c r="C163" s="683"/>
      <c r="D163" s="683"/>
      <c r="E163" s="683"/>
      <c r="F163" s="683"/>
      <c r="G163" s="684"/>
      <c r="H163" s="685"/>
      <c r="J163" s="686"/>
      <c r="K163" s="685"/>
    </row>
    <row r="164" spans="1:11" x14ac:dyDescent="0.2">
      <c r="A164" s="682"/>
      <c r="B164" s="683"/>
      <c r="C164" s="683"/>
      <c r="D164" s="683"/>
      <c r="E164" s="683"/>
      <c r="F164" s="683"/>
      <c r="G164" s="684"/>
      <c r="H164" s="685"/>
      <c r="J164" s="686"/>
      <c r="K164" s="685"/>
    </row>
    <row r="165" spans="1:11" x14ac:dyDescent="0.2">
      <c r="A165" s="682"/>
      <c r="B165" s="683"/>
      <c r="C165" s="683"/>
      <c r="D165" s="683"/>
      <c r="E165" s="683"/>
      <c r="F165" s="683"/>
      <c r="G165" s="684"/>
      <c r="H165" s="685"/>
      <c r="J165" s="686"/>
      <c r="K165" s="685"/>
    </row>
    <row r="166" spans="1:11" x14ac:dyDescent="0.2">
      <c r="A166" s="682"/>
      <c r="B166" s="683"/>
      <c r="C166" s="683"/>
      <c r="D166" s="683"/>
      <c r="E166" s="683"/>
      <c r="F166" s="683"/>
      <c r="G166" s="684"/>
      <c r="H166" s="685"/>
      <c r="J166" s="686"/>
      <c r="K166" s="685"/>
    </row>
    <row r="167" spans="1:11" x14ac:dyDescent="0.2">
      <c r="A167" s="682"/>
      <c r="B167" s="683"/>
      <c r="C167" s="683"/>
      <c r="D167" s="683"/>
      <c r="E167" s="683"/>
      <c r="F167" s="683"/>
      <c r="G167" s="684"/>
      <c r="H167" s="685"/>
      <c r="J167" s="686"/>
      <c r="K167" s="685"/>
    </row>
    <row r="168" spans="1:11" x14ac:dyDescent="0.2">
      <c r="A168" s="682"/>
      <c r="B168" s="683"/>
      <c r="C168" s="683"/>
      <c r="D168" s="683"/>
      <c r="E168" s="683"/>
      <c r="F168" s="683"/>
      <c r="G168" s="684"/>
      <c r="H168" s="685"/>
      <c r="J168" s="686"/>
      <c r="K168" s="685"/>
    </row>
    <row r="169" spans="1:11" x14ac:dyDescent="0.2">
      <c r="A169" s="682"/>
      <c r="B169" s="683"/>
      <c r="C169" s="683"/>
      <c r="D169" s="683"/>
      <c r="E169" s="683"/>
      <c r="F169" s="683"/>
      <c r="G169" s="684"/>
      <c r="H169" s="685"/>
      <c r="J169" s="686"/>
      <c r="K169" s="685"/>
    </row>
    <row r="170" spans="1:11" x14ac:dyDescent="0.2">
      <c r="A170" s="682"/>
      <c r="B170" s="683"/>
      <c r="C170" s="683"/>
      <c r="D170" s="683"/>
      <c r="E170" s="683"/>
      <c r="F170" s="683"/>
      <c r="G170" s="684"/>
      <c r="H170" s="685"/>
      <c r="J170" s="686"/>
      <c r="K170" s="685"/>
    </row>
    <row r="171" spans="1:11" x14ac:dyDescent="0.2">
      <c r="A171" s="682"/>
      <c r="B171" s="683"/>
      <c r="C171" s="683"/>
      <c r="D171" s="683"/>
      <c r="E171" s="683"/>
      <c r="F171" s="683"/>
      <c r="G171" s="684"/>
      <c r="H171" s="685"/>
      <c r="J171" s="686"/>
      <c r="K171" s="685"/>
    </row>
    <row r="172" spans="1:11" x14ac:dyDescent="0.2">
      <c r="A172" s="682"/>
      <c r="B172" s="683"/>
      <c r="C172" s="683"/>
      <c r="D172" s="683"/>
      <c r="E172" s="683"/>
      <c r="F172" s="683"/>
      <c r="G172" s="684"/>
      <c r="H172" s="685"/>
      <c r="J172" s="686"/>
      <c r="K172" s="685"/>
    </row>
    <row r="173" spans="1:11" x14ac:dyDescent="0.2">
      <c r="A173" s="682"/>
      <c r="B173" s="683"/>
      <c r="C173" s="683"/>
      <c r="D173" s="683"/>
      <c r="E173" s="683"/>
      <c r="F173" s="683"/>
      <c r="G173" s="684"/>
      <c r="H173" s="685"/>
      <c r="J173" s="686"/>
      <c r="K173" s="685"/>
    </row>
    <row r="174" spans="1:11" x14ac:dyDescent="0.2">
      <c r="A174" s="682"/>
      <c r="B174" s="683"/>
      <c r="C174" s="683"/>
      <c r="D174" s="683"/>
      <c r="E174" s="683"/>
      <c r="F174" s="683"/>
      <c r="G174" s="684"/>
      <c r="H174" s="685"/>
      <c r="J174" s="686"/>
      <c r="K174" s="685"/>
    </row>
    <row r="175" spans="1:11" x14ac:dyDescent="0.2">
      <c r="A175" s="682"/>
      <c r="B175" s="683"/>
      <c r="C175" s="683"/>
      <c r="D175" s="683"/>
      <c r="E175" s="683"/>
      <c r="F175" s="683"/>
      <c r="G175" s="684"/>
      <c r="H175" s="685"/>
      <c r="J175" s="686"/>
      <c r="K175" s="685"/>
    </row>
    <row r="176" spans="1:11" x14ac:dyDescent="0.2">
      <c r="A176" s="682"/>
      <c r="B176" s="683"/>
      <c r="C176" s="683"/>
      <c r="D176" s="683"/>
      <c r="E176" s="683"/>
      <c r="F176" s="683"/>
      <c r="G176" s="684"/>
      <c r="H176" s="685"/>
      <c r="J176" s="686"/>
      <c r="K176" s="685"/>
    </row>
    <row r="177" spans="1:11" x14ac:dyDescent="0.2">
      <c r="A177" s="682"/>
      <c r="B177" s="683"/>
      <c r="C177" s="683"/>
      <c r="D177" s="683"/>
      <c r="E177" s="683"/>
      <c r="F177" s="683"/>
      <c r="G177" s="684"/>
      <c r="H177" s="685"/>
      <c r="J177" s="686"/>
      <c r="K177" s="685"/>
    </row>
    <row r="178" spans="1:11" x14ac:dyDescent="0.2">
      <c r="A178" s="682"/>
      <c r="B178" s="683"/>
      <c r="C178" s="683"/>
      <c r="D178" s="683"/>
      <c r="E178" s="683"/>
      <c r="F178" s="683"/>
      <c r="G178" s="684"/>
      <c r="H178" s="685"/>
      <c r="J178" s="686"/>
      <c r="K178" s="685"/>
    </row>
    <row r="179" spans="1:11" x14ac:dyDescent="0.2">
      <c r="A179" s="682"/>
      <c r="B179" s="683"/>
      <c r="C179" s="683"/>
      <c r="D179" s="683"/>
      <c r="E179" s="683"/>
      <c r="F179" s="683"/>
      <c r="G179" s="684"/>
      <c r="H179" s="685"/>
      <c r="J179" s="686"/>
      <c r="K179" s="685"/>
    </row>
    <row r="180" spans="1:11" x14ac:dyDescent="0.2">
      <c r="A180" s="682"/>
      <c r="B180" s="683"/>
      <c r="C180" s="683"/>
      <c r="D180" s="683"/>
      <c r="E180" s="683"/>
      <c r="F180" s="683"/>
      <c r="G180" s="684"/>
      <c r="H180" s="685"/>
      <c r="J180" s="686"/>
      <c r="K180" s="685"/>
    </row>
    <row r="181" spans="1:11" x14ac:dyDescent="0.2">
      <c r="A181" s="682"/>
      <c r="B181" s="683"/>
      <c r="C181" s="683"/>
      <c r="D181" s="683"/>
      <c r="E181" s="683"/>
      <c r="F181" s="683"/>
      <c r="G181" s="684"/>
      <c r="H181" s="685"/>
      <c r="J181" s="686"/>
      <c r="K181" s="685"/>
    </row>
    <row r="182" spans="1:11" x14ac:dyDescent="0.2">
      <c r="A182" s="682"/>
      <c r="B182" s="683"/>
      <c r="C182" s="683"/>
      <c r="D182" s="683"/>
      <c r="E182" s="683"/>
      <c r="F182" s="683"/>
      <c r="G182" s="684"/>
      <c r="H182" s="685"/>
      <c r="J182" s="686"/>
      <c r="K182" s="685"/>
    </row>
    <row r="183" spans="1:11" x14ac:dyDescent="0.2">
      <c r="A183" s="682"/>
      <c r="B183" s="683"/>
      <c r="C183" s="683"/>
      <c r="D183" s="683"/>
      <c r="E183" s="683"/>
      <c r="F183" s="683"/>
      <c r="G183" s="684"/>
      <c r="H183" s="685"/>
      <c r="J183" s="686"/>
      <c r="K183" s="685"/>
    </row>
    <row r="184" spans="1:11" x14ac:dyDescent="0.2">
      <c r="A184" s="682"/>
      <c r="B184" s="683"/>
      <c r="C184" s="683"/>
      <c r="D184" s="683"/>
      <c r="E184" s="683"/>
      <c r="F184" s="683"/>
      <c r="G184" s="684"/>
      <c r="H184" s="685"/>
      <c r="J184" s="686"/>
      <c r="K184" s="685"/>
    </row>
    <row r="185" spans="1:11" x14ac:dyDescent="0.2">
      <c r="A185" s="682"/>
      <c r="B185" s="683"/>
      <c r="C185" s="683"/>
      <c r="D185" s="683"/>
      <c r="E185" s="683"/>
      <c r="F185" s="683"/>
      <c r="G185" s="684"/>
      <c r="H185" s="685"/>
      <c r="J185" s="686"/>
      <c r="K185" s="685"/>
    </row>
    <row r="186" spans="1:11" x14ac:dyDescent="0.2">
      <c r="A186" s="682"/>
      <c r="B186" s="683"/>
      <c r="C186" s="683"/>
      <c r="D186" s="683"/>
      <c r="E186" s="683"/>
      <c r="F186" s="683"/>
      <c r="G186" s="684"/>
      <c r="H186" s="685"/>
      <c r="J186" s="686"/>
      <c r="K186" s="685"/>
    </row>
    <row r="187" spans="1:11" x14ac:dyDescent="0.2">
      <c r="A187" s="682"/>
      <c r="B187" s="683"/>
      <c r="C187" s="683"/>
      <c r="D187" s="683"/>
      <c r="E187" s="683"/>
      <c r="F187" s="683"/>
      <c r="G187" s="684"/>
      <c r="H187" s="685"/>
      <c r="J187" s="686"/>
      <c r="K187" s="685"/>
    </row>
    <row r="188" spans="1:11" x14ac:dyDescent="0.2">
      <c r="A188" s="682"/>
      <c r="B188" s="683"/>
      <c r="C188" s="683"/>
      <c r="D188" s="683"/>
      <c r="E188" s="683"/>
      <c r="F188" s="683"/>
      <c r="G188" s="684"/>
      <c r="H188" s="685"/>
      <c r="J188" s="686"/>
      <c r="K188" s="685"/>
    </row>
    <row r="189" spans="1:11" x14ac:dyDescent="0.2">
      <c r="A189" s="682"/>
      <c r="B189" s="683"/>
      <c r="C189" s="683"/>
      <c r="D189" s="683"/>
      <c r="E189" s="683"/>
      <c r="F189" s="683"/>
      <c r="G189" s="684"/>
      <c r="H189" s="685"/>
      <c r="J189" s="686"/>
      <c r="K189" s="685"/>
    </row>
    <row r="190" spans="1:11" x14ac:dyDescent="0.2">
      <c r="A190" s="682"/>
      <c r="B190" s="683"/>
      <c r="C190" s="683"/>
      <c r="D190" s="683"/>
      <c r="E190" s="683"/>
      <c r="F190" s="683"/>
      <c r="G190" s="684"/>
      <c r="H190" s="685"/>
      <c r="J190" s="686"/>
      <c r="K190" s="685"/>
    </row>
    <row r="191" spans="1:11" x14ac:dyDescent="0.2">
      <c r="A191" s="682"/>
      <c r="B191" s="683"/>
      <c r="C191" s="683"/>
      <c r="D191" s="683"/>
      <c r="E191" s="683"/>
      <c r="F191" s="683"/>
      <c r="G191" s="684"/>
      <c r="H191" s="685"/>
      <c r="J191" s="686"/>
      <c r="K191" s="685"/>
    </row>
    <row r="192" spans="1:11" x14ac:dyDescent="0.2">
      <c r="A192" s="682"/>
      <c r="B192" s="683"/>
      <c r="C192" s="683"/>
      <c r="D192" s="683"/>
      <c r="E192" s="683"/>
      <c r="F192" s="683"/>
      <c r="G192" s="684"/>
      <c r="H192" s="685"/>
      <c r="J192" s="686"/>
      <c r="K192" s="685"/>
    </row>
    <row r="193" spans="1:11" x14ac:dyDescent="0.2">
      <c r="A193" s="682"/>
      <c r="B193" s="683"/>
      <c r="C193" s="683"/>
      <c r="D193" s="683"/>
      <c r="E193" s="683"/>
      <c r="F193" s="683"/>
      <c r="G193" s="684"/>
      <c r="H193" s="685"/>
      <c r="J193" s="686"/>
      <c r="K193" s="685"/>
    </row>
    <row r="194" spans="1:11" x14ac:dyDescent="0.2">
      <c r="A194" s="682"/>
      <c r="B194" s="683"/>
      <c r="C194" s="683"/>
      <c r="D194" s="683"/>
      <c r="E194" s="683"/>
      <c r="F194" s="683"/>
      <c r="G194" s="684"/>
      <c r="H194" s="685"/>
      <c r="J194" s="686"/>
      <c r="K194" s="685"/>
    </row>
    <row r="195" spans="1:11" x14ac:dyDescent="0.2">
      <c r="A195" s="682"/>
      <c r="B195" s="683"/>
      <c r="C195" s="683"/>
      <c r="D195" s="683"/>
      <c r="E195" s="683"/>
      <c r="F195" s="683"/>
      <c r="G195" s="684"/>
      <c r="H195" s="685"/>
      <c r="J195" s="686"/>
      <c r="K195" s="685"/>
    </row>
    <row r="196" spans="1:11" x14ac:dyDescent="0.2">
      <c r="A196" s="682"/>
      <c r="B196" s="683"/>
      <c r="C196" s="683"/>
      <c r="D196" s="683"/>
      <c r="E196" s="683"/>
      <c r="F196" s="683"/>
      <c r="G196" s="684"/>
      <c r="H196" s="685"/>
      <c r="J196" s="686"/>
      <c r="K196" s="685"/>
    </row>
    <row r="197" spans="1:11" x14ac:dyDescent="0.2">
      <c r="A197" s="682"/>
      <c r="B197" s="683"/>
      <c r="C197" s="683"/>
      <c r="D197" s="683"/>
      <c r="E197" s="683"/>
      <c r="F197" s="683"/>
      <c r="G197" s="684"/>
      <c r="H197" s="685"/>
      <c r="J197" s="686"/>
      <c r="K197" s="685"/>
    </row>
    <row r="198" spans="1:11" x14ac:dyDescent="0.2">
      <c r="A198" s="682"/>
      <c r="B198" s="683"/>
      <c r="C198" s="683"/>
      <c r="D198" s="683"/>
      <c r="E198" s="683"/>
      <c r="F198" s="683"/>
      <c r="G198" s="684"/>
      <c r="H198" s="685"/>
      <c r="J198" s="686"/>
      <c r="K198" s="685"/>
    </row>
    <row r="199" spans="1:11" x14ac:dyDescent="0.2">
      <c r="A199" s="682"/>
      <c r="B199" s="683"/>
      <c r="C199" s="683"/>
      <c r="D199" s="683"/>
      <c r="E199" s="683"/>
      <c r="F199" s="683"/>
      <c r="G199" s="684"/>
      <c r="H199" s="685"/>
      <c r="J199" s="686"/>
      <c r="K199" s="685"/>
    </row>
    <row r="200" spans="1:11" x14ac:dyDescent="0.2">
      <c r="A200" s="682"/>
      <c r="B200" s="683"/>
      <c r="C200" s="683"/>
      <c r="D200" s="683"/>
      <c r="E200" s="683"/>
      <c r="F200" s="683"/>
      <c r="G200" s="684"/>
      <c r="H200" s="685"/>
      <c r="J200" s="686"/>
      <c r="K200" s="685"/>
    </row>
    <row r="201" spans="1:11" x14ac:dyDescent="0.2">
      <c r="A201" s="682"/>
      <c r="B201" s="683"/>
      <c r="C201" s="683"/>
      <c r="D201" s="683"/>
      <c r="E201" s="683"/>
      <c r="F201" s="683"/>
      <c r="G201" s="684"/>
      <c r="H201" s="685"/>
      <c r="J201" s="686"/>
      <c r="K201" s="685"/>
    </row>
    <row r="202" spans="1:11" x14ac:dyDescent="0.2">
      <c r="C202" s="683"/>
      <c r="D202" s="683"/>
      <c r="E202" s="683"/>
      <c r="F202" s="683"/>
      <c r="G202" s="684"/>
      <c r="H202" s="685"/>
      <c r="J202" s="686"/>
      <c r="K202" s="685"/>
    </row>
    <row r="203" spans="1:11" x14ac:dyDescent="0.2">
      <c r="C203" s="683"/>
      <c r="D203" s="683"/>
      <c r="E203" s="683"/>
      <c r="F203" s="683"/>
      <c r="G203" s="684"/>
      <c r="H203" s="685"/>
      <c r="J203" s="686"/>
      <c r="K203" s="685"/>
    </row>
    <row r="204" spans="1:11" x14ac:dyDescent="0.2">
      <c r="C204" s="683"/>
      <c r="D204" s="683"/>
      <c r="E204" s="683"/>
      <c r="F204" s="683"/>
      <c r="G204" s="684"/>
      <c r="H204" s="685"/>
      <c r="J204" s="686"/>
      <c r="K204" s="685"/>
    </row>
    <row r="205" spans="1:11" x14ac:dyDescent="0.2">
      <c r="C205" s="683"/>
      <c r="D205" s="683"/>
      <c r="E205" s="683"/>
      <c r="F205" s="683"/>
      <c r="G205" s="684"/>
      <c r="H205" s="685"/>
      <c r="J205" s="686"/>
      <c r="K205" s="685"/>
    </row>
    <row r="206" spans="1:11" x14ac:dyDescent="0.2">
      <c r="C206" s="683"/>
      <c r="D206" s="683"/>
      <c r="E206" s="683"/>
      <c r="F206" s="683"/>
      <c r="G206" s="684"/>
      <c r="H206" s="685"/>
      <c r="J206" s="686"/>
      <c r="K206" s="685"/>
    </row>
    <row r="207" spans="1:11" x14ac:dyDescent="0.2">
      <c r="C207" s="683"/>
      <c r="D207" s="683"/>
      <c r="E207" s="683"/>
      <c r="F207" s="683"/>
      <c r="G207" s="684"/>
      <c r="H207" s="685"/>
      <c r="J207" s="686"/>
      <c r="K207" s="685"/>
    </row>
    <row r="208" spans="1:11" x14ac:dyDescent="0.2">
      <c r="C208" s="683"/>
      <c r="D208" s="683"/>
      <c r="E208" s="683"/>
      <c r="F208" s="683"/>
      <c r="G208" s="684"/>
      <c r="H208" s="685"/>
      <c r="J208" s="686"/>
      <c r="K208" s="685"/>
    </row>
    <row r="209" spans="1:11" x14ac:dyDescent="0.2">
      <c r="A209" s="682"/>
      <c r="B209" s="683"/>
      <c r="C209" s="683"/>
      <c r="D209" s="683"/>
      <c r="E209" s="683"/>
      <c r="F209" s="683"/>
      <c r="G209" s="684"/>
      <c r="H209" s="685"/>
      <c r="J209" s="686"/>
      <c r="K209" s="685"/>
    </row>
    <row r="210" spans="1:11" x14ac:dyDescent="0.2">
      <c r="A210" s="682"/>
      <c r="B210" s="683"/>
      <c r="C210" s="683"/>
      <c r="D210" s="683"/>
      <c r="E210" s="683"/>
      <c r="F210" s="683"/>
      <c r="G210" s="684"/>
      <c r="H210" s="685"/>
      <c r="J210" s="686"/>
      <c r="K210" s="685"/>
    </row>
    <row r="211" spans="1:11" x14ac:dyDescent="0.2">
      <c r="A211" s="682"/>
      <c r="B211" s="683"/>
      <c r="C211" s="683"/>
      <c r="D211" s="683"/>
      <c r="E211" s="683"/>
      <c r="F211" s="683"/>
      <c r="G211" s="684"/>
      <c r="H211" s="685"/>
      <c r="J211" s="686"/>
      <c r="K211" s="685"/>
    </row>
    <row r="212" spans="1:11" x14ac:dyDescent="0.2">
      <c r="A212" s="682"/>
      <c r="B212" s="683"/>
      <c r="C212" s="683"/>
      <c r="D212" s="683"/>
      <c r="E212" s="683"/>
      <c r="F212" s="683"/>
      <c r="G212" s="684"/>
      <c r="H212" s="685"/>
      <c r="J212" s="686"/>
      <c r="K212" s="685"/>
    </row>
    <row r="213" spans="1:11" x14ac:dyDescent="0.2">
      <c r="A213" s="682"/>
      <c r="B213" s="683"/>
      <c r="C213" s="683"/>
      <c r="D213" s="683"/>
      <c r="E213" s="683"/>
      <c r="F213" s="683"/>
      <c r="G213" s="684"/>
      <c r="H213" s="685"/>
      <c r="J213" s="686"/>
      <c r="K213" s="685"/>
    </row>
    <row r="214" spans="1:11" x14ac:dyDescent="0.2">
      <c r="A214" s="682"/>
      <c r="B214" s="683"/>
      <c r="C214" s="683"/>
      <c r="D214" s="683"/>
      <c r="E214" s="683"/>
      <c r="F214" s="683"/>
      <c r="G214" s="684"/>
      <c r="H214" s="685"/>
      <c r="J214" s="686"/>
      <c r="K214" s="685"/>
    </row>
    <row r="215" spans="1:11" x14ac:dyDescent="0.2">
      <c r="A215" s="682"/>
      <c r="B215" s="683"/>
      <c r="C215" s="683"/>
      <c r="D215" s="683"/>
      <c r="E215" s="683"/>
      <c r="F215" s="683"/>
      <c r="G215" s="684"/>
      <c r="H215" s="685"/>
      <c r="J215" s="686"/>
      <c r="K215" s="685"/>
    </row>
    <row r="216" spans="1:11" x14ac:dyDescent="0.2">
      <c r="A216" s="682"/>
      <c r="B216" s="683"/>
      <c r="C216" s="683"/>
      <c r="D216" s="683"/>
      <c r="E216" s="683"/>
      <c r="F216" s="683"/>
      <c r="G216" s="684"/>
      <c r="H216" s="685"/>
      <c r="J216" s="686"/>
      <c r="K216" s="685"/>
    </row>
    <row r="217" spans="1:11" x14ac:dyDescent="0.2">
      <c r="A217" s="682"/>
      <c r="B217" s="683"/>
      <c r="C217" s="683"/>
      <c r="D217" s="683"/>
      <c r="E217" s="683"/>
      <c r="F217" s="683"/>
      <c r="G217" s="684"/>
      <c r="H217" s="685"/>
      <c r="J217" s="686"/>
      <c r="K217" s="685"/>
    </row>
    <row r="218" spans="1:11" x14ac:dyDescent="0.2">
      <c r="A218" s="682"/>
      <c r="B218" s="683"/>
      <c r="C218" s="683"/>
      <c r="D218" s="683"/>
      <c r="E218" s="683"/>
      <c r="F218" s="683"/>
      <c r="G218" s="684"/>
      <c r="H218" s="685"/>
      <c r="J218" s="686"/>
      <c r="K218" s="685"/>
    </row>
    <row r="219" spans="1:11" x14ac:dyDescent="0.2">
      <c r="A219" s="682"/>
      <c r="B219" s="683"/>
      <c r="C219" s="683"/>
      <c r="D219" s="683"/>
      <c r="E219" s="683"/>
      <c r="F219" s="683"/>
      <c r="G219" s="684"/>
      <c r="H219" s="685"/>
      <c r="J219" s="686"/>
      <c r="K219" s="685"/>
    </row>
    <row r="220" spans="1:11" x14ac:dyDescent="0.2">
      <c r="A220" s="682"/>
      <c r="B220" s="683"/>
      <c r="C220" s="683"/>
      <c r="D220" s="683"/>
      <c r="E220" s="683"/>
      <c r="F220" s="683"/>
      <c r="G220" s="684"/>
      <c r="H220" s="685"/>
      <c r="J220" s="686"/>
      <c r="K220" s="685"/>
    </row>
    <row r="221" spans="1:11" x14ac:dyDescent="0.2">
      <c r="A221" s="682"/>
      <c r="B221" s="683"/>
      <c r="C221" s="683"/>
      <c r="D221" s="683"/>
      <c r="E221" s="683"/>
      <c r="F221" s="683"/>
      <c r="G221" s="684"/>
      <c r="H221" s="685"/>
      <c r="J221" s="686"/>
      <c r="K221" s="685"/>
    </row>
    <row r="222" spans="1:11" x14ac:dyDescent="0.2">
      <c r="A222" s="682"/>
      <c r="B222" s="683"/>
      <c r="C222" s="683"/>
      <c r="D222" s="683"/>
      <c r="E222" s="683"/>
      <c r="F222" s="683"/>
      <c r="G222" s="684"/>
      <c r="H222" s="685"/>
      <c r="J222" s="686"/>
      <c r="K222" s="685"/>
    </row>
    <row r="223" spans="1:11" x14ac:dyDescent="0.2">
      <c r="A223" s="682"/>
      <c r="B223" s="683"/>
      <c r="C223" s="683"/>
      <c r="D223" s="683"/>
      <c r="E223" s="683"/>
      <c r="F223" s="683"/>
      <c r="G223" s="684"/>
      <c r="H223" s="685"/>
      <c r="J223" s="686"/>
      <c r="K223" s="685"/>
    </row>
    <row r="224" spans="1:11" x14ac:dyDescent="0.2">
      <c r="A224" s="682"/>
      <c r="B224" s="683"/>
      <c r="C224" s="683"/>
      <c r="D224" s="683"/>
      <c r="E224" s="683"/>
      <c r="F224" s="683"/>
      <c r="G224" s="684"/>
      <c r="H224" s="685"/>
      <c r="J224" s="686"/>
      <c r="K224" s="685"/>
    </row>
    <row r="225" spans="1:11" x14ac:dyDescent="0.2">
      <c r="A225" s="682"/>
      <c r="B225" s="683"/>
      <c r="C225" s="683"/>
      <c r="D225" s="683"/>
      <c r="E225" s="683"/>
      <c r="F225" s="683"/>
      <c r="G225" s="684"/>
      <c r="H225" s="685"/>
      <c r="J225" s="686"/>
      <c r="K225" s="685"/>
    </row>
    <row r="226" spans="1:11" x14ac:dyDescent="0.2">
      <c r="A226" s="682"/>
      <c r="B226" s="683"/>
      <c r="C226" s="683"/>
      <c r="D226" s="683"/>
      <c r="E226" s="683"/>
      <c r="F226" s="683"/>
      <c r="G226" s="684"/>
      <c r="H226" s="685"/>
      <c r="J226" s="686"/>
      <c r="K226" s="685"/>
    </row>
    <row r="227" spans="1:11" x14ac:dyDescent="0.2">
      <c r="A227" s="682"/>
      <c r="B227" s="683"/>
      <c r="C227" s="683"/>
      <c r="D227" s="683"/>
      <c r="E227" s="683"/>
      <c r="F227" s="683"/>
      <c r="G227" s="684"/>
      <c r="H227" s="685"/>
      <c r="J227" s="686"/>
      <c r="K227" s="685"/>
    </row>
    <row r="228" spans="1:11" x14ac:dyDescent="0.2">
      <c r="A228" s="682"/>
      <c r="B228" s="683"/>
      <c r="C228" s="683"/>
      <c r="D228" s="683"/>
      <c r="E228" s="683"/>
      <c r="F228" s="683"/>
      <c r="G228" s="684"/>
      <c r="H228" s="685"/>
      <c r="J228" s="686"/>
      <c r="K228" s="685"/>
    </row>
    <row r="229" spans="1:11" x14ac:dyDescent="0.2">
      <c r="A229" s="682"/>
      <c r="B229" s="683"/>
      <c r="C229" s="683"/>
      <c r="D229" s="683"/>
      <c r="E229" s="683"/>
      <c r="F229" s="683"/>
      <c r="G229" s="684"/>
      <c r="H229" s="685"/>
      <c r="J229" s="686"/>
      <c r="K229" s="685"/>
    </row>
    <row r="230" spans="1:11" x14ac:dyDescent="0.2">
      <c r="A230" s="682"/>
      <c r="B230" s="683"/>
      <c r="C230" s="683"/>
      <c r="D230" s="683"/>
      <c r="E230" s="683"/>
      <c r="F230" s="683"/>
      <c r="G230" s="684"/>
      <c r="H230" s="685"/>
      <c r="J230" s="686"/>
      <c r="K230" s="685"/>
    </row>
    <row r="231" spans="1:11" x14ac:dyDescent="0.2">
      <c r="A231" s="682"/>
      <c r="B231" s="683"/>
      <c r="C231" s="683"/>
      <c r="D231" s="683"/>
      <c r="E231" s="683"/>
      <c r="F231" s="683"/>
      <c r="G231" s="684"/>
      <c r="H231" s="685"/>
      <c r="J231" s="686"/>
      <c r="K231" s="685"/>
    </row>
    <row r="232" spans="1:11" x14ac:dyDescent="0.2">
      <c r="A232" s="682"/>
      <c r="B232" s="683"/>
      <c r="C232" s="683"/>
      <c r="D232" s="683"/>
      <c r="E232" s="683"/>
      <c r="F232" s="683"/>
      <c r="G232" s="684"/>
      <c r="H232" s="685"/>
      <c r="J232" s="686"/>
      <c r="K232" s="685"/>
    </row>
    <row r="233" spans="1:11" x14ac:dyDescent="0.2">
      <c r="A233" s="682"/>
      <c r="B233" s="683"/>
      <c r="C233" s="683"/>
      <c r="D233" s="683"/>
      <c r="E233" s="683"/>
      <c r="F233" s="683"/>
      <c r="G233" s="684"/>
      <c r="H233" s="685"/>
      <c r="J233" s="686"/>
      <c r="K233" s="685"/>
    </row>
    <row r="234" spans="1:11" x14ac:dyDescent="0.2">
      <c r="A234" s="682"/>
      <c r="B234" s="683"/>
      <c r="C234" s="683"/>
      <c r="D234" s="683"/>
      <c r="E234" s="683"/>
      <c r="F234" s="683"/>
      <c r="G234" s="684"/>
      <c r="H234" s="685"/>
      <c r="J234" s="686"/>
      <c r="K234" s="685"/>
    </row>
    <row r="235" spans="1:11" x14ac:dyDescent="0.2">
      <c r="A235" s="682"/>
      <c r="B235" s="683"/>
      <c r="C235" s="683"/>
      <c r="D235" s="683"/>
      <c r="E235" s="683"/>
      <c r="F235" s="683"/>
      <c r="G235" s="684"/>
      <c r="H235" s="685"/>
      <c r="J235" s="686"/>
      <c r="K235" s="685"/>
    </row>
    <row r="236" spans="1:11" x14ac:dyDescent="0.2">
      <c r="A236" s="682"/>
      <c r="B236" s="683"/>
      <c r="C236" s="683"/>
      <c r="D236" s="683"/>
      <c r="E236" s="683"/>
      <c r="F236" s="683"/>
      <c r="G236" s="684"/>
      <c r="H236" s="685"/>
      <c r="J236" s="686"/>
      <c r="K236" s="685"/>
    </row>
    <row r="237" spans="1:11" x14ac:dyDescent="0.2">
      <c r="A237" s="682"/>
      <c r="B237" s="683"/>
      <c r="C237" s="683"/>
      <c r="D237" s="683"/>
      <c r="E237" s="683"/>
      <c r="F237" s="683"/>
      <c r="G237" s="684"/>
      <c r="H237" s="685"/>
      <c r="J237" s="686"/>
      <c r="K237" s="685"/>
    </row>
    <row r="238" spans="1:11" x14ac:dyDescent="0.2">
      <c r="A238" s="682"/>
      <c r="B238" s="683"/>
      <c r="C238" s="683"/>
      <c r="D238" s="683"/>
      <c r="E238" s="683"/>
      <c r="F238" s="683"/>
      <c r="G238" s="684"/>
      <c r="H238" s="685"/>
      <c r="J238" s="686"/>
      <c r="K238" s="685"/>
    </row>
    <row r="239" spans="1:11" x14ac:dyDescent="0.2">
      <c r="A239" s="682"/>
      <c r="B239" s="683"/>
      <c r="C239" s="683"/>
      <c r="D239" s="683"/>
      <c r="E239" s="683"/>
      <c r="F239" s="683"/>
      <c r="G239" s="684"/>
      <c r="H239" s="685"/>
      <c r="J239" s="686"/>
      <c r="K239" s="685"/>
    </row>
    <row r="240" spans="1:11" x14ac:dyDescent="0.2">
      <c r="A240" s="682"/>
      <c r="B240" s="683"/>
      <c r="C240" s="683"/>
      <c r="D240" s="683"/>
      <c r="E240" s="683"/>
      <c r="F240" s="683"/>
      <c r="G240" s="684"/>
      <c r="H240" s="685"/>
      <c r="J240" s="686"/>
      <c r="K240" s="685"/>
    </row>
    <row r="241" spans="1:11" x14ac:dyDescent="0.2">
      <c r="A241" s="682"/>
      <c r="B241" s="683"/>
      <c r="C241" s="683"/>
      <c r="D241" s="683"/>
      <c r="E241" s="683"/>
      <c r="F241" s="683"/>
      <c r="G241" s="684"/>
      <c r="H241" s="685"/>
      <c r="J241" s="686"/>
      <c r="K241" s="685"/>
    </row>
    <row r="253" spans="1:11" x14ac:dyDescent="0.2">
      <c r="C253" s="87"/>
      <c r="D253" s="87"/>
      <c r="E253" s="87"/>
      <c r="F253" s="87"/>
    </row>
    <row r="254" spans="1:11" x14ac:dyDescent="0.2">
      <c r="C254" s="87"/>
      <c r="D254" s="87"/>
      <c r="E254" s="87"/>
      <c r="F254" s="87"/>
    </row>
    <row r="255" spans="1:11" x14ac:dyDescent="0.2">
      <c r="C255" s="87"/>
      <c r="D255" s="87"/>
      <c r="E255" s="87"/>
      <c r="F255" s="87"/>
    </row>
    <row r="256" spans="1:11" x14ac:dyDescent="0.2">
      <c r="C256" s="87"/>
      <c r="D256" s="87"/>
      <c r="E256" s="87"/>
      <c r="F256" s="87"/>
    </row>
  </sheetData>
  <pageMargins left="0.78740157480314965" right="0.39370078740157483" top="0.43307086614173229" bottom="0.31496062992125984" header="0.31496062992125984" footer="0"/>
  <pageSetup paperSize="9" fitToHeight="0" orientation="landscape" r:id="rId1"/>
  <headerFooter>
    <oddHeader>&amp;RPage &amp;P of &amp;N</oddHeader>
  </headerFooter>
  <rowBreaks count="3" manualBreakCount="3">
    <brk id="42" max="16383" man="1"/>
    <brk id="82" max="16383" man="1"/>
    <brk id="11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L213"/>
  <sheetViews>
    <sheetView showGridLines="0" showRowColHeaders="0" zoomScaleNormal="100" workbookViewId="0">
      <pane ySplit="2" topLeftCell="A3" activePane="bottomLeft" state="frozen"/>
      <selection activeCell="J1" sqref="J1"/>
      <selection pane="bottomLeft" activeCell="K1" sqref="K1"/>
    </sheetView>
  </sheetViews>
  <sheetFormatPr defaultRowHeight="12.75" x14ac:dyDescent="0.2"/>
  <cols>
    <col min="1" max="1" width="11" style="528" customWidth="1"/>
    <col min="2" max="6" width="9.140625" style="528" customWidth="1"/>
    <col min="7" max="7" width="8.7109375" style="528" bestFit="1" customWidth="1"/>
    <col min="8" max="8" width="9.140625" style="528" customWidth="1"/>
    <col min="9" max="9" width="9.140625" style="528"/>
    <col min="10" max="10" width="9.140625" style="528" customWidth="1"/>
    <col min="11" max="11" width="9.140625" style="528"/>
    <col min="12" max="12" width="9.7109375" style="528" customWidth="1"/>
    <col min="13" max="16384" width="9.140625" style="528"/>
  </cols>
  <sheetData>
    <row r="1" spans="1:12" x14ac:dyDescent="0.2">
      <c r="A1" s="314" t="str">
        <f>UPPER(((Kalend!C35)&amp;" - "&amp;(Kalend!D35)))</f>
        <v>13. KLUBIDE KARIKAS (POOLFINAAL, FINAAL) - TRIO, DUO, SEGATRIO, SEGADUO</v>
      </c>
      <c r="I1" s="204" t="str">
        <f>HYPERLINK("#Üldreiting!I1","Reiting")</f>
        <v>Reiting</v>
      </c>
    </row>
    <row r="2" spans="1:12" x14ac:dyDescent="0.2">
      <c r="A2" s="309" t="str">
        <f>"Toimumisaeg: "&amp;(Kalend!A35)&amp;" kell "&amp;(Kalend!B35)</f>
        <v>Toimumisaeg: P, 28.08.2016 kell 10:00</v>
      </c>
    </row>
    <row r="3" spans="1:12" x14ac:dyDescent="0.2">
      <c r="A3" s="309" t="str">
        <f>"Toimumiskoht: "&amp;(Kalend!H35)</f>
        <v>Toimumiskoht: Saku, Teaduse 2</v>
      </c>
    </row>
    <row r="4" spans="1:12" x14ac:dyDescent="0.2">
      <c r="A4" s="309" t="str">
        <f>"Korraldaja: "&amp;(Kalend!I35)</f>
        <v>Korraldaja: EPKL</v>
      </c>
    </row>
    <row r="5" spans="1:12" x14ac:dyDescent="0.2">
      <c r="A5" s="309"/>
    </row>
    <row r="6" spans="1:12" x14ac:dyDescent="0.2">
      <c r="A6" s="512" t="s">
        <v>447</v>
      </c>
      <c r="B6" s="279"/>
    </row>
    <row r="8" spans="1:12" x14ac:dyDescent="0.2">
      <c r="E8" s="178" t="s">
        <v>360</v>
      </c>
      <c r="F8" s="761" t="s">
        <v>669</v>
      </c>
      <c r="G8" s="761"/>
      <c r="H8" s="213">
        <v>3</v>
      </c>
      <c r="I8" s="421"/>
    </row>
    <row r="9" spans="1:12" x14ac:dyDescent="0.2">
      <c r="E9" s="179"/>
      <c r="F9" s="180"/>
      <c r="G9" s="274"/>
      <c r="H9" s="762" t="s">
        <v>669</v>
      </c>
      <c r="I9" s="761"/>
      <c r="J9" s="213">
        <v>4</v>
      </c>
      <c r="K9" s="421"/>
      <c r="L9" s="421"/>
    </row>
    <row r="10" spans="1:12" x14ac:dyDescent="0.2">
      <c r="E10" s="179" t="s">
        <v>355</v>
      </c>
      <c r="F10" s="763" t="s">
        <v>935</v>
      </c>
      <c r="G10" s="764"/>
      <c r="H10" s="181">
        <v>2</v>
      </c>
      <c r="I10" s="182"/>
      <c r="J10" s="421"/>
      <c r="K10" s="421"/>
      <c r="L10" s="421"/>
    </row>
    <row r="11" spans="1:12" ht="13.5" thickBot="1" x14ac:dyDescent="0.25">
      <c r="E11" s="179"/>
      <c r="F11" s="421"/>
      <c r="H11" s="421"/>
      <c r="I11" s="183"/>
      <c r="J11" s="421"/>
      <c r="K11" s="761" t="s">
        <v>669</v>
      </c>
      <c r="L11" s="761"/>
    </row>
    <row r="12" spans="1:12" x14ac:dyDescent="0.2">
      <c r="E12" s="179" t="s">
        <v>356</v>
      </c>
      <c r="F12" s="767" t="s">
        <v>1006</v>
      </c>
      <c r="G12" s="444"/>
      <c r="H12" s="214">
        <v>3</v>
      </c>
      <c r="I12" s="183"/>
      <c r="J12" s="188"/>
      <c r="K12" s="189" t="s">
        <v>357</v>
      </c>
      <c r="L12" s="190"/>
    </row>
    <row r="13" spans="1:12" x14ac:dyDescent="0.2">
      <c r="E13" s="179"/>
      <c r="F13" s="180"/>
      <c r="G13" s="274"/>
      <c r="H13" s="768" t="s">
        <v>1006</v>
      </c>
      <c r="I13" s="769"/>
      <c r="J13" s="184">
        <v>1</v>
      </c>
      <c r="K13" s="421"/>
      <c r="L13" s="421"/>
    </row>
    <row r="14" spans="1:12" ht="13.5" thickBot="1" x14ac:dyDescent="0.25">
      <c r="E14" s="179" t="s">
        <v>358</v>
      </c>
      <c r="F14" s="772" t="s">
        <v>1008</v>
      </c>
      <c r="G14" s="773"/>
      <c r="H14" s="187">
        <v>1</v>
      </c>
      <c r="I14" s="421"/>
      <c r="J14" s="424"/>
      <c r="K14" s="770" t="s">
        <v>1006</v>
      </c>
      <c r="L14" s="771"/>
    </row>
    <row r="15" spans="1:12" x14ac:dyDescent="0.2">
      <c r="A15" s="118"/>
      <c r="B15" s="421"/>
      <c r="C15" s="118"/>
      <c r="D15" s="118"/>
      <c r="H15" s="421"/>
      <c r="I15" s="421"/>
      <c r="J15" s="424"/>
      <c r="K15" s="189" t="s">
        <v>359</v>
      </c>
      <c r="L15" s="424"/>
    </row>
    <row r="16" spans="1:12" x14ac:dyDescent="0.2">
      <c r="A16" s="118"/>
      <c r="B16" s="421"/>
      <c r="H16" s="765" t="s">
        <v>935</v>
      </c>
      <c r="I16" s="765"/>
      <c r="J16" s="214">
        <v>4</v>
      </c>
      <c r="K16" s="424"/>
      <c r="L16" s="424"/>
    </row>
    <row r="17" spans="1:12" ht="13.5" thickBot="1" x14ac:dyDescent="0.25">
      <c r="A17" s="118"/>
      <c r="B17" s="421"/>
      <c r="H17" s="180"/>
      <c r="I17" s="182"/>
      <c r="J17" s="228"/>
      <c r="K17" s="766" t="s">
        <v>935</v>
      </c>
      <c r="L17" s="766"/>
    </row>
    <row r="18" spans="1:12" x14ac:dyDescent="0.2">
      <c r="A18" s="118"/>
      <c r="B18" s="421"/>
      <c r="H18" s="774" t="s">
        <v>1008</v>
      </c>
      <c r="I18" s="775"/>
      <c r="J18" s="423">
        <v>1</v>
      </c>
      <c r="K18" s="112" t="s">
        <v>361</v>
      </c>
      <c r="L18" s="424"/>
    </row>
    <row r="19" spans="1:12" x14ac:dyDescent="0.2">
      <c r="A19" s="118"/>
      <c r="B19" s="421"/>
      <c r="G19" s="421"/>
      <c r="H19" s="421"/>
      <c r="I19" s="421"/>
      <c r="J19" s="421"/>
      <c r="K19" s="424"/>
      <c r="L19" s="424"/>
    </row>
    <row r="20" spans="1:12" ht="13.5" thickBot="1" x14ac:dyDescent="0.25">
      <c r="A20" s="118"/>
      <c r="B20" s="421"/>
      <c r="C20" s="421"/>
      <c r="D20" s="424"/>
      <c r="E20" s="424"/>
      <c r="J20" s="421"/>
      <c r="K20" s="776" t="s">
        <v>1008</v>
      </c>
      <c r="L20" s="776"/>
    </row>
    <row r="21" spans="1:12" x14ac:dyDescent="0.2">
      <c r="A21" s="118"/>
      <c r="B21" s="421"/>
      <c r="C21" s="421"/>
      <c r="D21" s="424"/>
      <c r="E21" s="424"/>
      <c r="J21" s="421"/>
      <c r="K21" s="118" t="s">
        <v>362</v>
      </c>
      <c r="L21" s="421"/>
    </row>
    <row r="22" spans="1:12" x14ac:dyDescent="0.2">
      <c r="A22" s="682"/>
      <c r="B22" s="683"/>
      <c r="C22" s="683"/>
      <c r="D22" s="683"/>
      <c r="E22" s="683"/>
      <c r="F22" s="683"/>
      <c r="G22" s="684"/>
      <c r="H22" s="685"/>
      <c r="J22" s="686"/>
      <c r="K22" s="685"/>
    </row>
    <row r="23" spans="1:12" x14ac:dyDescent="0.2">
      <c r="A23" s="742" t="s">
        <v>996</v>
      </c>
      <c r="B23" s="688"/>
      <c r="C23" s="665"/>
      <c r="D23" s="665" t="s">
        <v>669</v>
      </c>
      <c r="E23" s="665"/>
      <c r="F23" s="666"/>
      <c r="G23" s="669" t="s">
        <v>908</v>
      </c>
      <c r="H23" s="703"/>
      <c r="I23" s="704"/>
      <c r="J23" s="705" t="s">
        <v>935</v>
      </c>
      <c r="K23" s="704"/>
      <c r="L23" s="706"/>
    </row>
    <row r="24" spans="1:12" x14ac:dyDescent="0.2">
      <c r="A24" s="670" t="s">
        <v>905</v>
      </c>
      <c r="B24" s="780" t="s">
        <v>1035</v>
      </c>
      <c r="C24" s="718"/>
      <c r="D24" s="718"/>
      <c r="E24" s="718"/>
      <c r="F24" s="723"/>
      <c r="G24" s="751" t="s">
        <v>956</v>
      </c>
      <c r="H24" s="781" t="s">
        <v>1034</v>
      </c>
      <c r="I24" s="704"/>
      <c r="J24" s="704"/>
      <c r="K24" s="704"/>
      <c r="L24" s="706"/>
    </row>
    <row r="25" spans="1:12" x14ac:dyDescent="0.2">
      <c r="A25" s="670" t="s">
        <v>904</v>
      </c>
      <c r="B25" s="689" t="s">
        <v>997</v>
      </c>
      <c r="C25" s="718"/>
      <c r="D25" s="718"/>
      <c r="E25" s="718"/>
      <c r="F25" s="723"/>
      <c r="G25" s="751" t="s">
        <v>966</v>
      </c>
      <c r="H25" s="707" t="s">
        <v>943</v>
      </c>
      <c r="I25" s="704"/>
      <c r="J25" s="704"/>
      <c r="K25" s="704"/>
      <c r="L25" s="706"/>
    </row>
    <row r="26" spans="1:12" x14ac:dyDescent="0.2">
      <c r="A26" s="670" t="s">
        <v>906</v>
      </c>
      <c r="B26" s="780" t="s">
        <v>1036</v>
      </c>
      <c r="C26" s="718"/>
      <c r="D26" s="718"/>
      <c r="E26" s="718"/>
      <c r="F26" s="723"/>
      <c r="G26" s="751" t="s">
        <v>962</v>
      </c>
      <c r="H26" s="781" t="s">
        <v>1030</v>
      </c>
      <c r="I26" s="704"/>
      <c r="J26" s="704"/>
      <c r="K26" s="704"/>
      <c r="L26" s="706"/>
    </row>
    <row r="27" spans="1:12" x14ac:dyDescent="0.2">
      <c r="A27" s="671" t="s">
        <v>907</v>
      </c>
      <c r="B27" s="689" t="s">
        <v>980</v>
      </c>
      <c r="C27" s="718"/>
      <c r="D27" s="718"/>
      <c r="E27" s="718"/>
      <c r="F27" s="723"/>
      <c r="G27" s="751" t="s">
        <v>918</v>
      </c>
      <c r="H27" s="707" t="s">
        <v>944</v>
      </c>
      <c r="I27" s="704"/>
      <c r="J27" s="704"/>
      <c r="K27" s="704"/>
      <c r="L27" s="706"/>
    </row>
    <row r="28" spans="1:12" x14ac:dyDescent="0.2">
      <c r="A28" s="671" t="s">
        <v>907</v>
      </c>
      <c r="B28" s="853" t="s">
        <v>1070</v>
      </c>
      <c r="C28" s="718"/>
      <c r="D28" s="718"/>
      <c r="E28" s="718"/>
      <c r="F28" s="723"/>
      <c r="G28" s="751" t="s">
        <v>930</v>
      </c>
      <c r="H28" s="707" t="s">
        <v>500</v>
      </c>
      <c r="I28" s="704"/>
      <c r="J28" s="704"/>
      <c r="K28" s="704"/>
      <c r="L28" s="706"/>
    </row>
    <row r="29" spans="1:12" x14ac:dyDescent="0.2">
      <c r="C29" s="673"/>
      <c r="D29" s="673"/>
      <c r="E29" s="673"/>
      <c r="F29" s="673" t="s">
        <v>911</v>
      </c>
      <c r="G29" s="751" t="s">
        <v>1010</v>
      </c>
      <c r="H29" s="664"/>
    </row>
    <row r="30" spans="1:12" x14ac:dyDescent="0.2">
      <c r="C30" s="542"/>
      <c r="D30" s="542"/>
      <c r="E30" s="542"/>
      <c r="F30" s="542" t="s">
        <v>910</v>
      </c>
      <c r="G30" s="751" t="s">
        <v>912</v>
      </c>
    </row>
    <row r="31" spans="1:12" x14ac:dyDescent="0.2">
      <c r="C31" s="542"/>
      <c r="D31" s="542"/>
      <c r="E31" s="542"/>
      <c r="F31" s="542" t="s">
        <v>909</v>
      </c>
      <c r="G31" s="751" t="s">
        <v>1009</v>
      </c>
    </row>
    <row r="33" spans="1:12" x14ac:dyDescent="0.2">
      <c r="A33" s="742" t="s">
        <v>995</v>
      </c>
      <c r="B33" s="713"/>
      <c r="C33" s="667"/>
      <c r="D33" s="667" t="s">
        <v>1006</v>
      </c>
      <c r="E33" s="667"/>
      <c r="F33" s="729"/>
      <c r="G33" s="669" t="s">
        <v>908</v>
      </c>
      <c r="H33" s="708"/>
      <c r="I33" s="721"/>
      <c r="J33" s="721" t="s">
        <v>1008</v>
      </c>
      <c r="K33" s="721"/>
      <c r="L33" s="727"/>
    </row>
    <row r="34" spans="1:12" x14ac:dyDescent="0.2">
      <c r="A34" s="670" t="s">
        <v>905</v>
      </c>
      <c r="B34" s="779" t="s">
        <v>1021</v>
      </c>
      <c r="C34" s="719"/>
      <c r="D34" s="719"/>
      <c r="E34" s="719"/>
      <c r="F34" s="730"/>
      <c r="G34" s="672" t="s">
        <v>931</v>
      </c>
      <c r="H34" s="778" t="s">
        <v>1037</v>
      </c>
      <c r="I34" s="722"/>
      <c r="J34" s="722"/>
      <c r="K34" s="722"/>
      <c r="L34" s="728"/>
    </row>
    <row r="35" spans="1:12" x14ac:dyDescent="0.2">
      <c r="A35" s="670" t="s">
        <v>904</v>
      </c>
      <c r="B35" s="717" t="s">
        <v>923</v>
      </c>
      <c r="C35" s="719"/>
      <c r="D35" s="719"/>
      <c r="E35" s="719"/>
      <c r="F35" s="730"/>
      <c r="G35" s="672" t="s">
        <v>916</v>
      </c>
      <c r="H35" s="732" t="s">
        <v>992</v>
      </c>
      <c r="I35" s="722"/>
      <c r="J35" s="722"/>
      <c r="K35" s="722"/>
      <c r="L35" s="728"/>
    </row>
    <row r="36" spans="1:12" x14ac:dyDescent="0.2">
      <c r="A36" s="670" t="s">
        <v>906</v>
      </c>
      <c r="B36" s="779" t="s">
        <v>1022</v>
      </c>
      <c r="C36" s="719"/>
      <c r="D36" s="719"/>
      <c r="E36" s="719"/>
      <c r="F36" s="730"/>
      <c r="G36" s="797" t="s">
        <v>1042</v>
      </c>
      <c r="H36" s="778" t="s">
        <v>1038</v>
      </c>
      <c r="I36" s="722"/>
      <c r="J36" s="722"/>
      <c r="K36" s="722"/>
      <c r="L36" s="728"/>
    </row>
    <row r="37" spans="1:12" x14ac:dyDescent="0.2">
      <c r="A37" s="671" t="s">
        <v>907</v>
      </c>
      <c r="B37" s="717" t="s">
        <v>893</v>
      </c>
      <c r="C37" s="719"/>
      <c r="D37" s="719"/>
      <c r="E37" s="719"/>
      <c r="F37" s="730"/>
      <c r="G37" s="672" t="s">
        <v>918</v>
      </c>
      <c r="H37" s="732" t="s">
        <v>993</v>
      </c>
      <c r="I37" s="722"/>
      <c r="J37" s="722"/>
      <c r="K37" s="722"/>
      <c r="L37" s="728"/>
    </row>
    <row r="38" spans="1:12" x14ac:dyDescent="0.2">
      <c r="A38" s="671" t="s">
        <v>907</v>
      </c>
      <c r="B38" s="717" t="s">
        <v>890</v>
      </c>
      <c r="C38" s="719"/>
      <c r="D38" s="719"/>
      <c r="E38" s="719"/>
      <c r="F38" s="730"/>
      <c r="G38" s="672" t="s">
        <v>914</v>
      </c>
      <c r="H38" s="732" t="s">
        <v>486</v>
      </c>
      <c r="I38" s="722"/>
      <c r="J38" s="722"/>
      <c r="K38" s="722"/>
      <c r="L38" s="728"/>
    </row>
    <row r="39" spans="1:12" x14ac:dyDescent="0.2">
      <c r="C39" s="673"/>
      <c r="D39" s="673"/>
      <c r="E39" s="673"/>
      <c r="F39" s="673" t="s">
        <v>911</v>
      </c>
      <c r="G39" s="672" t="s">
        <v>914</v>
      </c>
      <c r="H39" s="664"/>
    </row>
    <row r="40" spans="1:12" x14ac:dyDescent="0.2">
      <c r="C40" s="542"/>
      <c r="D40" s="542"/>
      <c r="E40" s="542"/>
      <c r="F40" s="542" t="s">
        <v>910</v>
      </c>
      <c r="G40" s="672" t="s">
        <v>994</v>
      </c>
    </row>
    <row r="41" spans="1:12" x14ac:dyDescent="0.2">
      <c r="C41" s="542"/>
      <c r="D41" s="542"/>
      <c r="E41" s="542"/>
      <c r="F41" s="542" t="s">
        <v>909</v>
      </c>
      <c r="G41" s="672" t="s">
        <v>972</v>
      </c>
    </row>
    <row r="43" spans="1:12" x14ac:dyDescent="0.2">
      <c r="A43" s="742" t="s">
        <v>998</v>
      </c>
      <c r="B43" s="703"/>
      <c r="C43" s="704"/>
      <c r="D43" s="705" t="s">
        <v>935</v>
      </c>
      <c r="E43" s="704"/>
      <c r="F43" s="706"/>
      <c r="G43" s="669" t="s">
        <v>908</v>
      </c>
      <c r="H43" s="708"/>
      <c r="I43" s="721"/>
      <c r="J43" s="721" t="s">
        <v>1008</v>
      </c>
      <c r="K43" s="721"/>
      <c r="L43" s="727"/>
    </row>
    <row r="44" spans="1:12" x14ac:dyDescent="0.2">
      <c r="A44" s="670" t="s">
        <v>905</v>
      </c>
      <c r="B44" s="781" t="s">
        <v>1039</v>
      </c>
      <c r="C44" s="704"/>
      <c r="D44" s="704"/>
      <c r="E44" s="704"/>
      <c r="F44" s="706"/>
      <c r="G44" s="672" t="s">
        <v>956</v>
      </c>
      <c r="H44" s="778" t="s">
        <v>1037</v>
      </c>
      <c r="I44" s="722"/>
      <c r="J44" s="722"/>
      <c r="K44" s="722"/>
      <c r="L44" s="728"/>
    </row>
    <row r="45" spans="1:12" x14ac:dyDescent="0.2">
      <c r="A45" s="670" t="s">
        <v>904</v>
      </c>
      <c r="B45" s="781" t="s">
        <v>1034</v>
      </c>
      <c r="C45" s="704"/>
      <c r="D45" s="704"/>
      <c r="E45" s="704"/>
      <c r="F45" s="706"/>
      <c r="G45" s="672" t="s">
        <v>957</v>
      </c>
      <c r="H45" s="732" t="s">
        <v>992</v>
      </c>
      <c r="I45" s="722"/>
      <c r="J45" s="722"/>
      <c r="K45" s="722"/>
      <c r="L45" s="728"/>
    </row>
    <row r="46" spans="1:12" x14ac:dyDescent="0.2">
      <c r="A46" s="670" t="s">
        <v>906</v>
      </c>
      <c r="B46" s="781" t="s">
        <v>1040</v>
      </c>
      <c r="C46" s="704"/>
      <c r="D46" s="704"/>
      <c r="E46" s="704"/>
      <c r="F46" s="706"/>
      <c r="G46" s="672" t="s">
        <v>918</v>
      </c>
      <c r="H46" s="778" t="s">
        <v>1019</v>
      </c>
      <c r="I46" s="722"/>
      <c r="J46" s="722"/>
      <c r="K46" s="722"/>
      <c r="L46" s="728"/>
    </row>
    <row r="47" spans="1:12" x14ac:dyDescent="0.2">
      <c r="A47" s="671" t="s">
        <v>907</v>
      </c>
      <c r="B47" s="707" t="s">
        <v>944</v>
      </c>
      <c r="C47" s="704"/>
      <c r="D47" s="704"/>
      <c r="E47" s="704"/>
      <c r="F47" s="706"/>
      <c r="G47" s="672" t="s">
        <v>957</v>
      </c>
      <c r="H47" s="732" t="s">
        <v>987</v>
      </c>
      <c r="I47" s="722"/>
      <c r="J47" s="722"/>
      <c r="K47" s="722"/>
      <c r="L47" s="728"/>
    </row>
    <row r="48" spans="1:12" x14ac:dyDescent="0.2">
      <c r="A48" s="671" t="s">
        <v>907</v>
      </c>
      <c r="B48" s="707" t="s">
        <v>1001</v>
      </c>
      <c r="C48" s="704"/>
      <c r="D48" s="704"/>
      <c r="E48" s="704"/>
      <c r="F48" s="706"/>
      <c r="G48" s="672" t="s">
        <v>930</v>
      </c>
      <c r="H48" s="732" t="s">
        <v>486</v>
      </c>
      <c r="I48" s="722"/>
      <c r="J48" s="722"/>
      <c r="K48" s="722"/>
      <c r="L48" s="728"/>
    </row>
    <row r="49" spans="1:12" x14ac:dyDescent="0.2">
      <c r="C49" s="673"/>
      <c r="D49" s="673"/>
      <c r="E49" s="673"/>
      <c r="F49" s="673" t="s">
        <v>911</v>
      </c>
      <c r="G49" s="672" t="s">
        <v>1000</v>
      </c>
      <c r="H49" s="664"/>
    </row>
    <row r="50" spans="1:12" x14ac:dyDescent="0.2">
      <c r="C50" s="542"/>
      <c r="D50" s="542"/>
      <c r="E50" s="542"/>
      <c r="F50" s="542" t="s">
        <v>910</v>
      </c>
      <c r="G50" s="672" t="s">
        <v>967</v>
      </c>
    </row>
    <row r="51" spans="1:12" x14ac:dyDescent="0.2">
      <c r="C51" s="542"/>
      <c r="D51" s="542"/>
      <c r="E51" s="542"/>
      <c r="F51" s="542" t="s">
        <v>909</v>
      </c>
      <c r="G51" s="672" t="s">
        <v>972</v>
      </c>
    </row>
    <row r="53" spans="1:12" x14ac:dyDescent="0.2">
      <c r="A53" s="742" t="s">
        <v>999</v>
      </c>
      <c r="B53" s="688"/>
      <c r="C53" s="665"/>
      <c r="D53" s="665" t="s">
        <v>669</v>
      </c>
      <c r="E53" s="665"/>
      <c r="F53" s="666"/>
      <c r="G53" s="669" t="s">
        <v>908</v>
      </c>
      <c r="H53" s="713"/>
      <c r="I53" s="667"/>
      <c r="J53" s="667" t="s">
        <v>1006</v>
      </c>
      <c r="K53" s="667"/>
      <c r="L53" s="729"/>
    </row>
    <row r="54" spans="1:12" x14ac:dyDescent="0.2">
      <c r="A54" s="670" t="s">
        <v>905</v>
      </c>
      <c r="B54" s="780" t="s">
        <v>1035</v>
      </c>
      <c r="C54" s="718"/>
      <c r="D54" s="718"/>
      <c r="E54" s="718"/>
      <c r="F54" s="723"/>
      <c r="G54" s="672" t="s">
        <v>977</v>
      </c>
      <c r="H54" s="779" t="s">
        <v>1041</v>
      </c>
      <c r="I54" s="719"/>
      <c r="J54" s="719"/>
      <c r="K54" s="719"/>
      <c r="L54" s="730"/>
    </row>
    <row r="55" spans="1:12" x14ac:dyDescent="0.2">
      <c r="A55" s="670" t="s">
        <v>904</v>
      </c>
      <c r="B55" s="689" t="s">
        <v>997</v>
      </c>
      <c r="C55" s="718"/>
      <c r="D55" s="718"/>
      <c r="E55" s="718"/>
      <c r="F55" s="723"/>
      <c r="G55" s="672" t="s">
        <v>915</v>
      </c>
      <c r="H55" s="717" t="s">
        <v>1002</v>
      </c>
      <c r="I55" s="719"/>
      <c r="J55" s="719"/>
      <c r="K55" s="719"/>
      <c r="L55" s="730"/>
    </row>
    <row r="56" spans="1:12" x14ac:dyDescent="0.2">
      <c r="A56" s="670" t="s">
        <v>906</v>
      </c>
      <c r="B56" s="780" t="s">
        <v>1016</v>
      </c>
      <c r="C56" s="718"/>
      <c r="D56" s="718"/>
      <c r="E56" s="718"/>
      <c r="F56" s="723"/>
      <c r="G56" s="672" t="s">
        <v>918</v>
      </c>
      <c r="H56" s="779" t="s">
        <v>1022</v>
      </c>
      <c r="I56" s="719"/>
      <c r="J56" s="719"/>
      <c r="K56" s="719"/>
      <c r="L56" s="730"/>
    </row>
    <row r="57" spans="1:12" x14ac:dyDescent="0.2">
      <c r="A57" s="671" t="s">
        <v>907</v>
      </c>
      <c r="B57" s="689" t="s">
        <v>981</v>
      </c>
      <c r="C57" s="718"/>
      <c r="D57" s="718"/>
      <c r="E57" s="718"/>
      <c r="F57" s="723"/>
      <c r="G57" s="672" t="s">
        <v>962</v>
      </c>
      <c r="H57" s="717" t="s">
        <v>893</v>
      </c>
      <c r="I57" s="719"/>
      <c r="J57" s="719"/>
      <c r="K57" s="719"/>
      <c r="L57" s="730"/>
    </row>
    <row r="58" spans="1:12" x14ac:dyDescent="0.2">
      <c r="A58" s="671" t="s">
        <v>907</v>
      </c>
      <c r="B58" s="689" t="s">
        <v>980</v>
      </c>
      <c r="C58" s="718"/>
      <c r="D58" s="718"/>
      <c r="E58" s="718"/>
      <c r="F58" s="723"/>
      <c r="G58" s="797" t="s">
        <v>1042</v>
      </c>
      <c r="H58" s="717" t="s">
        <v>890</v>
      </c>
      <c r="I58" s="719"/>
      <c r="J58" s="719"/>
      <c r="K58" s="719"/>
      <c r="L58" s="730"/>
    </row>
    <row r="59" spans="1:12" x14ac:dyDescent="0.2">
      <c r="C59" s="673"/>
      <c r="D59" s="673"/>
      <c r="E59" s="673"/>
      <c r="F59" s="673" t="s">
        <v>911</v>
      </c>
      <c r="G59" s="672" t="s">
        <v>1003</v>
      </c>
      <c r="H59" s="664"/>
    </row>
    <row r="60" spans="1:12" x14ac:dyDescent="0.2">
      <c r="C60" s="542"/>
      <c r="D60" s="542"/>
      <c r="E60" s="542"/>
      <c r="F60" s="542" t="s">
        <v>910</v>
      </c>
      <c r="G60" s="672" t="s">
        <v>967</v>
      </c>
    </row>
    <row r="61" spans="1:12" x14ac:dyDescent="0.2">
      <c r="C61" s="542"/>
      <c r="D61" s="542"/>
      <c r="E61" s="542"/>
      <c r="F61" s="542" t="s">
        <v>909</v>
      </c>
      <c r="G61" s="672" t="s">
        <v>971</v>
      </c>
    </row>
    <row r="62" spans="1:12" x14ac:dyDescent="0.2">
      <c r="A62" s="682"/>
      <c r="B62" s="683"/>
      <c r="C62" s="683"/>
      <c r="D62" s="683"/>
      <c r="E62" s="683"/>
      <c r="F62" s="683"/>
      <c r="G62" s="684"/>
      <c r="H62" s="685"/>
      <c r="J62" s="686"/>
      <c r="K62" s="685"/>
    </row>
    <row r="63" spans="1:12" x14ac:dyDescent="0.2">
      <c r="A63" s="94">
        <v>1</v>
      </c>
      <c r="B63" s="777" t="s">
        <v>669</v>
      </c>
      <c r="C63" s="734"/>
      <c r="D63" s="683"/>
      <c r="E63" s="683"/>
      <c r="F63" s="683"/>
      <c r="G63" s="684"/>
      <c r="H63" s="685"/>
      <c r="J63" s="686"/>
      <c r="K63" s="685"/>
    </row>
    <row r="64" spans="1:12" x14ac:dyDescent="0.2">
      <c r="A64" s="94">
        <v>2</v>
      </c>
      <c r="B64" s="737" t="s">
        <v>1006</v>
      </c>
      <c r="C64" s="736"/>
      <c r="D64" s="683"/>
      <c r="E64" s="683"/>
      <c r="F64" s="683"/>
      <c r="G64" s="684"/>
      <c r="H64" s="685"/>
      <c r="J64" s="686"/>
      <c r="K64" s="685"/>
    </row>
    <row r="65" spans="1:11" x14ac:dyDescent="0.2">
      <c r="A65" s="94">
        <v>3</v>
      </c>
      <c r="B65" s="738" t="s">
        <v>935</v>
      </c>
      <c r="C65" s="735"/>
      <c r="D65" s="683"/>
      <c r="E65" s="683"/>
      <c r="F65" s="683"/>
      <c r="G65" s="684"/>
      <c r="H65" s="685"/>
      <c r="J65" s="686"/>
      <c r="K65" s="685"/>
    </row>
    <row r="66" spans="1:11" x14ac:dyDescent="0.2">
      <c r="A66" s="94">
        <v>4</v>
      </c>
      <c r="B66" s="750" t="s">
        <v>1008</v>
      </c>
      <c r="C66" s="733"/>
      <c r="D66" s="683"/>
      <c r="E66" s="683"/>
      <c r="F66" s="683"/>
      <c r="G66" s="684"/>
      <c r="H66" s="685"/>
      <c r="J66" s="686"/>
      <c r="K66" s="685"/>
    </row>
    <row r="67" spans="1:11" x14ac:dyDescent="0.2">
      <c r="A67" s="739" t="s">
        <v>989</v>
      </c>
      <c r="B67" s="750" t="s">
        <v>1005</v>
      </c>
      <c r="C67" s="733"/>
      <c r="D67" s="683"/>
      <c r="E67" s="683"/>
      <c r="F67" s="683"/>
      <c r="G67" s="684"/>
      <c r="H67" s="685"/>
      <c r="J67" s="686"/>
      <c r="K67" s="685"/>
    </row>
    <row r="68" spans="1:11" x14ac:dyDescent="0.2">
      <c r="A68" s="739" t="s">
        <v>989</v>
      </c>
      <c r="B68" s="740" t="s">
        <v>1007</v>
      </c>
      <c r="C68" s="733"/>
      <c r="D68" s="683"/>
      <c r="E68" s="683"/>
      <c r="F68" s="683"/>
      <c r="G68" s="684"/>
      <c r="H68" s="685"/>
      <c r="J68" s="686"/>
      <c r="K68" s="685"/>
    </row>
    <row r="69" spans="1:11" x14ac:dyDescent="0.2">
      <c r="A69" s="739" t="s">
        <v>989</v>
      </c>
      <c r="B69" s="740" t="s">
        <v>934</v>
      </c>
      <c r="C69" s="733"/>
      <c r="D69" s="683"/>
      <c r="E69" s="683"/>
      <c r="F69" s="683"/>
      <c r="G69" s="684"/>
      <c r="H69" s="685"/>
      <c r="J69" s="686"/>
      <c r="K69" s="685"/>
    </row>
    <row r="70" spans="1:11" x14ac:dyDescent="0.2">
      <c r="A70" s="682"/>
      <c r="B70" s="683"/>
      <c r="C70" s="683"/>
      <c r="D70" s="683"/>
      <c r="E70" s="683"/>
      <c r="F70" s="683"/>
      <c r="G70" s="684"/>
      <c r="H70" s="685"/>
      <c r="J70" s="686"/>
      <c r="K70" s="685"/>
    </row>
    <row r="71" spans="1:11" x14ac:dyDescent="0.2">
      <c r="A71" s="682"/>
      <c r="B71" s="683"/>
      <c r="C71" s="683"/>
      <c r="D71" s="683"/>
      <c r="E71" s="683"/>
      <c r="F71" s="683"/>
      <c r="G71" s="684"/>
      <c r="H71" s="685"/>
      <c r="J71" s="686"/>
      <c r="K71" s="685"/>
    </row>
    <row r="72" spans="1:11" x14ac:dyDescent="0.2">
      <c r="C72" s="683"/>
      <c r="D72" s="683"/>
      <c r="E72" s="683"/>
      <c r="F72" s="683"/>
      <c r="G72" s="684"/>
      <c r="H72" s="685"/>
      <c r="J72" s="686"/>
      <c r="K72" s="685"/>
    </row>
    <row r="73" spans="1:11" x14ac:dyDescent="0.2">
      <c r="C73" s="683"/>
      <c r="D73" s="683"/>
      <c r="E73" s="683"/>
      <c r="F73" s="683"/>
      <c r="G73" s="684"/>
      <c r="H73" s="685"/>
      <c r="J73" s="686"/>
      <c r="K73" s="685"/>
    </row>
    <row r="74" spans="1:11" x14ac:dyDescent="0.2">
      <c r="C74" s="683"/>
      <c r="D74" s="683"/>
      <c r="E74" s="683"/>
      <c r="F74" s="683"/>
      <c r="G74" s="684"/>
      <c r="H74" s="685"/>
      <c r="J74" s="686"/>
      <c r="K74" s="685"/>
    </row>
    <row r="75" spans="1:11" x14ac:dyDescent="0.2">
      <c r="C75" s="683"/>
      <c r="D75" s="683"/>
      <c r="E75" s="683"/>
      <c r="F75" s="683"/>
      <c r="G75" s="684"/>
      <c r="H75" s="685"/>
      <c r="J75" s="686"/>
      <c r="K75" s="685"/>
    </row>
    <row r="76" spans="1:11" x14ac:dyDescent="0.2">
      <c r="C76" s="683"/>
      <c r="D76" s="683"/>
      <c r="E76" s="683"/>
      <c r="F76" s="683"/>
      <c r="G76" s="684"/>
      <c r="H76" s="685"/>
      <c r="J76" s="686"/>
      <c r="K76" s="685"/>
    </row>
    <row r="77" spans="1:11" x14ac:dyDescent="0.2">
      <c r="C77" s="683"/>
      <c r="D77" s="683"/>
      <c r="E77" s="683"/>
      <c r="F77" s="683"/>
      <c r="G77" s="684"/>
      <c r="H77" s="685"/>
      <c r="J77" s="686"/>
      <c r="K77" s="685"/>
    </row>
    <row r="78" spans="1:11" x14ac:dyDescent="0.2">
      <c r="C78" s="683"/>
      <c r="D78" s="683"/>
      <c r="E78" s="683"/>
      <c r="F78" s="683"/>
      <c r="G78" s="684"/>
      <c r="H78" s="685"/>
      <c r="J78" s="686"/>
      <c r="K78" s="685"/>
    </row>
    <row r="79" spans="1:11" x14ac:dyDescent="0.2">
      <c r="A79" s="682"/>
      <c r="B79" s="683"/>
      <c r="C79" s="683"/>
      <c r="D79" s="683"/>
      <c r="E79" s="683"/>
      <c r="F79" s="683"/>
      <c r="G79" s="684"/>
      <c r="H79" s="685"/>
      <c r="J79" s="686"/>
      <c r="K79" s="685"/>
    </row>
    <row r="80" spans="1:11" x14ac:dyDescent="0.2">
      <c r="A80" s="682"/>
      <c r="B80" s="683"/>
      <c r="C80" s="683"/>
      <c r="D80" s="683"/>
      <c r="E80" s="683"/>
      <c r="F80" s="683"/>
      <c r="G80" s="684"/>
      <c r="H80" s="685"/>
      <c r="J80" s="686"/>
      <c r="K80" s="685"/>
    </row>
    <row r="81" spans="1:11" x14ac:dyDescent="0.2">
      <c r="A81" s="682"/>
      <c r="B81" s="683"/>
      <c r="C81" s="683"/>
      <c r="D81" s="683"/>
      <c r="E81" s="683"/>
      <c r="F81" s="683"/>
      <c r="G81" s="684"/>
      <c r="H81" s="685"/>
      <c r="J81" s="686"/>
      <c r="K81" s="685"/>
    </row>
    <row r="82" spans="1:11" x14ac:dyDescent="0.2">
      <c r="A82" s="682"/>
      <c r="B82" s="683"/>
      <c r="C82" s="683"/>
      <c r="D82" s="683"/>
      <c r="E82" s="683"/>
      <c r="F82" s="683"/>
      <c r="G82" s="684"/>
      <c r="H82" s="685"/>
      <c r="J82" s="686"/>
      <c r="K82" s="685"/>
    </row>
    <row r="83" spans="1:11" x14ac:dyDescent="0.2">
      <c r="A83" s="682"/>
      <c r="B83" s="683"/>
      <c r="C83" s="683"/>
      <c r="D83" s="683"/>
      <c r="E83" s="683"/>
      <c r="F83" s="683"/>
      <c r="G83" s="684"/>
      <c r="H83" s="685"/>
      <c r="J83" s="686"/>
      <c r="K83" s="685"/>
    </row>
    <row r="84" spans="1:11" x14ac:dyDescent="0.2">
      <c r="A84" s="682"/>
      <c r="B84" s="683"/>
      <c r="C84" s="683"/>
      <c r="D84" s="683"/>
      <c r="E84" s="683"/>
      <c r="F84" s="683"/>
      <c r="G84" s="684"/>
      <c r="H84" s="685"/>
      <c r="J84" s="686"/>
      <c r="K84" s="685"/>
    </row>
    <row r="85" spans="1:11" x14ac:dyDescent="0.2">
      <c r="A85" s="682"/>
      <c r="B85" s="683"/>
      <c r="C85" s="683"/>
      <c r="D85" s="683"/>
      <c r="E85" s="683"/>
      <c r="F85" s="683"/>
      <c r="G85" s="684"/>
      <c r="H85" s="685"/>
      <c r="J85" s="686"/>
      <c r="K85" s="685"/>
    </row>
    <row r="86" spans="1:11" x14ac:dyDescent="0.2">
      <c r="A86" s="682"/>
      <c r="B86" s="683"/>
      <c r="C86" s="683"/>
      <c r="D86" s="683"/>
      <c r="E86" s="683"/>
      <c r="F86" s="683"/>
      <c r="G86" s="684"/>
      <c r="H86" s="685"/>
      <c r="J86" s="686"/>
      <c r="K86" s="685"/>
    </row>
    <row r="87" spans="1:11" x14ac:dyDescent="0.2">
      <c r="A87" s="682"/>
      <c r="B87" s="683"/>
      <c r="C87" s="683"/>
      <c r="D87" s="683"/>
      <c r="E87" s="683"/>
      <c r="F87" s="683"/>
      <c r="G87" s="684"/>
      <c r="H87" s="685"/>
      <c r="J87" s="686"/>
      <c r="K87" s="685"/>
    </row>
    <row r="88" spans="1:11" x14ac:dyDescent="0.2">
      <c r="A88" s="682"/>
      <c r="B88" s="683"/>
      <c r="C88" s="683"/>
      <c r="D88" s="683"/>
      <c r="E88" s="683"/>
      <c r="F88" s="683"/>
      <c r="G88" s="684"/>
      <c r="H88" s="685"/>
      <c r="J88" s="686"/>
      <c r="K88" s="685"/>
    </row>
    <row r="89" spans="1:11" x14ac:dyDescent="0.2">
      <c r="A89" s="682"/>
      <c r="B89" s="683"/>
      <c r="C89" s="683"/>
      <c r="D89" s="683"/>
      <c r="E89" s="683"/>
      <c r="F89" s="683"/>
      <c r="G89" s="684"/>
      <c r="H89" s="685"/>
      <c r="J89" s="686"/>
      <c r="K89" s="685"/>
    </row>
    <row r="90" spans="1:11" x14ac:dyDescent="0.2">
      <c r="A90" s="682"/>
      <c r="B90" s="683"/>
      <c r="C90" s="683"/>
      <c r="D90" s="683"/>
      <c r="E90" s="683"/>
      <c r="F90" s="683"/>
      <c r="G90" s="684"/>
      <c r="H90" s="685"/>
      <c r="J90" s="686"/>
      <c r="K90" s="685"/>
    </row>
    <row r="91" spans="1:11" x14ac:dyDescent="0.2">
      <c r="A91" s="682"/>
      <c r="B91" s="683"/>
      <c r="C91" s="683"/>
      <c r="D91" s="683"/>
      <c r="E91" s="683"/>
      <c r="F91" s="683"/>
      <c r="G91" s="684"/>
      <c r="H91" s="685"/>
      <c r="J91" s="686"/>
      <c r="K91" s="685"/>
    </row>
    <row r="92" spans="1:11" x14ac:dyDescent="0.2">
      <c r="A92" s="682"/>
      <c r="B92" s="683"/>
      <c r="C92" s="683"/>
      <c r="D92" s="683"/>
      <c r="E92" s="683"/>
      <c r="F92" s="683"/>
      <c r="G92" s="684"/>
      <c r="H92" s="685"/>
      <c r="J92" s="686"/>
      <c r="K92" s="685"/>
    </row>
    <row r="93" spans="1:11" x14ac:dyDescent="0.2">
      <c r="A93" s="682"/>
      <c r="B93" s="683"/>
      <c r="C93" s="683"/>
      <c r="D93" s="683"/>
      <c r="E93" s="683"/>
      <c r="F93" s="683"/>
      <c r="G93" s="684"/>
      <c r="H93" s="685"/>
      <c r="J93" s="686"/>
      <c r="K93" s="685"/>
    </row>
    <row r="94" spans="1:11" x14ac:dyDescent="0.2">
      <c r="A94" s="682"/>
      <c r="B94" s="683"/>
      <c r="C94" s="683"/>
      <c r="D94" s="683"/>
      <c r="E94" s="683"/>
      <c r="F94" s="683"/>
      <c r="G94" s="684"/>
      <c r="H94" s="685"/>
      <c r="J94" s="686"/>
      <c r="K94" s="685"/>
    </row>
    <row r="95" spans="1:11" x14ac:dyDescent="0.2">
      <c r="A95" s="682"/>
      <c r="B95" s="683"/>
      <c r="C95" s="683"/>
      <c r="D95" s="683"/>
      <c r="E95" s="683"/>
      <c r="F95" s="683"/>
      <c r="G95" s="684"/>
      <c r="H95" s="685"/>
      <c r="J95" s="686"/>
      <c r="K95" s="685"/>
    </row>
    <row r="96" spans="1:11" x14ac:dyDescent="0.2">
      <c r="A96" s="682"/>
      <c r="B96" s="683"/>
      <c r="C96" s="683"/>
      <c r="D96" s="683"/>
      <c r="E96" s="683"/>
      <c r="F96" s="683"/>
      <c r="G96" s="684"/>
      <c r="H96" s="685"/>
      <c r="J96" s="686"/>
      <c r="K96" s="685"/>
    </row>
    <row r="97" spans="1:11" x14ac:dyDescent="0.2">
      <c r="A97" s="682"/>
      <c r="B97" s="683"/>
      <c r="C97" s="683"/>
      <c r="D97" s="683"/>
      <c r="E97" s="683"/>
      <c r="F97" s="683"/>
      <c r="G97" s="684"/>
      <c r="H97" s="685"/>
      <c r="J97" s="686"/>
      <c r="K97" s="685"/>
    </row>
    <row r="98" spans="1:11" x14ac:dyDescent="0.2">
      <c r="A98" s="682"/>
      <c r="B98" s="683"/>
      <c r="C98" s="683"/>
      <c r="D98" s="683"/>
      <c r="E98" s="683"/>
      <c r="F98" s="683"/>
      <c r="G98" s="684"/>
      <c r="H98" s="685"/>
      <c r="J98" s="686"/>
      <c r="K98" s="685"/>
    </row>
    <row r="99" spans="1:11" x14ac:dyDescent="0.2">
      <c r="A99" s="682"/>
      <c r="B99" s="683"/>
      <c r="C99" s="683"/>
      <c r="D99" s="683"/>
      <c r="E99" s="683"/>
      <c r="F99" s="683"/>
      <c r="G99" s="684"/>
      <c r="H99" s="685"/>
      <c r="J99" s="686"/>
      <c r="K99" s="685"/>
    </row>
    <row r="100" spans="1:11" x14ac:dyDescent="0.2">
      <c r="A100" s="682"/>
      <c r="B100" s="683"/>
      <c r="C100" s="683"/>
      <c r="D100" s="683"/>
      <c r="E100" s="683"/>
      <c r="F100" s="683"/>
      <c r="G100" s="684"/>
      <c r="H100" s="685"/>
      <c r="J100" s="686"/>
      <c r="K100" s="685"/>
    </row>
    <row r="101" spans="1:11" x14ac:dyDescent="0.2">
      <c r="A101" s="682"/>
      <c r="B101" s="683"/>
      <c r="C101" s="683"/>
      <c r="D101" s="683"/>
      <c r="E101" s="683"/>
      <c r="F101" s="683"/>
      <c r="G101" s="684"/>
      <c r="H101" s="685"/>
      <c r="J101" s="686"/>
      <c r="K101" s="685"/>
    </row>
    <row r="102" spans="1:11" x14ac:dyDescent="0.2">
      <c r="A102" s="682"/>
      <c r="B102" s="683"/>
      <c r="C102" s="683"/>
      <c r="D102" s="683"/>
      <c r="E102" s="683"/>
      <c r="F102" s="683"/>
      <c r="G102" s="684"/>
      <c r="H102" s="685"/>
      <c r="J102" s="686"/>
      <c r="K102" s="685"/>
    </row>
    <row r="103" spans="1:11" x14ac:dyDescent="0.2">
      <c r="A103" s="682"/>
      <c r="B103" s="683"/>
      <c r="C103" s="683"/>
      <c r="D103" s="683"/>
      <c r="E103" s="683"/>
      <c r="F103" s="683"/>
      <c r="G103" s="684"/>
      <c r="H103" s="685"/>
      <c r="J103" s="686"/>
      <c r="K103" s="685"/>
    </row>
    <row r="104" spans="1:11" x14ac:dyDescent="0.2">
      <c r="A104" s="682"/>
      <c r="B104" s="683"/>
      <c r="C104" s="683"/>
      <c r="D104" s="683"/>
      <c r="E104" s="683"/>
      <c r="F104" s="683"/>
      <c r="G104" s="684"/>
      <c r="H104" s="685"/>
      <c r="J104" s="686"/>
      <c r="K104" s="685"/>
    </row>
    <row r="105" spans="1:11" x14ac:dyDescent="0.2">
      <c r="A105" s="682"/>
      <c r="B105" s="683"/>
      <c r="C105" s="683"/>
      <c r="D105" s="683"/>
      <c r="E105" s="683"/>
      <c r="F105" s="683"/>
      <c r="G105" s="684"/>
      <c r="H105" s="685"/>
      <c r="J105" s="686"/>
      <c r="K105" s="685"/>
    </row>
    <row r="106" spans="1:11" x14ac:dyDescent="0.2">
      <c r="A106" s="682"/>
      <c r="B106" s="683"/>
      <c r="C106" s="683"/>
      <c r="D106" s="683"/>
      <c r="E106" s="683"/>
      <c r="F106" s="683"/>
      <c r="G106" s="684"/>
      <c r="H106" s="685"/>
      <c r="J106" s="686"/>
      <c r="K106" s="685"/>
    </row>
    <row r="107" spans="1:11" x14ac:dyDescent="0.2">
      <c r="A107" s="682"/>
      <c r="B107" s="683"/>
      <c r="C107" s="683"/>
      <c r="D107" s="683"/>
      <c r="E107" s="683"/>
      <c r="F107" s="683"/>
      <c r="G107" s="684"/>
      <c r="H107" s="685"/>
      <c r="J107" s="686"/>
      <c r="K107" s="685"/>
    </row>
    <row r="108" spans="1:11" x14ac:dyDescent="0.2">
      <c r="A108" s="682"/>
      <c r="B108" s="683"/>
      <c r="C108" s="683"/>
      <c r="D108" s="683"/>
      <c r="E108" s="683"/>
      <c r="F108" s="683"/>
      <c r="G108" s="684"/>
      <c r="H108" s="685"/>
      <c r="J108" s="686"/>
      <c r="K108" s="685"/>
    </row>
    <row r="109" spans="1:11" x14ac:dyDescent="0.2">
      <c r="A109" s="682"/>
      <c r="B109" s="683"/>
      <c r="C109" s="683"/>
      <c r="D109" s="683"/>
      <c r="E109" s="683"/>
      <c r="F109" s="683"/>
      <c r="G109" s="684"/>
      <c r="H109" s="685"/>
      <c r="J109" s="686"/>
      <c r="K109" s="685"/>
    </row>
    <row r="110" spans="1:11" x14ac:dyDescent="0.2">
      <c r="A110" s="682"/>
      <c r="B110" s="683"/>
      <c r="C110" s="683"/>
      <c r="D110" s="683"/>
      <c r="E110" s="683"/>
      <c r="F110" s="683"/>
      <c r="G110" s="684"/>
      <c r="H110" s="685"/>
      <c r="J110" s="686"/>
      <c r="K110" s="685"/>
    </row>
    <row r="111" spans="1:11" x14ac:dyDescent="0.2">
      <c r="A111" s="682"/>
      <c r="B111" s="683"/>
      <c r="C111" s="683"/>
      <c r="D111" s="683"/>
      <c r="E111" s="683"/>
      <c r="F111" s="683"/>
      <c r="G111" s="684"/>
      <c r="H111" s="685"/>
      <c r="J111" s="686"/>
      <c r="K111" s="685"/>
    </row>
    <row r="112" spans="1:11" x14ac:dyDescent="0.2">
      <c r="C112" s="683"/>
      <c r="D112" s="683"/>
      <c r="E112" s="683"/>
      <c r="F112" s="683"/>
      <c r="G112" s="684"/>
      <c r="H112" s="685"/>
      <c r="J112" s="686"/>
      <c r="K112" s="685"/>
    </row>
    <row r="113" spans="1:11" x14ac:dyDescent="0.2">
      <c r="C113" s="683"/>
      <c r="D113" s="683"/>
      <c r="E113" s="683"/>
      <c r="F113" s="683"/>
      <c r="G113" s="684"/>
      <c r="H113" s="685"/>
      <c r="J113" s="686"/>
      <c r="K113" s="685"/>
    </row>
    <row r="114" spans="1:11" x14ac:dyDescent="0.2">
      <c r="C114" s="683"/>
      <c r="D114" s="683"/>
      <c r="E114" s="683"/>
      <c r="F114" s="683"/>
      <c r="G114" s="684"/>
      <c r="H114" s="685"/>
      <c r="J114" s="686"/>
      <c r="K114" s="685"/>
    </row>
    <row r="115" spans="1:11" x14ac:dyDescent="0.2">
      <c r="C115" s="683"/>
      <c r="D115" s="683"/>
      <c r="E115" s="683"/>
      <c r="F115" s="683"/>
      <c r="G115" s="684"/>
      <c r="H115" s="685"/>
      <c r="J115" s="686"/>
      <c r="K115" s="685"/>
    </row>
    <row r="116" spans="1:11" x14ac:dyDescent="0.2">
      <c r="C116" s="683"/>
      <c r="D116" s="683"/>
      <c r="E116" s="683"/>
      <c r="F116" s="683"/>
      <c r="G116" s="684"/>
      <c r="H116" s="685"/>
      <c r="J116" s="686"/>
      <c r="K116" s="685"/>
    </row>
    <row r="117" spans="1:11" x14ac:dyDescent="0.2">
      <c r="C117" s="683"/>
      <c r="D117" s="683"/>
      <c r="E117" s="683"/>
      <c r="F117" s="683"/>
      <c r="G117" s="684"/>
      <c r="H117" s="685"/>
      <c r="J117" s="686"/>
      <c r="K117" s="685"/>
    </row>
    <row r="118" spans="1:11" x14ac:dyDescent="0.2">
      <c r="C118" s="683"/>
      <c r="D118" s="683"/>
      <c r="E118" s="683"/>
      <c r="F118" s="683"/>
      <c r="G118" s="684"/>
      <c r="H118" s="685"/>
      <c r="J118" s="686"/>
      <c r="K118" s="685"/>
    </row>
    <row r="119" spans="1:11" x14ac:dyDescent="0.2">
      <c r="A119" s="682"/>
      <c r="B119" s="683"/>
      <c r="C119" s="683"/>
      <c r="D119" s="683"/>
      <c r="E119" s="683"/>
      <c r="F119" s="683"/>
      <c r="G119" s="684"/>
      <c r="H119" s="685"/>
      <c r="J119" s="686"/>
      <c r="K119" s="685"/>
    </row>
    <row r="120" spans="1:11" x14ac:dyDescent="0.2">
      <c r="A120" s="682"/>
      <c r="B120" s="683"/>
      <c r="C120" s="683"/>
      <c r="D120" s="683"/>
      <c r="E120" s="683"/>
      <c r="F120" s="683"/>
      <c r="G120" s="684"/>
      <c r="H120" s="685"/>
      <c r="J120" s="686"/>
      <c r="K120" s="685"/>
    </row>
    <row r="121" spans="1:11" x14ac:dyDescent="0.2">
      <c r="A121" s="682"/>
      <c r="B121" s="683"/>
      <c r="C121" s="683"/>
      <c r="D121" s="683"/>
      <c r="E121" s="683"/>
      <c r="F121" s="683"/>
      <c r="G121" s="684"/>
      <c r="H121" s="685"/>
      <c r="J121" s="686"/>
      <c r="K121" s="685"/>
    </row>
    <row r="122" spans="1:11" x14ac:dyDescent="0.2">
      <c r="A122" s="682"/>
      <c r="B122" s="683"/>
      <c r="C122" s="683"/>
      <c r="D122" s="683"/>
      <c r="E122" s="683"/>
      <c r="F122" s="683"/>
      <c r="G122" s="684"/>
      <c r="H122" s="685"/>
      <c r="J122" s="686"/>
      <c r="K122" s="685"/>
    </row>
    <row r="123" spans="1:11" x14ac:dyDescent="0.2">
      <c r="A123" s="682"/>
      <c r="B123" s="683"/>
      <c r="C123" s="683"/>
      <c r="D123" s="683"/>
      <c r="E123" s="683"/>
      <c r="F123" s="683"/>
      <c r="G123" s="684"/>
      <c r="H123" s="685"/>
      <c r="J123" s="686"/>
      <c r="K123" s="685"/>
    </row>
    <row r="124" spans="1:11" x14ac:dyDescent="0.2">
      <c r="A124" s="682"/>
      <c r="B124" s="683"/>
      <c r="C124" s="683"/>
      <c r="D124" s="683"/>
      <c r="E124" s="683"/>
      <c r="F124" s="683"/>
      <c r="G124" s="684"/>
      <c r="H124" s="685"/>
      <c r="J124" s="686"/>
      <c r="K124" s="685"/>
    </row>
    <row r="125" spans="1:11" x14ac:dyDescent="0.2">
      <c r="A125" s="682"/>
      <c r="B125" s="683"/>
      <c r="C125" s="683"/>
      <c r="D125" s="683"/>
      <c r="E125" s="683"/>
      <c r="F125" s="683"/>
      <c r="G125" s="684"/>
      <c r="H125" s="685"/>
      <c r="J125" s="686"/>
      <c r="K125" s="685"/>
    </row>
    <row r="126" spans="1:11" x14ac:dyDescent="0.2">
      <c r="A126" s="682"/>
      <c r="B126" s="683"/>
      <c r="C126" s="683"/>
      <c r="D126" s="683"/>
      <c r="E126" s="683"/>
      <c r="F126" s="683"/>
      <c r="G126" s="684"/>
      <c r="H126" s="685"/>
      <c r="J126" s="686"/>
      <c r="K126" s="685"/>
    </row>
    <row r="127" spans="1:11" x14ac:dyDescent="0.2">
      <c r="A127" s="682"/>
      <c r="B127" s="683"/>
      <c r="C127" s="683"/>
      <c r="D127" s="683"/>
      <c r="E127" s="683"/>
      <c r="F127" s="683"/>
      <c r="G127" s="684"/>
      <c r="H127" s="685"/>
      <c r="J127" s="686"/>
      <c r="K127" s="685"/>
    </row>
    <row r="128" spans="1:11" x14ac:dyDescent="0.2">
      <c r="A128" s="682"/>
      <c r="B128" s="683"/>
      <c r="C128" s="683"/>
      <c r="D128" s="683"/>
      <c r="E128" s="683"/>
      <c r="F128" s="683"/>
      <c r="G128" s="684"/>
      <c r="H128" s="685"/>
      <c r="J128" s="686"/>
      <c r="K128" s="685"/>
    </row>
    <row r="129" spans="1:11" x14ac:dyDescent="0.2">
      <c r="A129" s="682"/>
      <c r="B129" s="683"/>
      <c r="C129" s="683"/>
      <c r="D129" s="683"/>
      <c r="E129" s="683"/>
      <c r="F129" s="683"/>
      <c r="G129" s="684"/>
      <c r="H129" s="685"/>
      <c r="J129" s="686"/>
      <c r="K129" s="685"/>
    </row>
    <row r="130" spans="1:11" x14ac:dyDescent="0.2">
      <c r="A130" s="682"/>
      <c r="B130" s="683"/>
      <c r="C130" s="683"/>
      <c r="D130" s="683"/>
      <c r="E130" s="683"/>
      <c r="F130" s="683"/>
      <c r="G130" s="684"/>
      <c r="H130" s="685"/>
      <c r="J130" s="686"/>
      <c r="K130" s="685"/>
    </row>
    <row r="131" spans="1:11" x14ac:dyDescent="0.2">
      <c r="A131" s="682"/>
      <c r="B131" s="683"/>
      <c r="C131" s="683"/>
      <c r="D131" s="683"/>
      <c r="E131" s="683"/>
      <c r="F131" s="683"/>
      <c r="G131" s="684"/>
      <c r="H131" s="685"/>
      <c r="J131" s="686"/>
      <c r="K131" s="685"/>
    </row>
    <row r="132" spans="1:11" x14ac:dyDescent="0.2">
      <c r="A132" s="682"/>
      <c r="B132" s="683"/>
      <c r="C132" s="683"/>
      <c r="D132" s="683"/>
      <c r="E132" s="683"/>
      <c r="F132" s="683"/>
      <c r="G132" s="684"/>
      <c r="H132" s="685"/>
      <c r="J132" s="686"/>
      <c r="K132" s="685"/>
    </row>
    <row r="133" spans="1:11" x14ac:dyDescent="0.2">
      <c r="A133" s="682"/>
      <c r="B133" s="683"/>
      <c r="C133" s="683"/>
      <c r="D133" s="683"/>
      <c r="E133" s="683"/>
      <c r="F133" s="683"/>
      <c r="G133" s="684"/>
      <c r="H133" s="685"/>
      <c r="J133" s="686"/>
      <c r="K133" s="685"/>
    </row>
    <row r="134" spans="1:11" x14ac:dyDescent="0.2">
      <c r="A134" s="682"/>
      <c r="B134" s="683"/>
      <c r="C134" s="683"/>
      <c r="D134" s="683"/>
      <c r="E134" s="683"/>
      <c r="F134" s="683"/>
      <c r="G134" s="684"/>
      <c r="H134" s="685"/>
      <c r="J134" s="686"/>
      <c r="K134" s="685"/>
    </row>
    <row r="135" spans="1:11" x14ac:dyDescent="0.2">
      <c r="A135" s="682"/>
      <c r="B135" s="683"/>
      <c r="C135" s="683"/>
      <c r="D135" s="683"/>
      <c r="E135" s="683"/>
      <c r="F135" s="683"/>
      <c r="G135" s="684"/>
      <c r="H135" s="685"/>
      <c r="J135" s="686"/>
      <c r="K135" s="685"/>
    </row>
    <row r="136" spans="1:11" x14ac:dyDescent="0.2">
      <c r="A136" s="682"/>
      <c r="B136" s="683"/>
      <c r="C136" s="683"/>
      <c r="D136" s="683"/>
      <c r="E136" s="683"/>
      <c r="F136" s="683"/>
      <c r="G136" s="684"/>
      <c r="H136" s="685"/>
      <c r="J136" s="686"/>
      <c r="K136" s="685"/>
    </row>
    <row r="137" spans="1:11" x14ac:dyDescent="0.2">
      <c r="A137" s="682"/>
      <c r="B137" s="683"/>
      <c r="C137" s="683"/>
      <c r="D137" s="683"/>
      <c r="E137" s="683"/>
      <c r="F137" s="683"/>
      <c r="G137" s="684"/>
      <c r="H137" s="685"/>
      <c r="J137" s="686"/>
      <c r="K137" s="685"/>
    </row>
    <row r="138" spans="1:11" x14ac:dyDescent="0.2">
      <c r="A138" s="682"/>
      <c r="B138" s="683"/>
      <c r="C138" s="683"/>
      <c r="D138" s="683"/>
      <c r="E138" s="683"/>
      <c r="F138" s="683"/>
      <c r="G138" s="684"/>
      <c r="H138" s="685"/>
      <c r="J138" s="686"/>
      <c r="K138" s="685"/>
    </row>
    <row r="139" spans="1:11" x14ac:dyDescent="0.2">
      <c r="A139" s="682"/>
      <c r="B139" s="683"/>
      <c r="C139" s="683"/>
      <c r="D139" s="683"/>
      <c r="E139" s="683"/>
      <c r="F139" s="683"/>
      <c r="G139" s="684"/>
      <c r="H139" s="685"/>
      <c r="J139" s="686"/>
      <c r="K139" s="685"/>
    </row>
    <row r="140" spans="1:11" x14ac:dyDescent="0.2">
      <c r="A140" s="682"/>
      <c r="B140" s="683"/>
      <c r="C140" s="683"/>
      <c r="D140" s="683"/>
      <c r="E140" s="683"/>
      <c r="F140" s="683"/>
      <c r="G140" s="684"/>
      <c r="H140" s="685"/>
      <c r="J140" s="686"/>
      <c r="K140" s="685"/>
    </row>
    <row r="141" spans="1:11" x14ac:dyDescent="0.2">
      <c r="A141" s="682"/>
      <c r="B141" s="683"/>
      <c r="C141" s="683"/>
      <c r="D141" s="683"/>
      <c r="E141" s="683"/>
      <c r="F141" s="683"/>
      <c r="G141" s="684"/>
      <c r="H141" s="685"/>
      <c r="J141" s="686"/>
      <c r="K141" s="685"/>
    </row>
    <row r="142" spans="1:11" x14ac:dyDescent="0.2">
      <c r="A142" s="682"/>
      <c r="B142" s="683"/>
      <c r="C142" s="683"/>
      <c r="D142" s="683"/>
      <c r="E142" s="683"/>
      <c r="F142" s="683"/>
      <c r="G142" s="684"/>
      <c r="H142" s="685"/>
      <c r="J142" s="686"/>
      <c r="K142" s="685"/>
    </row>
    <row r="143" spans="1:11" x14ac:dyDescent="0.2">
      <c r="A143" s="682"/>
      <c r="B143" s="683"/>
      <c r="C143" s="683"/>
      <c r="D143" s="683"/>
      <c r="E143" s="683"/>
      <c r="F143" s="683"/>
      <c r="G143" s="684"/>
      <c r="H143" s="685"/>
      <c r="J143" s="686"/>
      <c r="K143" s="685"/>
    </row>
    <row r="144" spans="1:11" x14ac:dyDescent="0.2">
      <c r="A144" s="682"/>
      <c r="B144" s="683"/>
      <c r="C144" s="683"/>
      <c r="D144" s="683"/>
      <c r="E144" s="683"/>
      <c r="F144" s="683"/>
      <c r="G144" s="684"/>
      <c r="H144" s="685"/>
      <c r="J144" s="686"/>
      <c r="K144" s="685"/>
    </row>
    <row r="145" spans="1:11" x14ac:dyDescent="0.2">
      <c r="A145" s="682"/>
      <c r="B145" s="683"/>
      <c r="C145" s="683"/>
      <c r="D145" s="683"/>
      <c r="E145" s="683"/>
      <c r="F145" s="683"/>
      <c r="G145" s="684"/>
      <c r="H145" s="685"/>
      <c r="J145" s="686"/>
      <c r="K145" s="685"/>
    </row>
    <row r="146" spans="1:11" x14ac:dyDescent="0.2">
      <c r="A146" s="682"/>
      <c r="B146" s="683"/>
      <c r="C146" s="683"/>
      <c r="D146" s="683"/>
      <c r="E146" s="683"/>
      <c r="F146" s="683"/>
      <c r="G146" s="684"/>
      <c r="H146" s="685"/>
      <c r="J146" s="686"/>
      <c r="K146" s="685"/>
    </row>
    <row r="147" spans="1:11" x14ac:dyDescent="0.2">
      <c r="A147" s="682"/>
      <c r="B147" s="683"/>
      <c r="C147" s="683"/>
      <c r="D147" s="683"/>
      <c r="E147" s="683"/>
      <c r="F147" s="683"/>
      <c r="G147" s="684"/>
      <c r="H147" s="685"/>
      <c r="J147" s="686"/>
      <c r="K147" s="685"/>
    </row>
    <row r="148" spans="1:11" x14ac:dyDescent="0.2">
      <c r="A148" s="682"/>
      <c r="B148" s="683"/>
      <c r="C148" s="683"/>
      <c r="D148" s="683"/>
      <c r="E148" s="683"/>
      <c r="F148" s="683"/>
      <c r="G148" s="684"/>
      <c r="H148" s="685"/>
      <c r="J148" s="686"/>
      <c r="K148" s="685"/>
    </row>
    <row r="149" spans="1:11" x14ac:dyDescent="0.2">
      <c r="A149" s="682"/>
      <c r="B149" s="683"/>
      <c r="C149" s="683"/>
      <c r="D149" s="683"/>
      <c r="E149" s="683"/>
      <c r="F149" s="683"/>
      <c r="G149" s="684"/>
      <c r="H149" s="685"/>
      <c r="J149" s="686"/>
      <c r="K149" s="685"/>
    </row>
    <row r="150" spans="1:11" x14ac:dyDescent="0.2">
      <c r="A150" s="682"/>
      <c r="B150" s="683"/>
      <c r="C150" s="683"/>
      <c r="D150" s="683"/>
      <c r="E150" s="683"/>
      <c r="F150" s="683"/>
      <c r="G150" s="684"/>
      <c r="H150" s="685"/>
      <c r="J150" s="686"/>
      <c r="K150" s="685"/>
    </row>
    <row r="151" spans="1:11" x14ac:dyDescent="0.2">
      <c r="A151" s="682"/>
      <c r="B151" s="683"/>
      <c r="C151" s="683"/>
      <c r="D151" s="683"/>
      <c r="E151" s="683"/>
      <c r="F151" s="683"/>
      <c r="G151" s="684"/>
      <c r="H151" s="685"/>
      <c r="J151" s="686"/>
      <c r="K151" s="685"/>
    </row>
    <row r="152" spans="1:11" x14ac:dyDescent="0.2">
      <c r="A152" s="682"/>
      <c r="B152" s="683"/>
      <c r="C152" s="683"/>
      <c r="D152" s="683"/>
      <c r="E152" s="683"/>
      <c r="F152" s="683"/>
      <c r="G152" s="684"/>
      <c r="H152" s="685"/>
      <c r="J152" s="686"/>
      <c r="K152" s="685"/>
    </row>
    <row r="153" spans="1:11" x14ac:dyDescent="0.2">
      <c r="A153" s="682"/>
      <c r="B153" s="683"/>
      <c r="C153" s="683"/>
      <c r="D153" s="683"/>
      <c r="E153" s="683"/>
      <c r="F153" s="683"/>
      <c r="G153" s="684"/>
      <c r="H153" s="685"/>
      <c r="J153" s="686"/>
      <c r="K153" s="685"/>
    </row>
    <row r="154" spans="1:11" x14ac:dyDescent="0.2">
      <c r="A154" s="682"/>
      <c r="B154" s="683"/>
      <c r="C154" s="683"/>
      <c r="D154" s="683"/>
      <c r="E154" s="683"/>
      <c r="F154" s="683"/>
      <c r="G154" s="684"/>
      <c r="H154" s="685"/>
      <c r="J154" s="686"/>
      <c r="K154" s="685"/>
    </row>
    <row r="155" spans="1:11" x14ac:dyDescent="0.2">
      <c r="A155" s="682"/>
      <c r="B155" s="683"/>
      <c r="C155" s="683"/>
      <c r="D155" s="683"/>
      <c r="E155" s="683"/>
      <c r="F155" s="683"/>
      <c r="G155" s="684"/>
      <c r="H155" s="685"/>
      <c r="J155" s="686"/>
      <c r="K155" s="685"/>
    </row>
    <row r="156" spans="1:11" x14ac:dyDescent="0.2">
      <c r="A156" s="682"/>
      <c r="B156" s="683"/>
      <c r="C156" s="683"/>
      <c r="D156" s="683"/>
      <c r="E156" s="683"/>
      <c r="F156" s="683"/>
      <c r="G156" s="684"/>
      <c r="H156" s="685"/>
      <c r="J156" s="686"/>
      <c r="K156" s="685"/>
    </row>
    <row r="157" spans="1:11" x14ac:dyDescent="0.2">
      <c r="A157" s="682"/>
      <c r="B157" s="683"/>
      <c r="C157" s="683"/>
      <c r="D157" s="683"/>
      <c r="E157" s="683"/>
      <c r="F157" s="683"/>
      <c r="G157" s="684"/>
      <c r="H157" s="685"/>
      <c r="J157" s="686"/>
      <c r="K157" s="685"/>
    </row>
    <row r="158" spans="1:11" x14ac:dyDescent="0.2">
      <c r="A158" s="682"/>
      <c r="B158" s="683"/>
      <c r="C158" s="683"/>
      <c r="D158" s="683"/>
      <c r="E158" s="683"/>
      <c r="F158" s="683"/>
      <c r="G158" s="684"/>
      <c r="H158" s="685"/>
      <c r="J158" s="686"/>
      <c r="K158" s="685"/>
    </row>
    <row r="159" spans="1:11" x14ac:dyDescent="0.2">
      <c r="C159" s="683"/>
      <c r="D159" s="683"/>
      <c r="E159" s="683"/>
      <c r="F159" s="683"/>
      <c r="G159" s="684"/>
      <c r="H159" s="685"/>
      <c r="J159" s="686"/>
      <c r="K159" s="685"/>
    </row>
    <row r="160" spans="1:11" x14ac:dyDescent="0.2">
      <c r="C160" s="683"/>
      <c r="D160" s="683"/>
      <c r="E160" s="683"/>
      <c r="F160" s="683"/>
      <c r="G160" s="684"/>
      <c r="H160" s="685"/>
      <c r="J160" s="686"/>
      <c r="K160" s="685"/>
    </row>
    <row r="161" spans="1:11" x14ac:dyDescent="0.2">
      <c r="C161" s="683"/>
      <c r="D161" s="683"/>
      <c r="E161" s="683"/>
      <c r="F161" s="683"/>
      <c r="G161" s="684"/>
      <c r="H161" s="685"/>
      <c r="J161" s="686"/>
      <c r="K161" s="685"/>
    </row>
    <row r="162" spans="1:11" x14ac:dyDescent="0.2">
      <c r="C162" s="683"/>
      <c r="D162" s="683"/>
      <c r="E162" s="683"/>
      <c r="F162" s="683"/>
      <c r="G162" s="684"/>
      <c r="H162" s="685"/>
      <c r="J162" s="686"/>
      <c r="K162" s="685"/>
    </row>
    <row r="163" spans="1:11" x14ac:dyDescent="0.2">
      <c r="C163" s="683"/>
      <c r="D163" s="683"/>
      <c r="E163" s="683"/>
      <c r="F163" s="683"/>
      <c r="G163" s="684"/>
      <c r="H163" s="685"/>
      <c r="J163" s="686"/>
      <c r="K163" s="685"/>
    </row>
    <row r="164" spans="1:11" x14ac:dyDescent="0.2">
      <c r="C164" s="683"/>
      <c r="D164" s="683"/>
      <c r="E164" s="683"/>
      <c r="F164" s="683"/>
      <c r="G164" s="684"/>
      <c r="H164" s="685"/>
      <c r="J164" s="686"/>
      <c r="K164" s="685"/>
    </row>
    <row r="165" spans="1:11" x14ac:dyDescent="0.2">
      <c r="C165" s="683"/>
      <c r="D165" s="683"/>
      <c r="E165" s="683"/>
      <c r="F165" s="683"/>
      <c r="G165" s="684"/>
      <c r="H165" s="685"/>
      <c r="J165" s="686"/>
      <c r="K165" s="685"/>
    </row>
    <row r="166" spans="1:11" x14ac:dyDescent="0.2">
      <c r="A166" s="682"/>
      <c r="B166" s="683"/>
      <c r="C166" s="683"/>
      <c r="D166" s="683"/>
      <c r="E166" s="683"/>
      <c r="F166" s="683"/>
      <c r="G166" s="684"/>
      <c r="H166" s="685"/>
      <c r="J166" s="686"/>
      <c r="K166" s="685"/>
    </row>
    <row r="167" spans="1:11" x14ac:dyDescent="0.2">
      <c r="A167" s="682"/>
      <c r="B167" s="683"/>
      <c r="C167" s="683"/>
      <c r="D167" s="683"/>
      <c r="E167" s="683"/>
      <c r="F167" s="683"/>
      <c r="G167" s="684"/>
      <c r="H167" s="685"/>
      <c r="J167" s="686"/>
      <c r="K167" s="685"/>
    </row>
    <row r="168" spans="1:11" x14ac:dyDescent="0.2">
      <c r="A168" s="682"/>
      <c r="B168" s="683"/>
      <c r="C168" s="683"/>
      <c r="D168" s="683"/>
      <c r="E168" s="683"/>
      <c r="F168" s="683"/>
      <c r="G168" s="684"/>
      <c r="H168" s="685"/>
      <c r="J168" s="686"/>
      <c r="K168" s="685"/>
    </row>
    <row r="169" spans="1:11" x14ac:dyDescent="0.2">
      <c r="A169" s="682"/>
      <c r="B169" s="683"/>
      <c r="C169" s="683"/>
      <c r="D169" s="683"/>
      <c r="E169" s="683"/>
      <c r="F169" s="683"/>
      <c r="G169" s="684"/>
      <c r="H169" s="685"/>
      <c r="J169" s="686"/>
      <c r="K169" s="685"/>
    </row>
    <row r="170" spans="1:11" x14ac:dyDescent="0.2">
      <c r="A170" s="682"/>
      <c r="B170" s="683"/>
      <c r="C170" s="683"/>
      <c r="D170" s="683"/>
      <c r="E170" s="683"/>
      <c r="F170" s="683"/>
      <c r="G170" s="684"/>
      <c r="H170" s="685"/>
      <c r="J170" s="686"/>
      <c r="K170" s="685"/>
    </row>
    <row r="171" spans="1:11" x14ac:dyDescent="0.2">
      <c r="A171" s="682"/>
      <c r="B171" s="683"/>
      <c r="C171" s="683"/>
      <c r="D171" s="683"/>
      <c r="E171" s="683"/>
      <c r="F171" s="683"/>
      <c r="G171" s="684"/>
      <c r="H171" s="685"/>
      <c r="J171" s="686"/>
      <c r="K171" s="685"/>
    </row>
    <row r="172" spans="1:11" x14ac:dyDescent="0.2">
      <c r="A172" s="682"/>
      <c r="B172" s="683"/>
      <c r="C172" s="683"/>
      <c r="D172" s="683"/>
      <c r="E172" s="683"/>
      <c r="F172" s="683"/>
      <c r="G172" s="684"/>
      <c r="H172" s="685"/>
      <c r="J172" s="686"/>
      <c r="K172" s="685"/>
    </row>
    <row r="173" spans="1:11" x14ac:dyDescent="0.2">
      <c r="A173" s="682"/>
      <c r="B173" s="683"/>
      <c r="C173" s="683"/>
      <c r="D173" s="683"/>
      <c r="E173" s="683"/>
      <c r="F173" s="683"/>
      <c r="G173" s="684"/>
      <c r="H173" s="685"/>
      <c r="J173" s="686"/>
      <c r="K173" s="685"/>
    </row>
    <row r="174" spans="1:11" x14ac:dyDescent="0.2">
      <c r="A174" s="682"/>
      <c r="B174" s="683"/>
      <c r="C174" s="683"/>
      <c r="D174" s="683"/>
      <c r="E174" s="683"/>
      <c r="F174" s="683"/>
      <c r="G174" s="684"/>
      <c r="H174" s="685"/>
      <c r="J174" s="686"/>
      <c r="K174" s="685"/>
    </row>
    <row r="175" spans="1:11" x14ac:dyDescent="0.2">
      <c r="A175" s="682"/>
      <c r="B175" s="683"/>
      <c r="C175" s="683"/>
      <c r="D175" s="683"/>
      <c r="E175" s="683"/>
      <c r="F175" s="683"/>
      <c r="G175" s="684"/>
      <c r="H175" s="685"/>
      <c r="J175" s="686"/>
      <c r="K175" s="685"/>
    </row>
    <row r="176" spans="1:11" x14ac:dyDescent="0.2">
      <c r="A176" s="682"/>
      <c r="B176" s="683"/>
      <c r="C176" s="683"/>
      <c r="D176" s="683"/>
      <c r="E176" s="683"/>
      <c r="F176" s="683"/>
      <c r="G176" s="684"/>
      <c r="H176" s="685"/>
      <c r="J176" s="686"/>
      <c r="K176" s="685"/>
    </row>
    <row r="177" spans="1:11" x14ac:dyDescent="0.2">
      <c r="A177" s="682"/>
      <c r="B177" s="683"/>
      <c r="C177" s="683"/>
      <c r="D177" s="683"/>
      <c r="E177" s="683"/>
      <c r="F177" s="683"/>
      <c r="G177" s="684"/>
      <c r="H177" s="685"/>
      <c r="J177" s="686"/>
      <c r="K177" s="685"/>
    </row>
    <row r="178" spans="1:11" x14ac:dyDescent="0.2">
      <c r="A178" s="682"/>
      <c r="B178" s="683"/>
      <c r="C178" s="683"/>
      <c r="D178" s="683"/>
      <c r="E178" s="683"/>
      <c r="F178" s="683"/>
      <c r="G178" s="684"/>
      <c r="H178" s="685"/>
      <c r="J178" s="686"/>
      <c r="K178" s="685"/>
    </row>
    <row r="179" spans="1:11" x14ac:dyDescent="0.2">
      <c r="A179" s="682"/>
      <c r="B179" s="683"/>
      <c r="C179" s="683"/>
      <c r="D179" s="683"/>
      <c r="E179" s="683"/>
      <c r="F179" s="683"/>
      <c r="G179" s="684"/>
      <c r="H179" s="685"/>
      <c r="J179" s="686"/>
      <c r="K179" s="685"/>
    </row>
    <row r="180" spans="1:11" x14ac:dyDescent="0.2">
      <c r="A180" s="682"/>
      <c r="B180" s="683"/>
      <c r="C180" s="683"/>
      <c r="D180" s="683"/>
      <c r="E180" s="683"/>
      <c r="F180" s="683"/>
      <c r="G180" s="684"/>
      <c r="H180" s="685"/>
      <c r="J180" s="686"/>
      <c r="K180" s="685"/>
    </row>
    <row r="181" spans="1:11" x14ac:dyDescent="0.2">
      <c r="A181" s="682"/>
      <c r="B181" s="683"/>
      <c r="C181" s="683"/>
      <c r="D181" s="683"/>
      <c r="E181" s="683"/>
      <c r="F181" s="683"/>
      <c r="G181" s="684"/>
      <c r="H181" s="685"/>
      <c r="J181" s="686"/>
      <c r="K181" s="685"/>
    </row>
    <row r="182" spans="1:11" x14ac:dyDescent="0.2">
      <c r="A182" s="682"/>
      <c r="B182" s="683"/>
      <c r="C182" s="683"/>
      <c r="D182" s="683"/>
      <c r="E182" s="683"/>
      <c r="F182" s="683"/>
      <c r="G182" s="684"/>
      <c r="H182" s="685"/>
      <c r="J182" s="686"/>
      <c r="K182" s="685"/>
    </row>
    <row r="183" spans="1:11" x14ac:dyDescent="0.2">
      <c r="A183" s="682"/>
      <c r="B183" s="683"/>
      <c r="C183" s="683"/>
      <c r="D183" s="683"/>
      <c r="E183" s="683"/>
      <c r="F183" s="683"/>
      <c r="G183" s="684"/>
      <c r="H183" s="685"/>
      <c r="J183" s="686"/>
      <c r="K183" s="685"/>
    </row>
    <row r="184" spans="1:11" x14ac:dyDescent="0.2">
      <c r="A184" s="682"/>
      <c r="B184" s="683"/>
      <c r="C184" s="683"/>
      <c r="D184" s="683"/>
      <c r="E184" s="683"/>
      <c r="F184" s="683"/>
      <c r="G184" s="684"/>
      <c r="H184" s="685"/>
      <c r="J184" s="686"/>
      <c r="K184" s="685"/>
    </row>
    <row r="185" spans="1:11" x14ac:dyDescent="0.2">
      <c r="A185" s="682"/>
      <c r="B185" s="683"/>
      <c r="C185" s="683"/>
      <c r="D185" s="683"/>
      <c r="E185" s="683"/>
      <c r="F185" s="683"/>
      <c r="G185" s="684"/>
      <c r="H185" s="685"/>
      <c r="J185" s="686"/>
      <c r="K185" s="685"/>
    </row>
    <row r="186" spans="1:11" x14ac:dyDescent="0.2">
      <c r="A186" s="682"/>
      <c r="B186" s="683"/>
      <c r="C186" s="683"/>
      <c r="D186" s="683"/>
      <c r="E186" s="683"/>
      <c r="F186" s="683"/>
      <c r="G186" s="684"/>
      <c r="H186" s="685"/>
      <c r="J186" s="686"/>
      <c r="K186" s="685"/>
    </row>
    <row r="187" spans="1:11" x14ac:dyDescent="0.2">
      <c r="A187" s="682"/>
      <c r="B187" s="683"/>
      <c r="C187" s="683"/>
      <c r="D187" s="683"/>
      <c r="E187" s="683"/>
      <c r="F187" s="683"/>
      <c r="G187" s="684"/>
      <c r="H187" s="685"/>
      <c r="J187" s="686"/>
      <c r="K187" s="685"/>
    </row>
    <row r="188" spans="1:11" x14ac:dyDescent="0.2">
      <c r="A188" s="682"/>
      <c r="B188" s="683"/>
      <c r="C188" s="683"/>
      <c r="D188" s="683"/>
      <c r="E188" s="683"/>
      <c r="F188" s="683"/>
      <c r="G188" s="684"/>
      <c r="H188" s="685"/>
      <c r="J188" s="686"/>
      <c r="K188" s="685"/>
    </row>
    <row r="189" spans="1:11" x14ac:dyDescent="0.2">
      <c r="A189" s="682"/>
      <c r="B189" s="683"/>
      <c r="C189" s="683"/>
      <c r="D189" s="683"/>
      <c r="E189" s="683"/>
      <c r="F189" s="683"/>
      <c r="G189" s="684"/>
      <c r="H189" s="685"/>
      <c r="J189" s="686"/>
      <c r="K189" s="685"/>
    </row>
    <row r="190" spans="1:11" x14ac:dyDescent="0.2">
      <c r="A190" s="682"/>
      <c r="B190" s="683"/>
      <c r="C190" s="683"/>
      <c r="D190" s="683"/>
      <c r="E190" s="683"/>
      <c r="F190" s="683"/>
      <c r="G190" s="684"/>
      <c r="H190" s="685"/>
      <c r="J190" s="686"/>
      <c r="K190" s="685"/>
    </row>
    <row r="191" spans="1:11" x14ac:dyDescent="0.2">
      <c r="A191" s="682"/>
      <c r="B191" s="683"/>
      <c r="C191" s="683"/>
      <c r="D191" s="683"/>
      <c r="E191" s="683"/>
      <c r="F191" s="683"/>
      <c r="G191" s="684"/>
      <c r="H191" s="685"/>
      <c r="J191" s="686"/>
      <c r="K191" s="685"/>
    </row>
    <row r="192" spans="1:11" x14ac:dyDescent="0.2">
      <c r="A192" s="682"/>
      <c r="B192" s="683"/>
      <c r="C192" s="683"/>
      <c r="D192" s="683"/>
      <c r="E192" s="683"/>
      <c r="F192" s="683"/>
      <c r="G192" s="684"/>
      <c r="H192" s="685"/>
      <c r="J192" s="686"/>
      <c r="K192" s="685"/>
    </row>
    <row r="193" spans="1:11" x14ac:dyDescent="0.2">
      <c r="A193" s="682"/>
      <c r="B193" s="683"/>
      <c r="C193" s="683"/>
      <c r="D193" s="683"/>
      <c r="E193" s="683"/>
      <c r="F193" s="683"/>
      <c r="G193" s="684"/>
      <c r="H193" s="685"/>
      <c r="J193" s="686"/>
      <c r="K193" s="685"/>
    </row>
    <row r="194" spans="1:11" x14ac:dyDescent="0.2">
      <c r="A194" s="682"/>
      <c r="B194" s="683"/>
      <c r="C194" s="683"/>
      <c r="D194" s="683"/>
      <c r="E194" s="683"/>
      <c r="F194" s="683"/>
      <c r="G194" s="684"/>
      <c r="H194" s="685"/>
      <c r="J194" s="686"/>
      <c r="K194" s="685"/>
    </row>
    <row r="195" spans="1:11" x14ac:dyDescent="0.2">
      <c r="A195" s="682"/>
      <c r="B195" s="683"/>
      <c r="C195" s="683"/>
      <c r="D195" s="683"/>
      <c r="E195" s="683"/>
      <c r="F195" s="683"/>
      <c r="G195" s="684"/>
      <c r="H195" s="685"/>
      <c r="J195" s="686"/>
      <c r="K195" s="685"/>
    </row>
    <row r="196" spans="1:11" x14ac:dyDescent="0.2">
      <c r="A196" s="682"/>
      <c r="B196" s="683"/>
      <c r="C196" s="683"/>
      <c r="D196" s="683"/>
      <c r="E196" s="683"/>
      <c r="F196" s="683"/>
      <c r="G196" s="684"/>
      <c r="H196" s="685"/>
      <c r="J196" s="686"/>
      <c r="K196" s="685"/>
    </row>
    <row r="197" spans="1:11" x14ac:dyDescent="0.2">
      <c r="A197" s="682"/>
      <c r="B197" s="683"/>
      <c r="C197" s="683"/>
      <c r="D197" s="683"/>
      <c r="E197" s="683"/>
      <c r="F197" s="683"/>
      <c r="G197" s="684"/>
      <c r="H197" s="685"/>
      <c r="J197" s="686"/>
      <c r="K197" s="685"/>
    </row>
    <row r="198" spans="1:11" x14ac:dyDescent="0.2">
      <c r="A198" s="682"/>
      <c r="B198" s="683"/>
      <c r="C198" s="683"/>
      <c r="D198" s="683"/>
      <c r="E198" s="683"/>
      <c r="F198" s="683"/>
      <c r="G198" s="684"/>
      <c r="H198" s="685"/>
      <c r="J198" s="686"/>
      <c r="K198" s="685"/>
    </row>
    <row r="210" spans="3:6" x14ac:dyDescent="0.2">
      <c r="C210" s="87"/>
      <c r="D210" s="87"/>
      <c r="E210" s="87"/>
      <c r="F210" s="87"/>
    </row>
    <row r="211" spans="3:6" x14ac:dyDescent="0.2">
      <c r="C211" s="87"/>
      <c r="D211" s="87"/>
      <c r="E211" s="87"/>
      <c r="F211" s="87"/>
    </row>
    <row r="212" spans="3:6" x14ac:dyDescent="0.2">
      <c r="C212" s="87"/>
      <c r="D212" s="87"/>
      <c r="E212" s="87"/>
      <c r="F212" s="87"/>
    </row>
    <row r="213" spans="3:6" x14ac:dyDescent="0.2">
      <c r="C213" s="87"/>
      <c r="D213" s="87"/>
      <c r="E213" s="87"/>
      <c r="F213" s="87"/>
    </row>
  </sheetData>
  <pageMargins left="0.78740157480314965" right="0.39370078740157483" top="0.43307086614173229" bottom="0.31496062992125984" header="0.31496062992125984" footer="0"/>
  <pageSetup paperSize="9" fitToHeight="0" orientation="landscape" r:id="rId1"/>
  <headerFooter>
    <oddHeader>&amp;RPage &amp;P of &amp;N</oddHeader>
  </headerFooter>
  <rowBreaks count="2" manualBreakCount="2">
    <brk id="41" max="11" man="1"/>
    <brk id="6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J63"/>
  <sheetViews>
    <sheetView showGridLines="0" showRowColHeaders="0" zoomScaleNormal="100" workbookViewId="0">
      <pane ySplit="2" topLeftCell="A3" activePane="bottomLeft" state="frozen"/>
      <selection activeCell="J1" sqref="J1"/>
      <selection pane="bottomLeft" activeCell="B1" sqref="B1"/>
    </sheetView>
  </sheetViews>
  <sheetFormatPr defaultRowHeight="12.75" x14ac:dyDescent="0.2"/>
  <cols>
    <col min="1" max="1" width="48.85546875" style="528" bestFit="1" customWidth="1"/>
    <col min="2" max="2" width="7.5703125" style="528" bestFit="1" customWidth="1"/>
    <col min="3" max="3" width="3" style="528" customWidth="1"/>
    <col min="4" max="4" width="4" style="528" customWidth="1"/>
    <col min="5" max="5" width="1.5703125" style="528" customWidth="1"/>
    <col min="6" max="6" width="4" style="879" customWidth="1"/>
    <col min="7" max="7" width="3" style="528" customWidth="1"/>
    <col min="8" max="8" width="7.5703125" style="528" customWidth="1"/>
    <col min="9" max="9" width="57" style="528" bestFit="1" customWidth="1"/>
    <col min="10" max="10" width="2" style="528" bestFit="1" customWidth="1"/>
    <col min="11" max="16384" width="9.140625" style="528"/>
  </cols>
  <sheetData>
    <row r="1" spans="1:10" x14ac:dyDescent="0.2">
      <c r="A1" s="314" t="str">
        <f>UPPER(((Kalend!C36)&amp;" - "&amp;(Kalend!D36)))</f>
        <v>23. EESTI-SOOME MAAVÕISTLUS - TRIO (M,N,55+,J)</v>
      </c>
      <c r="F1" s="878"/>
      <c r="H1" s="204" t="str">
        <f>HYPERLINK("#Üldreiting!I1","Reiting")</f>
        <v>Reiting</v>
      </c>
      <c r="I1" s="801" t="s">
        <v>1061</v>
      </c>
    </row>
    <row r="2" spans="1:10" x14ac:dyDescent="0.2">
      <c r="A2" s="309" t="str">
        <f>"Toimumisaeg: "&amp;(Kalend!A36)&amp;" kell "&amp;(Kalend!B36)</f>
        <v>Toimumisaeg: L, 03.09.2016 kell 10:30</v>
      </c>
    </row>
    <row r="3" spans="1:10" x14ac:dyDescent="0.2">
      <c r="A3" s="309" t="str">
        <f>"Toimumiskoht: "&amp;(Kalend!H36)</f>
        <v>Toimumiskoht: Helsingi, Pasila petangihall</v>
      </c>
    </row>
    <row r="4" spans="1:10" x14ac:dyDescent="0.2">
      <c r="A4" s="309" t="str">
        <f>"Korraldaja: "&amp;(Kalend!I36)</f>
        <v>Korraldaja: Soome petangiliit</v>
      </c>
    </row>
    <row r="5" spans="1:10" x14ac:dyDescent="0.2">
      <c r="B5" s="279"/>
      <c r="C5" s="279"/>
      <c r="D5" s="279"/>
      <c r="E5" s="279"/>
      <c r="F5" s="880"/>
      <c r="G5" s="279"/>
      <c r="H5" s="279"/>
      <c r="I5" s="279"/>
      <c r="J5" s="542" t="s">
        <v>1064</v>
      </c>
    </row>
    <row r="6" spans="1:10" x14ac:dyDescent="0.2">
      <c r="A6" s="883" t="s">
        <v>1055</v>
      </c>
      <c r="B6" s="881" t="s">
        <v>1162</v>
      </c>
      <c r="C6" s="881" t="s">
        <v>632</v>
      </c>
      <c r="D6" s="1105"/>
      <c r="E6" s="1106" t="s">
        <v>835</v>
      </c>
      <c r="F6" s="1107"/>
      <c r="G6" s="881" t="s">
        <v>632</v>
      </c>
      <c r="H6" s="882" t="s">
        <v>1163</v>
      </c>
      <c r="I6" s="881"/>
    </row>
    <row r="7" spans="1:10" x14ac:dyDescent="0.2">
      <c r="A7" s="27" t="s">
        <v>883</v>
      </c>
      <c r="B7" s="669" t="s">
        <v>1159</v>
      </c>
      <c r="C7" s="891">
        <f>IF(D7&gt;F7,1,0)</f>
        <v>0</v>
      </c>
      <c r="D7" s="885">
        <v>7</v>
      </c>
      <c r="E7" s="884" t="s">
        <v>914</v>
      </c>
      <c r="F7" s="886">
        <v>13</v>
      </c>
      <c r="G7" s="892">
        <f>IF(F7&gt;D7,1,0)</f>
        <v>1</v>
      </c>
      <c r="H7" s="669" t="s">
        <v>31</v>
      </c>
      <c r="I7" s="800" t="s">
        <v>1051</v>
      </c>
      <c r="J7" s="528">
        <v>4</v>
      </c>
    </row>
    <row r="8" spans="1:10" x14ac:dyDescent="0.2">
      <c r="A8" s="800" t="s">
        <v>1045</v>
      </c>
      <c r="B8" s="669" t="s">
        <v>1160</v>
      </c>
      <c r="C8" s="891">
        <f t="shared" ref="C8:C12" si="0">IF(D8&gt;F8,1,0)</f>
        <v>0</v>
      </c>
      <c r="D8" s="885">
        <v>11</v>
      </c>
      <c r="E8" s="884" t="s">
        <v>914</v>
      </c>
      <c r="F8" s="888">
        <v>12</v>
      </c>
      <c r="G8" s="892">
        <f t="shared" ref="G8:G12" si="1">IF(F8&gt;D8,1,0)</f>
        <v>1</v>
      </c>
      <c r="H8" s="669" t="s">
        <v>32</v>
      </c>
      <c r="I8" s="800" t="s">
        <v>1052</v>
      </c>
      <c r="J8" s="528">
        <v>3</v>
      </c>
    </row>
    <row r="9" spans="1:10" x14ac:dyDescent="0.2">
      <c r="A9" s="800" t="s">
        <v>1046</v>
      </c>
      <c r="B9" s="669" t="s">
        <v>1161</v>
      </c>
      <c r="C9" s="891">
        <f t="shared" si="0"/>
        <v>0</v>
      </c>
      <c r="D9" s="885">
        <v>8</v>
      </c>
      <c r="E9" s="884" t="s">
        <v>914</v>
      </c>
      <c r="F9" s="888">
        <v>9</v>
      </c>
      <c r="G9" s="892">
        <f t="shared" si="1"/>
        <v>1</v>
      </c>
      <c r="H9" s="669" t="s">
        <v>1159</v>
      </c>
      <c r="I9" s="27" t="s">
        <v>1053</v>
      </c>
      <c r="J9" s="528">
        <v>2</v>
      </c>
    </row>
    <row r="10" spans="1:10" x14ac:dyDescent="0.2">
      <c r="A10" s="27" t="s">
        <v>1047</v>
      </c>
      <c r="B10" s="669" t="s">
        <v>1164</v>
      </c>
      <c r="C10" s="891">
        <f t="shared" si="0"/>
        <v>0</v>
      </c>
      <c r="D10" s="885">
        <v>5</v>
      </c>
      <c r="E10" s="884" t="s">
        <v>914</v>
      </c>
      <c r="F10" s="886">
        <v>13</v>
      </c>
      <c r="G10" s="892">
        <f t="shared" si="1"/>
        <v>1</v>
      </c>
      <c r="H10" s="669" t="s">
        <v>1160</v>
      </c>
      <c r="I10" s="800" t="s">
        <v>1049</v>
      </c>
      <c r="J10" s="799">
        <v>1</v>
      </c>
    </row>
    <row r="11" spans="1:10" x14ac:dyDescent="0.2">
      <c r="A11" s="27" t="s">
        <v>347</v>
      </c>
      <c r="B11" s="669" t="s">
        <v>31</v>
      </c>
      <c r="C11" s="891">
        <f t="shared" si="0"/>
        <v>0</v>
      </c>
      <c r="D11" s="885">
        <v>2</v>
      </c>
      <c r="E11" s="884" t="s">
        <v>914</v>
      </c>
      <c r="F11" s="886">
        <v>13</v>
      </c>
      <c r="G11" s="892">
        <f t="shared" si="1"/>
        <v>1</v>
      </c>
      <c r="H11" s="669" t="s">
        <v>1161</v>
      </c>
      <c r="I11" s="800" t="s">
        <v>1050</v>
      </c>
      <c r="J11" s="528">
        <v>6</v>
      </c>
    </row>
    <row r="12" spans="1:10" x14ac:dyDescent="0.2">
      <c r="A12" s="27" t="s">
        <v>1048</v>
      </c>
      <c r="B12" s="669" t="s">
        <v>32</v>
      </c>
      <c r="C12" s="891">
        <f t="shared" si="0"/>
        <v>0</v>
      </c>
      <c r="D12" s="885">
        <v>2</v>
      </c>
      <c r="E12" s="884" t="s">
        <v>914</v>
      </c>
      <c r="F12" s="886">
        <v>13</v>
      </c>
      <c r="G12" s="892">
        <f t="shared" si="1"/>
        <v>1</v>
      </c>
      <c r="H12" s="669" t="s">
        <v>1164</v>
      </c>
      <c r="I12" s="800" t="s">
        <v>1054</v>
      </c>
      <c r="J12" s="528">
        <v>5</v>
      </c>
    </row>
    <row r="13" spans="1:10" s="531" customFormat="1" x14ac:dyDescent="0.2">
      <c r="A13" s="799"/>
      <c r="B13" s="802" t="s">
        <v>834</v>
      </c>
      <c r="C13" s="894">
        <f>SUM(C7:C12)</f>
        <v>0</v>
      </c>
      <c r="D13" s="895">
        <f>SUM(D7:D12)</f>
        <v>35</v>
      </c>
      <c r="E13" s="893" t="s">
        <v>914</v>
      </c>
      <c r="F13" s="896">
        <f>SUM(F7:F12)</f>
        <v>73</v>
      </c>
      <c r="G13" s="894">
        <f>SUM(G7:G12)</f>
        <v>6</v>
      </c>
      <c r="H13" s="799"/>
      <c r="I13" s="798"/>
    </row>
    <row r="14" spans="1:10" x14ac:dyDescent="0.2">
      <c r="B14" s="279"/>
      <c r="C14" s="279"/>
      <c r="D14" s="279"/>
      <c r="E14" s="279"/>
      <c r="F14" s="880"/>
      <c r="G14" s="279"/>
      <c r="H14" s="279"/>
      <c r="I14" s="279"/>
    </row>
    <row r="15" spans="1:10" x14ac:dyDescent="0.2">
      <c r="A15" s="883" t="s">
        <v>1056</v>
      </c>
      <c r="B15" s="881" t="s">
        <v>1162</v>
      </c>
      <c r="C15" s="881" t="s">
        <v>632</v>
      </c>
      <c r="D15" s="1105"/>
      <c r="E15" s="1106" t="s">
        <v>835</v>
      </c>
      <c r="F15" s="1107"/>
      <c r="G15" s="881" t="s">
        <v>632</v>
      </c>
      <c r="H15" s="882" t="s">
        <v>1163</v>
      </c>
      <c r="I15" s="881"/>
    </row>
    <row r="16" spans="1:10" x14ac:dyDescent="0.2">
      <c r="A16" s="27" t="s">
        <v>883</v>
      </c>
      <c r="B16" s="669" t="s">
        <v>1159</v>
      </c>
      <c r="C16" s="891">
        <f>IF(D16&gt;F16,1,0)</f>
        <v>0</v>
      </c>
      <c r="D16" s="885">
        <v>8</v>
      </c>
      <c r="E16" s="884" t="s">
        <v>914</v>
      </c>
      <c r="F16" s="888">
        <v>11</v>
      </c>
      <c r="G16" s="892">
        <f>IF(F16&gt;D16,1,0)</f>
        <v>1</v>
      </c>
      <c r="H16" s="669" t="s">
        <v>1164</v>
      </c>
      <c r="I16" s="800" t="s">
        <v>1054</v>
      </c>
      <c r="J16" s="528">
        <v>4</v>
      </c>
    </row>
    <row r="17" spans="1:10" x14ac:dyDescent="0.2">
      <c r="A17" s="800" t="s">
        <v>1045</v>
      </c>
      <c r="B17" s="669" t="s">
        <v>1160</v>
      </c>
      <c r="C17" s="891">
        <f t="shared" ref="C17:C21" si="2">IF(D17&gt;F17,1,0)</f>
        <v>1</v>
      </c>
      <c r="D17" s="675">
        <v>8</v>
      </c>
      <c r="E17" s="884" t="s">
        <v>914</v>
      </c>
      <c r="F17" s="887">
        <v>7</v>
      </c>
      <c r="G17" s="892">
        <f t="shared" ref="G17:G21" si="3">IF(F17&gt;D17,1,0)</f>
        <v>0</v>
      </c>
      <c r="H17" s="669" t="s">
        <v>31</v>
      </c>
      <c r="I17" s="800" t="s">
        <v>1051</v>
      </c>
      <c r="J17" s="528">
        <v>5</v>
      </c>
    </row>
    <row r="18" spans="1:10" x14ac:dyDescent="0.2">
      <c r="A18" s="800" t="s">
        <v>1062</v>
      </c>
      <c r="B18" s="669" t="s">
        <v>1161</v>
      </c>
      <c r="C18" s="891">
        <f t="shared" si="2"/>
        <v>1</v>
      </c>
      <c r="D18" s="885">
        <v>13</v>
      </c>
      <c r="E18" s="884" t="s">
        <v>914</v>
      </c>
      <c r="F18" s="887">
        <v>4</v>
      </c>
      <c r="G18" s="892">
        <f t="shared" si="3"/>
        <v>0</v>
      </c>
      <c r="H18" s="669" t="s">
        <v>32</v>
      </c>
      <c r="I18" s="800" t="s">
        <v>1052</v>
      </c>
      <c r="J18" s="528">
        <v>6</v>
      </c>
    </row>
    <row r="19" spans="1:10" x14ac:dyDescent="0.2">
      <c r="A19" s="27" t="s">
        <v>1047</v>
      </c>
      <c r="B19" s="669" t="s">
        <v>1164</v>
      </c>
      <c r="C19" s="891">
        <f t="shared" si="2"/>
        <v>0</v>
      </c>
      <c r="D19" s="885">
        <v>11</v>
      </c>
      <c r="E19" s="884" t="s">
        <v>914</v>
      </c>
      <c r="F19" s="888">
        <v>12</v>
      </c>
      <c r="G19" s="892">
        <f t="shared" si="3"/>
        <v>1</v>
      </c>
      <c r="H19" s="669" t="s">
        <v>1159</v>
      </c>
      <c r="I19" s="27" t="s">
        <v>1053</v>
      </c>
      <c r="J19" s="528">
        <v>1</v>
      </c>
    </row>
    <row r="20" spans="1:10" x14ac:dyDescent="0.2">
      <c r="A20" s="27" t="s">
        <v>347</v>
      </c>
      <c r="B20" s="669" t="s">
        <v>31</v>
      </c>
      <c r="C20" s="891">
        <f t="shared" si="2"/>
        <v>0</v>
      </c>
      <c r="D20" s="885">
        <v>6</v>
      </c>
      <c r="E20" s="884" t="s">
        <v>914</v>
      </c>
      <c r="F20" s="887">
        <v>13</v>
      </c>
      <c r="G20" s="892">
        <f t="shared" si="3"/>
        <v>1</v>
      </c>
      <c r="H20" s="669" t="s">
        <v>1160</v>
      </c>
      <c r="I20" s="800" t="s">
        <v>1049</v>
      </c>
      <c r="J20" s="528">
        <v>2</v>
      </c>
    </row>
    <row r="21" spans="1:10" x14ac:dyDescent="0.2">
      <c r="A21" s="27" t="s">
        <v>1048</v>
      </c>
      <c r="B21" s="669" t="s">
        <v>32</v>
      </c>
      <c r="C21" s="891">
        <f t="shared" si="2"/>
        <v>0</v>
      </c>
      <c r="D21" s="885">
        <v>0</v>
      </c>
      <c r="E21" s="884" t="s">
        <v>914</v>
      </c>
      <c r="F21" s="887">
        <v>13</v>
      </c>
      <c r="G21" s="892">
        <f t="shared" si="3"/>
        <v>1</v>
      </c>
      <c r="H21" s="669" t="s">
        <v>1161</v>
      </c>
      <c r="I21" s="800" t="s">
        <v>1050</v>
      </c>
      <c r="J21" s="528">
        <v>3</v>
      </c>
    </row>
    <row r="22" spans="1:10" s="531" customFormat="1" x14ac:dyDescent="0.2">
      <c r="A22" s="799"/>
      <c r="B22" s="802" t="s">
        <v>834</v>
      </c>
      <c r="C22" s="894">
        <f>SUM(C16:C21)</f>
        <v>2</v>
      </c>
      <c r="D22" s="895">
        <f>SUM(D16:D21)</f>
        <v>46</v>
      </c>
      <c r="E22" s="893" t="s">
        <v>914</v>
      </c>
      <c r="F22" s="896">
        <f>SUM(F16:F21)</f>
        <v>60</v>
      </c>
      <c r="G22" s="894">
        <f>SUM(G16:G21)</f>
        <v>4</v>
      </c>
      <c r="H22" s="799"/>
      <c r="I22" s="798"/>
    </row>
    <row r="23" spans="1:10" x14ac:dyDescent="0.2">
      <c r="B23" s="803" t="s">
        <v>30</v>
      </c>
      <c r="C23" s="897">
        <f>C13+C22</f>
        <v>2</v>
      </c>
      <c r="D23" s="898">
        <f>D13+D22</f>
        <v>81</v>
      </c>
      <c r="E23" s="899" t="s">
        <v>914</v>
      </c>
      <c r="F23" s="900">
        <f>F13+F22</f>
        <v>133</v>
      </c>
      <c r="G23" s="897">
        <f>G13+G22</f>
        <v>10</v>
      </c>
    </row>
    <row r="24" spans="1:10" x14ac:dyDescent="0.2">
      <c r="B24" s="279"/>
      <c r="C24" s="279"/>
      <c r="D24" s="279"/>
      <c r="E24" s="279"/>
      <c r="F24" s="880"/>
      <c r="G24" s="279"/>
      <c r="H24" s="279"/>
      <c r="I24" s="279"/>
    </row>
    <row r="25" spans="1:10" x14ac:dyDescent="0.2">
      <c r="A25" s="883" t="s">
        <v>1060</v>
      </c>
      <c r="B25" s="881" t="s">
        <v>1162</v>
      </c>
      <c r="C25" s="881" t="s">
        <v>632</v>
      </c>
      <c r="D25" s="1105"/>
      <c r="E25" s="1106" t="s">
        <v>835</v>
      </c>
      <c r="F25" s="1107"/>
      <c r="G25" s="881" t="s">
        <v>632</v>
      </c>
      <c r="H25" s="882" t="s">
        <v>1163</v>
      </c>
      <c r="I25" s="881"/>
    </row>
    <row r="26" spans="1:10" x14ac:dyDescent="0.2">
      <c r="A26" s="27" t="s">
        <v>883</v>
      </c>
      <c r="B26" s="669" t="s">
        <v>1159</v>
      </c>
      <c r="C26" s="891">
        <f>IF(D26&gt;F26,1,0)</f>
        <v>1</v>
      </c>
      <c r="D26" s="885">
        <v>13</v>
      </c>
      <c r="E26" s="884" t="s">
        <v>914</v>
      </c>
      <c r="F26" s="887">
        <v>7</v>
      </c>
      <c r="G26" s="892">
        <f>IF(F26&gt;D26,1,0)</f>
        <v>0</v>
      </c>
      <c r="H26" s="669" t="s">
        <v>31</v>
      </c>
      <c r="I26" s="800" t="s">
        <v>1051</v>
      </c>
      <c r="J26" s="528">
        <v>3</v>
      </c>
    </row>
    <row r="27" spans="1:10" x14ac:dyDescent="0.2">
      <c r="A27" s="800" t="s">
        <v>1045</v>
      </c>
      <c r="B27" s="669" t="s">
        <v>1160</v>
      </c>
      <c r="C27" s="891">
        <f t="shared" ref="C27:C31" si="4">IF(D27&gt;F27,1,0)</f>
        <v>0</v>
      </c>
      <c r="D27" s="885">
        <v>8</v>
      </c>
      <c r="E27" s="884" t="s">
        <v>914</v>
      </c>
      <c r="F27" s="888">
        <v>11</v>
      </c>
      <c r="G27" s="892">
        <f t="shared" ref="G27:G31" si="5">IF(F27&gt;D27,1,0)</f>
        <v>1</v>
      </c>
      <c r="H27" s="669" t="s">
        <v>32</v>
      </c>
      <c r="I27" s="800" t="s">
        <v>1052</v>
      </c>
      <c r="J27" s="528">
        <v>5</v>
      </c>
    </row>
    <row r="28" spans="1:10" x14ac:dyDescent="0.2">
      <c r="A28" s="800" t="s">
        <v>1046</v>
      </c>
      <c r="B28" s="669" t="s">
        <v>1161</v>
      </c>
      <c r="C28" s="891">
        <f t="shared" si="4"/>
        <v>0</v>
      </c>
      <c r="D28" s="885">
        <v>0</v>
      </c>
      <c r="E28" s="884" t="s">
        <v>914</v>
      </c>
      <c r="F28" s="887">
        <v>13</v>
      </c>
      <c r="G28" s="892">
        <f t="shared" si="5"/>
        <v>1</v>
      </c>
      <c r="H28" s="669" t="s">
        <v>1159</v>
      </c>
      <c r="I28" s="27" t="s">
        <v>1053</v>
      </c>
      <c r="J28" s="528">
        <v>1</v>
      </c>
    </row>
    <row r="29" spans="1:10" x14ac:dyDescent="0.2">
      <c r="A29" s="27" t="s">
        <v>1047</v>
      </c>
      <c r="B29" s="669" t="s">
        <v>1164</v>
      </c>
      <c r="C29" s="891">
        <f t="shared" si="4"/>
        <v>0</v>
      </c>
      <c r="D29" s="885">
        <v>4</v>
      </c>
      <c r="E29" s="884" t="s">
        <v>914</v>
      </c>
      <c r="F29" s="887">
        <v>13</v>
      </c>
      <c r="G29" s="892">
        <f t="shared" si="5"/>
        <v>1</v>
      </c>
      <c r="H29" s="669" t="s">
        <v>1160</v>
      </c>
      <c r="I29" s="800" t="s">
        <v>1049</v>
      </c>
      <c r="J29" s="528">
        <v>6</v>
      </c>
    </row>
    <row r="30" spans="1:10" x14ac:dyDescent="0.2">
      <c r="A30" s="27" t="s">
        <v>347</v>
      </c>
      <c r="B30" s="669" t="s">
        <v>31</v>
      </c>
      <c r="C30" s="891">
        <f t="shared" si="4"/>
        <v>0</v>
      </c>
      <c r="D30" s="885">
        <v>5</v>
      </c>
      <c r="E30" s="884" t="s">
        <v>914</v>
      </c>
      <c r="F30" s="887">
        <v>13</v>
      </c>
      <c r="G30" s="892">
        <f t="shared" si="5"/>
        <v>1</v>
      </c>
      <c r="H30" s="669" t="s">
        <v>1161</v>
      </c>
      <c r="I30" s="800" t="s">
        <v>1050</v>
      </c>
      <c r="J30" s="528">
        <v>2</v>
      </c>
    </row>
    <row r="31" spans="1:10" x14ac:dyDescent="0.2">
      <c r="A31" s="27" t="s">
        <v>1048</v>
      </c>
      <c r="B31" s="669" t="s">
        <v>32</v>
      </c>
      <c r="C31" s="891">
        <f t="shared" si="4"/>
        <v>0</v>
      </c>
      <c r="D31" s="885">
        <v>6</v>
      </c>
      <c r="E31" s="884" t="s">
        <v>914</v>
      </c>
      <c r="F31" s="887">
        <v>13</v>
      </c>
      <c r="G31" s="892">
        <f t="shared" si="5"/>
        <v>1</v>
      </c>
      <c r="H31" s="669" t="s">
        <v>1164</v>
      </c>
      <c r="I31" s="800" t="s">
        <v>1054</v>
      </c>
      <c r="J31" s="528">
        <v>4</v>
      </c>
    </row>
    <row r="32" spans="1:10" s="531" customFormat="1" x14ac:dyDescent="0.2">
      <c r="A32" s="799"/>
      <c r="B32" s="802" t="s">
        <v>834</v>
      </c>
      <c r="C32" s="894">
        <f>SUM(C26:C31)</f>
        <v>1</v>
      </c>
      <c r="D32" s="895">
        <f>SUM(D26:D31)</f>
        <v>36</v>
      </c>
      <c r="E32" s="893" t="s">
        <v>914</v>
      </c>
      <c r="F32" s="896">
        <f>SUM(F26:F31)</f>
        <v>70</v>
      </c>
      <c r="G32" s="894">
        <f>SUM(G26:G31)</f>
        <v>5</v>
      </c>
      <c r="H32" s="799"/>
      <c r="I32" s="798"/>
    </row>
    <row r="33" spans="1:10" x14ac:dyDescent="0.2">
      <c r="B33" s="803" t="s">
        <v>30</v>
      </c>
      <c r="C33" s="897">
        <f>C23+C32</f>
        <v>3</v>
      </c>
      <c r="D33" s="898">
        <f>D23+D32</f>
        <v>117</v>
      </c>
      <c r="E33" s="899" t="s">
        <v>914</v>
      </c>
      <c r="F33" s="900">
        <f>F23+F32</f>
        <v>203</v>
      </c>
      <c r="G33" s="897">
        <f>G23+G32</f>
        <v>15</v>
      </c>
    </row>
    <row r="34" spans="1:10" x14ac:dyDescent="0.2">
      <c r="B34" s="279"/>
      <c r="C34" s="279"/>
      <c r="D34" s="279"/>
      <c r="E34" s="279"/>
      <c r="F34" s="880"/>
      <c r="G34" s="279"/>
      <c r="H34" s="279"/>
      <c r="I34" s="279"/>
    </row>
    <row r="35" spans="1:10" x14ac:dyDescent="0.2">
      <c r="A35" s="883" t="s">
        <v>1059</v>
      </c>
      <c r="B35" s="881" t="s">
        <v>1162</v>
      </c>
      <c r="C35" s="881" t="s">
        <v>632</v>
      </c>
      <c r="D35" s="1105"/>
      <c r="E35" s="1106" t="s">
        <v>835</v>
      </c>
      <c r="F35" s="1107"/>
      <c r="G35" s="881" t="s">
        <v>632</v>
      </c>
      <c r="H35" s="882" t="s">
        <v>1163</v>
      </c>
      <c r="I35" s="881"/>
    </row>
    <row r="36" spans="1:10" x14ac:dyDescent="0.2">
      <c r="A36" s="27" t="s">
        <v>883</v>
      </c>
      <c r="B36" s="669" t="s">
        <v>1159</v>
      </c>
      <c r="C36" s="891">
        <f>IF(D36&gt;F36,1,0)</f>
        <v>1</v>
      </c>
      <c r="D36" s="675">
        <v>9</v>
      </c>
      <c r="E36" s="884" t="s">
        <v>914</v>
      </c>
      <c r="F36" s="887">
        <v>7</v>
      </c>
      <c r="G36" s="892">
        <v>0</v>
      </c>
      <c r="H36" s="669" t="s">
        <v>32</v>
      </c>
      <c r="I36" s="800" t="s">
        <v>1052</v>
      </c>
      <c r="J36" s="528">
        <v>3</v>
      </c>
    </row>
    <row r="37" spans="1:10" x14ac:dyDescent="0.2">
      <c r="A37" s="800" t="s">
        <v>1045</v>
      </c>
      <c r="B37" s="669" t="s">
        <v>1160</v>
      </c>
      <c r="C37" s="891">
        <f t="shared" ref="C37:C41" si="6">IF(D37&gt;F37,1,0)</f>
        <v>1</v>
      </c>
      <c r="D37" s="675">
        <v>11</v>
      </c>
      <c r="E37" s="884" t="s">
        <v>914</v>
      </c>
      <c r="F37" s="887">
        <v>10</v>
      </c>
      <c r="G37" s="892">
        <v>0</v>
      </c>
      <c r="H37" s="669" t="s">
        <v>1159</v>
      </c>
      <c r="I37" s="27" t="s">
        <v>1053</v>
      </c>
      <c r="J37" s="528">
        <v>2</v>
      </c>
    </row>
    <row r="38" spans="1:10" x14ac:dyDescent="0.2">
      <c r="A38" s="800" t="s">
        <v>1046</v>
      </c>
      <c r="B38" s="669" t="s">
        <v>1161</v>
      </c>
      <c r="C38" s="891">
        <f t="shared" si="6"/>
        <v>0</v>
      </c>
      <c r="D38" s="885">
        <v>4</v>
      </c>
      <c r="E38" s="884" t="s">
        <v>914</v>
      </c>
      <c r="F38" s="887">
        <v>13</v>
      </c>
      <c r="G38" s="892">
        <v>1</v>
      </c>
      <c r="H38" s="669" t="s">
        <v>1160</v>
      </c>
      <c r="I38" s="800" t="s">
        <v>1049</v>
      </c>
      <c r="J38" s="528">
        <v>4</v>
      </c>
    </row>
    <row r="39" spans="1:10" x14ac:dyDescent="0.2">
      <c r="A39" s="27" t="s">
        <v>1047</v>
      </c>
      <c r="B39" s="669" t="s">
        <v>1164</v>
      </c>
      <c r="C39" s="891">
        <f t="shared" si="6"/>
        <v>0</v>
      </c>
      <c r="D39" s="885">
        <v>4</v>
      </c>
      <c r="E39" s="884" t="s">
        <v>914</v>
      </c>
      <c r="F39" s="887">
        <v>13</v>
      </c>
      <c r="G39" s="892">
        <v>1</v>
      </c>
      <c r="H39" s="669" t="s">
        <v>1161</v>
      </c>
      <c r="I39" s="800" t="s">
        <v>1050</v>
      </c>
      <c r="J39" s="528">
        <v>1</v>
      </c>
    </row>
    <row r="40" spans="1:10" x14ac:dyDescent="0.2">
      <c r="A40" s="27" t="s">
        <v>347</v>
      </c>
      <c r="B40" s="669" t="s">
        <v>31</v>
      </c>
      <c r="C40" s="891">
        <f t="shared" si="6"/>
        <v>0</v>
      </c>
      <c r="D40" s="885">
        <v>4</v>
      </c>
      <c r="E40" s="884" t="s">
        <v>914</v>
      </c>
      <c r="F40" s="887">
        <v>11</v>
      </c>
      <c r="G40" s="892">
        <v>1</v>
      </c>
      <c r="H40" s="669" t="s">
        <v>1164</v>
      </c>
      <c r="I40" s="800" t="s">
        <v>1054</v>
      </c>
      <c r="J40" s="528">
        <v>5</v>
      </c>
    </row>
    <row r="41" spans="1:10" x14ac:dyDescent="0.2">
      <c r="A41" s="27" t="s">
        <v>1048</v>
      </c>
      <c r="B41" s="669" t="s">
        <v>32</v>
      </c>
      <c r="C41" s="891">
        <f t="shared" si="6"/>
        <v>0</v>
      </c>
      <c r="D41" s="885">
        <v>2</v>
      </c>
      <c r="E41" s="884" t="s">
        <v>914</v>
      </c>
      <c r="F41" s="887">
        <v>13</v>
      </c>
      <c r="G41" s="892">
        <v>1</v>
      </c>
      <c r="H41" s="669" t="s">
        <v>31</v>
      </c>
      <c r="I41" s="800" t="s">
        <v>1051</v>
      </c>
      <c r="J41" s="528">
        <v>6</v>
      </c>
    </row>
    <row r="42" spans="1:10" x14ac:dyDescent="0.2">
      <c r="A42" s="799"/>
      <c r="B42" s="802" t="s">
        <v>834</v>
      </c>
      <c r="C42" s="894">
        <f>SUM(C36:C41)</f>
        <v>2</v>
      </c>
      <c r="D42" s="895">
        <f>SUM(D36:D41)</f>
        <v>34</v>
      </c>
      <c r="E42" s="893" t="s">
        <v>914</v>
      </c>
      <c r="F42" s="896">
        <f>SUM(F36:F41)</f>
        <v>67</v>
      </c>
      <c r="G42" s="894">
        <f>SUM(G36:G41)</f>
        <v>4</v>
      </c>
      <c r="H42" s="799"/>
      <c r="I42" s="798"/>
    </row>
    <row r="43" spans="1:10" x14ac:dyDescent="0.2">
      <c r="B43" s="803" t="s">
        <v>30</v>
      </c>
      <c r="C43" s="897">
        <f>C33+C42</f>
        <v>5</v>
      </c>
      <c r="D43" s="898">
        <f>D33+D42</f>
        <v>151</v>
      </c>
      <c r="E43" s="899" t="s">
        <v>914</v>
      </c>
      <c r="F43" s="900">
        <f>F33+F42</f>
        <v>270</v>
      </c>
      <c r="G43" s="897">
        <f>G33+G42</f>
        <v>19</v>
      </c>
    </row>
    <row r="44" spans="1:10" x14ac:dyDescent="0.2">
      <c r="B44" s="279"/>
      <c r="C44" s="279"/>
      <c r="D44" s="279"/>
      <c r="E44" s="279"/>
      <c r="F44" s="880"/>
      <c r="G44" s="279"/>
      <c r="H44" s="279"/>
      <c r="I44" s="279"/>
    </row>
    <row r="45" spans="1:10" x14ac:dyDescent="0.2">
      <c r="A45" s="883" t="s">
        <v>1058</v>
      </c>
      <c r="B45" s="881" t="s">
        <v>1162</v>
      </c>
      <c r="C45" s="881" t="s">
        <v>632</v>
      </c>
      <c r="D45" s="1105"/>
      <c r="E45" s="1106" t="s">
        <v>835</v>
      </c>
      <c r="F45" s="1107"/>
      <c r="G45" s="881" t="s">
        <v>632</v>
      </c>
      <c r="H45" s="882" t="s">
        <v>1163</v>
      </c>
      <c r="I45" s="881"/>
    </row>
    <row r="46" spans="1:10" x14ac:dyDescent="0.2">
      <c r="A46" s="27" t="s">
        <v>883</v>
      </c>
      <c r="B46" s="669" t="s">
        <v>1159</v>
      </c>
      <c r="C46" s="891">
        <f>IF(D46&gt;F46,1,0)</f>
        <v>0</v>
      </c>
      <c r="D46" s="885">
        <v>8</v>
      </c>
      <c r="E46" s="884" t="s">
        <v>914</v>
      </c>
      <c r="F46" s="887">
        <v>13</v>
      </c>
      <c r="G46" s="892">
        <f>IF(F46&gt;D46,1,0)</f>
        <v>1</v>
      </c>
      <c r="H46" s="669" t="s">
        <v>1159</v>
      </c>
      <c r="I46" s="27" t="s">
        <v>1053</v>
      </c>
      <c r="J46" s="528">
        <v>1</v>
      </c>
    </row>
    <row r="47" spans="1:10" x14ac:dyDescent="0.2">
      <c r="A47" s="800" t="s">
        <v>1045</v>
      </c>
      <c r="B47" s="669" t="s">
        <v>1160</v>
      </c>
      <c r="C47" s="891">
        <f t="shared" ref="C47:C51" si="7">IF(D47&gt;F47,1,0)</f>
        <v>0</v>
      </c>
      <c r="D47" s="885">
        <v>11</v>
      </c>
      <c r="E47" s="884" t="s">
        <v>914</v>
      </c>
      <c r="F47" s="887">
        <v>13</v>
      </c>
      <c r="G47" s="892">
        <f t="shared" ref="G47:G51" si="8">IF(F47&gt;D47,1,0)</f>
        <v>1</v>
      </c>
      <c r="H47" s="669" t="s">
        <v>1160</v>
      </c>
      <c r="I47" s="800" t="s">
        <v>1049</v>
      </c>
      <c r="J47" s="528">
        <v>6</v>
      </c>
    </row>
    <row r="48" spans="1:10" x14ac:dyDescent="0.2">
      <c r="A48" s="800" t="s">
        <v>1046</v>
      </c>
      <c r="B48" s="669" t="s">
        <v>1161</v>
      </c>
      <c r="C48" s="891">
        <f t="shared" si="7"/>
        <v>0</v>
      </c>
      <c r="D48" s="885">
        <v>5</v>
      </c>
      <c r="E48" s="884" t="s">
        <v>914</v>
      </c>
      <c r="F48" s="887">
        <v>13</v>
      </c>
      <c r="G48" s="892">
        <f t="shared" si="8"/>
        <v>1</v>
      </c>
      <c r="H48" s="669" t="s">
        <v>1161</v>
      </c>
      <c r="I48" s="800" t="s">
        <v>1050</v>
      </c>
      <c r="J48" s="528">
        <v>5</v>
      </c>
    </row>
    <row r="49" spans="1:10" x14ac:dyDescent="0.2">
      <c r="A49" s="27" t="s">
        <v>1047</v>
      </c>
      <c r="B49" s="669" t="s">
        <v>1164</v>
      </c>
      <c r="C49" s="891">
        <f t="shared" si="7"/>
        <v>0</v>
      </c>
      <c r="D49" s="885">
        <v>2</v>
      </c>
      <c r="E49" s="884" t="s">
        <v>914</v>
      </c>
      <c r="F49" s="887">
        <v>13</v>
      </c>
      <c r="G49" s="892">
        <f t="shared" si="8"/>
        <v>1</v>
      </c>
      <c r="H49" s="669" t="s">
        <v>1164</v>
      </c>
      <c r="I49" s="800" t="s">
        <v>1054</v>
      </c>
      <c r="J49" s="799">
        <v>4</v>
      </c>
    </row>
    <row r="50" spans="1:10" x14ac:dyDescent="0.2">
      <c r="A50" s="27" t="s">
        <v>347</v>
      </c>
      <c r="B50" s="669" t="s">
        <v>31</v>
      </c>
      <c r="C50" s="891">
        <f t="shared" si="7"/>
        <v>0</v>
      </c>
      <c r="D50" s="885">
        <v>5</v>
      </c>
      <c r="E50" s="884" t="s">
        <v>914</v>
      </c>
      <c r="F50" s="887">
        <v>13</v>
      </c>
      <c r="G50" s="892">
        <f t="shared" si="8"/>
        <v>1</v>
      </c>
      <c r="H50" s="669" t="s">
        <v>31</v>
      </c>
      <c r="I50" s="800" t="s">
        <v>1051</v>
      </c>
      <c r="J50" s="799">
        <v>3</v>
      </c>
    </row>
    <row r="51" spans="1:10" x14ac:dyDescent="0.2">
      <c r="A51" s="27" t="s">
        <v>1048</v>
      </c>
      <c r="B51" s="669" t="s">
        <v>32</v>
      </c>
      <c r="C51" s="891">
        <f t="shared" si="7"/>
        <v>0</v>
      </c>
      <c r="D51" s="885">
        <v>10</v>
      </c>
      <c r="E51" s="884" t="s">
        <v>914</v>
      </c>
      <c r="F51" s="887">
        <v>13</v>
      </c>
      <c r="G51" s="892">
        <f t="shared" si="8"/>
        <v>1</v>
      </c>
      <c r="H51" s="669" t="s">
        <v>32</v>
      </c>
      <c r="I51" s="800" t="s">
        <v>1052</v>
      </c>
      <c r="J51" s="799">
        <v>2</v>
      </c>
    </row>
    <row r="52" spans="1:10" x14ac:dyDescent="0.2">
      <c r="A52" s="799"/>
      <c r="B52" s="802" t="s">
        <v>834</v>
      </c>
      <c r="C52" s="894">
        <f>SUM(C46:C51)</f>
        <v>0</v>
      </c>
      <c r="D52" s="895">
        <f>SUM(D46:D51)</f>
        <v>41</v>
      </c>
      <c r="E52" s="893" t="s">
        <v>914</v>
      </c>
      <c r="F52" s="896">
        <f>SUM(F46:F51)</f>
        <v>78</v>
      </c>
      <c r="G52" s="894">
        <f>SUM(G46:G51)</f>
        <v>6</v>
      </c>
      <c r="H52" s="799"/>
      <c r="I52" s="798"/>
    </row>
    <row r="53" spans="1:10" x14ac:dyDescent="0.2">
      <c r="B53" s="803" t="s">
        <v>30</v>
      </c>
      <c r="C53" s="897">
        <f>C43+C52</f>
        <v>5</v>
      </c>
      <c r="D53" s="898">
        <f>D43+D52</f>
        <v>192</v>
      </c>
      <c r="E53" s="899" t="s">
        <v>914</v>
      </c>
      <c r="F53" s="900">
        <f>F43+F52</f>
        <v>348</v>
      </c>
      <c r="G53" s="897">
        <f>G43+G52</f>
        <v>25</v>
      </c>
    </row>
    <row r="54" spans="1:10" x14ac:dyDescent="0.2">
      <c r="B54" s="279"/>
      <c r="C54" s="279"/>
      <c r="D54" s="279"/>
      <c r="E54" s="279"/>
      <c r="F54" s="880"/>
      <c r="G54" s="279"/>
      <c r="H54" s="279"/>
      <c r="I54" s="279"/>
    </row>
    <row r="55" spans="1:10" x14ac:dyDescent="0.2">
      <c r="A55" s="883" t="s">
        <v>1057</v>
      </c>
      <c r="B55" s="881" t="s">
        <v>1162</v>
      </c>
      <c r="C55" s="881" t="s">
        <v>632</v>
      </c>
      <c r="D55" s="1105"/>
      <c r="E55" s="1106" t="s">
        <v>835</v>
      </c>
      <c r="F55" s="1107"/>
      <c r="G55" s="881" t="s">
        <v>632</v>
      </c>
      <c r="H55" s="882" t="s">
        <v>1163</v>
      </c>
      <c r="I55" s="881"/>
    </row>
    <row r="56" spans="1:10" x14ac:dyDescent="0.2">
      <c r="A56" s="27" t="s">
        <v>883</v>
      </c>
      <c r="B56" s="669" t="s">
        <v>1159</v>
      </c>
      <c r="C56" s="891">
        <f>IF(D56&gt;F56,1,0)</f>
        <v>1</v>
      </c>
      <c r="D56" s="885">
        <v>13</v>
      </c>
      <c r="E56" s="884" t="s">
        <v>914</v>
      </c>
      <c r="F56" s="887">
        <v>7</v>
      </c>
      <c r="G56" s="892">
        <f>IF(F56&gt;D56,1,0)</f>
        <v>0</v>
      </c>
      <c r="H56" s="669" t="s">
        <v>1160</v>
      </c>
      <c r="I56" s="800" t="s">
        <v>1049</v>
      </c>
      <c r="J56" s="528">
        <v>3</v>
      </c>
    </row>
    <row r="57" spans="1:10" x14ac:dyDescent="0.2">
      <c r="A57" s="800" t="s">
        <v>1045</v>
      </c>
      <c r="B57" s="669" t="s">
        <v>1160</v>
      </c>
      <c r="C57" s="891">
        <f t="shared" ref="C57:C61" si="9">IF(D57&gt;F57,1,0)</f>
        <v>0</v>
      </c>
      <c r="D57" s="885">
        <v>6</v>
      </c>
      <c r="E57" s="884" t="s">
        <v>914</v>
      </c>
      <c r="F57" s="887">
        <v>13</v>
      </c>
      <c r="G57" s="892">
        <f t="shared" ref="G57:G61" si="10">IF(F57&gt;D57,1,0)</f>
        <v>1</v>
      </c>
      <c r="H57" s="669" t="s">
        <v>1161</v>
      </c>
      <c r="I57" s="800" t="s">
        <v>1050</v>
      </c>
      <c r="J57" s="528">
        <v>5</v>
      </c>
    </row>
    <row r="58" spans="1:10" x14ac:dyDescent="0.2">
      <c r="A58" s="800" t="s">
        <v>1063</v>
      </c>
      <c r="B58" s="669" t="s">
        <v>1161</v>
      </c>
      <c r="C58" s="891">
        <f t="shared" si="9"/>
        <v>1</v>
      </c>
      <c r="D58" s="885">
        <v>13</v>
      </c>
      <c r="E58" s="884" t="s">
        <v>914</v>
      </c>
      <c r="F58" s="887">
        <v>5</v>
      </c>
      <c r="G58" s="892">
        <f t="shared" si="10"/>
        <v>0</v>
      </c>
      <c r="H58" s="669" t="s">
        <v>1164</v>
      </c>
      <c r="I58" s="800" t="s">
        <v>1054</v>
      </c>
      <c r="J58" s="528">
        <v>1</v>
      </c>
    </row>
    <row r="59" spans="1:10" x14ac:dyDescent="0.2">
      <c r="A59" s="27" t="s">
        <v>1047</v>
      </c>
      <c r="B59" s="669" t="s">
        <v>1164</v>
      </c>
      <c r="C59" s="891">
        <f t="shared" si="9"/>
        <v>0</v>
      </c>
      <c r="D59" s="885">
        <v>5</v>
      </c>
      <c r="E59" s="884" t="s">
        <v>914</v>
      </c>
      <c r="F59" s="887">
        <v>13</v>
      </c>
      <c r="G59" s="892">
        <f t="shared" si="10"/>
        <v>1</v>
      </c>
      <c r="H59" s="669" t="s">
        <v>31</v>
      </c>
      <c r="I59" s="800" t="s">
        <v>1051</v>
      </c>
      <c r="J59" s="799">
        <v>4</v>
      </c>
    </row>
    <row r="60" spans="1:10" x14ac:dyDescent="0.2">
      <c r="A60" s="27" t="s">
        <v>347</v>
      </c>
      <c r="B60" s="669" t="s">
        <v>31</v>
      </c>
      <c r="C60" s="891">
        <f t="shared" si="9"/>
        <v>1</v>
      </c>
      <c r="D60" s="885">
        <v>13</v>
      </c>
      <c r="E60" s="884" t="s">
        <v>914</v>
      </c>
      <c r="F60" s="887">
        <v>8</v>
      </c>
      <c r="G60" s="892">
        <f t="shared" si="10"/>
        <v>0</v>
      </c>
      <c r="H60" s="669" t="s">
        <v>32</v>
      </c>
      <c r="I60" s="800" t="s">
        <v>1052</v>
      </c>
      <c r="J60" s="799">
        <v>2</v>
      </c>
    </row>
    <row r="61" spans="1:10" x14ac:dyDescent="0.2">
      <c r="A61" s="27" t="s">
        <v>1048</v>
      </c>
      <c r="B61" s="669" t="s">
        <v>32</v>
      </c>
      <c r="C61" s="891">
        <f t="shared" si="9"/>
        <v>0</v>
      </c>
      <c r="D61" s="885">
        <v>12</v>
      </c>
      <c r="E61" s="884" t="s">
        <v>914</v>
      </c>
      <c r="F61" s="887">
        <v>13</v>
      </c>
      <c r="G61" s="892">
        <f t="shared" si="10"/>
        <v>1</v>
      </c>
      <c r="H61" s="669" t="s">
        <v>1159</v>
      </c>
      <c r="I61" s="27" t="s">
        <v>1053</v>
      </c>
      <c r="J61" s="528">
        <v>6</v>
      </c>
    </row>
    <row r="62" spans="1:10" ht="13.5" thickBot="1" x14ac:dyDescent="0.25">
      <c r="A62" s="799"/>
      <c r="B62" s="802" t="s">
        <v>834</v>
      </c>
      <c r="C62" s="901">
        <f>SUM(C56:C61)</f>
        <v>3</v>
      </c>
      <c r="D62" s="902">
        <f>SUM(D56:D61)</f>
        <v>62</v>
      </c>
      <c r="E62" s="903" t="s">
        <v>914</v>
      </c>
      <c r="F62" s="904">
        <f>SUM(F56:F61)</f>
        <v>59</v>
      </c>
      <c r="G62" s="901">
        <f>SUM(G56:G61)</f>
        <v>3</v>
      </c>
      <c r="H62" s="799"/>
      <c r="I62" s="798"/>
    </row>
    <row r="63" spans="1:10" ht="13.5" thickBot="1" x14ac:dyDescent="0.25">
      <c r="B63" s="890" t="s">
        <v>1080</v>
      </c>
      <c r="C63" s="905">
        <f>C53+C62</f>
        <v>8</v>
      </c>
      <c r="D63" s="906">
        <f>D53+D62</f>
        <v>254</v>
      </c>
      <c r="E63" s="889" t="s">
        <v>914</v>
      </c>
      <c r="F63" s="907">
        <f>F53+F62</f>
        <v>407</v>
      </c>
      <c r="G63" s="908">
        <f>G53+G62</f>
        <v>28</v>
      </c>
    </row>
  </sheetData>
  <conditionalFormatting sqref="D14:F14 D24:F24 D34:F34 D44:F44 D54:F54 D16:F21 D26:F31 D36:F41 D46:F51 D56:F61">
    <cfRule type="cellIs" dxfId="187" priority="30" operator="equal">
      <formula>13</formula>
    </cfRule>
  </conditionalFormatting>
  <conditionalFormatting sqref="E36:E41">
    <cfRule type="cellIs" dxfId="186" priority="29" operator="equal">
      <formula>13</formula>
    </cfRule>
  </conditionalFormatting>
  <conditionalFormatting sqref="E46:E51">
    <cfRule type="cellIs" dxfId="185" priority="28" operator="equal">
      <formula>13</formula>
    </cfRule>
  </conditionalFormatting>
  <conditionalFormatting sqref="E56:E61">
    <cfRule type="cellIs" dxfId="184" priority="27" operator="equal">
      <formula>13</formula>
    </cfRule>
  </conditionalFormatting>
  <conditionalFormatting sqref="E7:E12">
    <cfRule type="cellIs" dxfId="183" priority="26" operator="equal">
      <formula>13</formula>
    </cfRule>
  </conditionalFormatting>
  <conditionalFormatting sqref="E16:E21">
    <cfRule type="cellIs" dxfId="182" priority="25" operator="equal">
      <formula>13</formula>
    </cfRule>
  </conditionalFormatting>
  <conditionalFormatting sqref="D7:F12">
    <cfRule type="cellIs" dxfId="181" priority="24" operator="equal">
      <formula>13</formula>
    </cfRule>
  </conditionalFormatting>
  <conditionalFormatting sqref="D22:F22">
    <cfRule type="cellIs" dxfId="180" priority="23" operator="equal">
      <formula>13</formula>
    </cfRule>
  </conditionalFormatting>
  <conditionalFormatting sqref="D32:F32">
    <cfRule type="cellIs" dxfId="179" priority="8" operator="equal">
      <formula>13</formula>
    </cfRule>
  </conditionalFormatting>
  <conditionalFormatting sqref="D33:F33">
    <cfRule type="cellIs" dxfId="178" priority="7" operator="equal">
      <formula>13</formula>
    </cfRule>
  </conditionalFormatting>
  <conditionalFormatting sqref="D23:F23">
    <cfRule type="cellIs" dxfId="177" priority="17" operator="equal">
      <formula>13</formula>
    </cfRule>
  </conditionalFormatting>
  <conditionalFormatting sqref="D13:F13">
    <cfRule type="cellIs" dxfId="176" priority="18" operator="equal">
      <formula>13</formula>
    </cfRule>
  </conditionalFormatting>
  <conditionalFormatting sqref="D63:F63">
    <cfRule type="cellIs" dxfId="175" priority="1" operator="equal">
      <formula>13</formula>
    </cfRule>
  </conditionalFormatting>
  <conditionalFormatting sqref="D42:F42">
    <cfRule type="cellIs" dxfId="174" priority="6" operator="equal">
      <formula>13</formula>
    </cfRule>
  </conditionalFormatting>
  <conditionalFormatting sqref="D43:F43">
    <cfRule type="cellIs" dxfId="173" priority="5" operator="equal">
      <formula>13</formula>
    </cfRule>
  </conditionalFormatting>
  <conditionalFormatting sqref="D52:F52">
    <cfRule type="cellIs" dxfId="172" priority="4" operator="equal">
      <formula>13</formula>
    </cfRule>
  </conditionalFormatting>
  <conditionalFormatting sqref="D53:F53">
    <cfRule type="cellIs" dxfId="171" priority="3" operator="equal">
      <formula>13</formula>
    </cfRule>
  </conditionalFormatting>
  <conditionalFormatting sqref="D62:F62">
    <cfRule type="cellIs" dxfId="170" priority="2" operator="equal">
      <formula>13</formula>
    </cfRule>
  </conditionalFormatting>
  <printOptions horizontalCentered="1"/>
  <pageMargins left="0.39370078740157483" right="0.39370078740157483" top="0.78740157480314965" bottom="0.39370078740157483" header="0.59055118110236227" footer="0"/>
  <pageSetup paperSize="9" fitToHeight="0" orientation="landscape" r:id="rId1"/>
  <headerFooter>
    <oddHeader>&amp;RPage &amp;P of &amp;N</oddHeader>
  </headerFooter>
  <rowBreaks count="1" manualBreakCount="1">
    <brk id="33" max="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36"/>
  <sheetViews>
    <sheetView showGridLines="0" showRowColHeaders="0" zoomScaleNormal="100" workbookViewId="0">
      <pane ySplit="1" topLeftCell="A2" activePane="bottomLeft" state="frozen"/>
      <selection pane="bottomLeft" activeCell="F1" sqref="F1"/>
    </sheetView>
  </sheetViews>
  <sheetFormatPr defaultRowHeight="12.75" x14ac:dyDescent="0.2"/>
  <cols>
    <col min="1" max="1" width="88.5703125" style="244" customWidth="1"/>
    <col min="2" max="6" width="9.140625" style="244" customWidth="1"/>
    <col min="7" max="16384" width="9.140625" style="244"/>
  </cols>
  <sheetData>
    <row r="1" spans="1:10" x14ac:dyDescent="0.2">
      <c r="A1" s="53" t="s">
        <v>420</v>
      </c>
      <c r="B1" s="202" t="s">
        <v>127</v>
      </c>
    </row>
    <row r="2" spans="1:10" x14ac:dyDescent="0.2">
      <c r="A2" s="280" t="s">
        <v>103</v>
      </c>
    </row>
    <row r="3" spans="1:10" ht="25.5" x14ac:dyDescent="0.2">
      <c r="A3" s="280"/>
      <c r="B3" s="156" t="s">
        <v>28</v>
      </c>
      <c r="C3" s="156" t="s">
        <v>2</v>
      </c>
      <c r="D3" s="156" t="s">
        <v>1087</v>
      </c>
      <c r="E3" s="156" t="s">
        <v>1088</v>
      </c>
      <c r="F3" s="156" t="s">
        <v>1089</v>
      </c>
    </row>
    <row r="4" spans="1:10" x14ac:dyDescent="0.2">
      <c r="A4" s="858" t="s">
        <v>104</v>
      </c>
      <c r="B4" s="155" t="s">
        <v>128</v>
      </c>
      <c r="C4" s="155">
        <v>173</v>
      </c>
      <c r="D4" s="155">
        <v>115</v>
      </c>
      <c r="E4" s="155">
        <v>105</v>
      </c>
      <c r="F4" s="155">
        <v>53</v>
      </c>
    </row>
    <row r="5" spans="1:10" ht="25.5" x14ac:dyDescent="0.2">
      <c r="A5" s="280" t="s">
        <v>105</v>
      </c>
      <c r="B5" s="155" t="s">
        <v>129</v>
      </c>
      <c r="C5" s="155">
        <v>158</v>
      </c>
      <c r="D5" s="155">
        <v>105</v>
      </c>
      <c r="E5" s="155">
        <v>93</v>
      </c>
      <c r="F5" s="155">
        <v>42</v>
      </c>
      <c r="J5" s="157"/>
    </row>
    <row r="6" spans="1:10" ht="25.5" x14ac:dyDescent="0.2">
      <c r="A6" s="280" t="s">
        <v>897</v>
      </c>
      <c r="B6" s="155" t="s">
        <v>130</v>
      </c>
      <c r="C6" s="155">
        <v>146</v>
      </c>
      <c r="D6" s="155">
        <v>97</v>
      </c>
      <c r="E6" s="155">
        <v>83</v>
      </c>
      <c r="F6" s="155">
        <v>33</v>
      </c>
    </row>
    <row r="7" spans="1:10" x14ac:dyDescent="0.2">
      <c r="A7" s="280" t="s">
        <v>106</v>
      </c>
      <c r="B7" s="155" t="s">
        <v>131</v>
      </c>
      <c r="C7" s="155">
        <v>135</v>
      </c>
      <c r="D7" s="155">
        <v>90</v>
      </c>
      <c r="E7" s="155">
        <v>74</v>
      </c>
      <c r="F7" s="155">
        <v>27</v>
      </c>
    </row>
    <row r="8" spans="1:10" ht="25.5" x14ac:dyDescent="0.2">
      <c r="A8" s="280" t="s">
        <v>107</v>
      </c>
      <c r="B8" s="155" t="s">
        <v>132</v>
      </c>
      <c r="C8" s="155">
        <v>126</v>
      </c>
      <c r="D8" s="155">
        <v>84</v>
      </c>
      <c r="E8" s="155">
        <v>65</v>
      </c>
      <c r="F8" s="155">
        <v>23</v>
      </c>
    </row>
    <row r="9" spans="1:10" x14ac:dyDescent="0.2">
      <c r="A9" s="280"/>
      <c r="B9" s="155" t="s">
        <v>133</v>
      </c>
      <c r="C9" s="155">
        <v>119</v>
      </c>
      <c r="D9" s="155">
        <v>79</v>
      </c>
      <c r="E9" s="155">
        <v>57</v>
      </c>
      <c r="F9" s="155">
        <v>18</v>
      </c>
    </row>
    <row r="10" spans="1:10" x14ac:dyDescent="0.2">
      <c r="A10" s="858" t="s">
        <v>108</v>
      </c>
      <c r="B10" s="155" t="s">
        <v>134</v>
      </c>
      <c r="C10" s="155">
        <v>111</v>
      </c>
      <c r="D10" s="155">
        <v>74</v>
      </c>
      <c r="E10" s="155">
        <v>50</v>
      </c>
      <c r="F10" s="155">
        <v>14</v>
      </c>
    </row>
    <row r="11" spans="1:10" x14ac:dyDescent="0.2">
      <c r="A11" s="280" t="s">
        <v>109</v>
      </c>
      <c r="B11" s="155" t="s">
        <v>135</v>
      </c>
      <c r="C11" s="155">
        <v>104</v>
      </c>
      <c r="D11" s="155">
        <v>69</v>
      </c>
      <c r="E11" s="155">
        <v>42</v>
      </c>
      <c r="F11" s="155">
        <v>9</v>
      </c>
    </row>
    <row r="12" spans="1:10" x14ac:dyDescent="0.2">
      <c r="A12" s="280" t="s">
        <v>110</v>
      </c>
      <c r="B12" s="155" t="s">
        <v>136</v>
      </c>
      <c r="C12" s="155">
        <v>96</v>
      </c>
      <c r="D12" s="155">
        <v>64</v>
      </c>
      <c r="E12" s="155">
        <v>35</v>
      </c>
      <c r="F12" s="155">
        <v>5</v>
      </c>
    </row>
    <row r="13" spans="1:10" x14ac:dyDescent="0.2">
      <c r="A13" s="280" t="s">
        <v>111</v>
      </c>
      <c r="B13" s="155" t="s">
        <v>137</v>
      </c>
      <c r="C13" s="155">
        <v>90</v>
      </c>
      <c r="D13" s="155">
        <v>60</v>
      </c>
      <c r="E13" s="155">
        <v>29</v>
      </c>
      <c r="F13" s="155">
        <v>2</v>
      </c>
    </row>
    <row r="14" spans="1:10" x14ac:dyDescent="0.2">
      <c r="A14" s="280" t="s">
        <v>112</v>
      </c>
      <c r="B14" s="155" t="s">
        <v>138</v>
      </c>
      <c r="C14" s="155">
        <v>84</v>
      </c>
      <c r="D14" s="155">
        <v>56</v>
      </c>
      <c r="E14" s="155">
        <v>23</v>
      </c>
      <c r="F14" s="155">
        <v>1</v>
      </c>
    </row>
    <row r="15" spans="1:10" x14ac:dyDescent="0.2">
      <c r="A15" s="280"/>
      <c r="B15" s="155" t="s">
        <v>139</v>
      </c>
      <c r="C15" s="155">
        <v>78</v>
      </c>
      <c r="D15" s="155">
        <v>52</v>
      </c>
      <c r="E15" s="155">
        <v>17</v>
      </c>
      <c r="F15" s="155">
        <v>1</v>
      </c>
    </row>
    <row r="16" spans="1:10" x14ac:dyDescent="0.2">
      <c r="A16" s="858" t="s">
        <v>113</v>
      </c>
      <c r="B16" s="155" t="s">
        <v>140</v>
      </c>
      <c r="C16" s="155">
        <v>74</v>
      </c>
      <c r="D16" s="155">
        <v>49</v>
      </c>
      <c r="E16" s="155">
        <v>12</v>
      </c>
      <c r="F16" s="155">
        <v>1</v>
      </c>
    </row>
    <row r="17" spans="1:6" ht="25.5" x14ac:dyDescent="0.2">
      <c r="A17" s="280" t="s">
        <v>114</v>
      </c>
      <c r="B17" s="155" t="s">
        <v>141</v>
      </c>
      <c r="C17" s="155">
        <v>69</v>
      </c>
      <c r="D17" s="155">
        <v>46</v>
      </c>
      <c r="E17" s="155">
        <v>8</v>
      </c>
      <c r="F17" s="155">
        <v>1</v>
      </c>
    </row>
    <row r="18" spans="1:6" x14ac:dyDescent="0.2">
      <c r="A18" s="280" t="s">
        <v>898</v>
      </c>
      <c r="B18" s="155" t="s">
        <v>142</v>
      </c>
      <c r="C18" s="155">
        <v>65</v>
      </c>
      <c r="D18" s="155">
        <v>43</v>
      </c>
      <c r="E18" s="155">
        <v>5</v>
      </c>
      <c r="F18" s="155">
        <v>1</v>
      </c>
    </row>
    <row r="19" spans="1:6" ht="25.5" x14ac:dyDescent="0.2">
      <c r="A19" s="280" t="s">
        <v>410</v>
      </c>
      <c r="B19" s="155" t="s">
        <v>143</v>
      </c>
      <c r="C19" s="155">
        <v>60</v>
      </c>
      <c r="D19" s="155">
        <v>40</v>
      </c>
      <c r="E19" s="155">
        <v>3</v>
      </c>
      <c r="F19" s="155">
        <v>1</v>
      </c>
    </row>
    <row r="20" spans="1:6" ht="25.5" x14ac:dyDescent="0.2">
      <c r="A20" s="280" t="s">
        <v>411</v>
      </c>
      <c r="B20" s="155" t="s">
        <v>144</v>
      </c>
      <c r="C20" s="155">
        <v>56</v>
      </c>
      <c r="D20" s="155">
        <v>37</v>
      </c>
      <c r="E20" s="155">
        <v>1</v>
      </c>
      <c r="F20" s="155">
        <v>1</v>
      </c>
    </row>
    <row r="21" spans="1:6" ht="25.5" x14ac:dyDescent="0.2">
      <c r="A21" s="280" t="s">
        <v>899</v>
      </c>
      <c r="B21" s="155" t="s">
        <v>145</v>
      </c>
      <c r="C21" s="155">
        <v>51</v>
      </c>
      <c r="D21" s="155">
        <v>34</v>
      </c>
      <c r="E21" s="155">
        <v>1</v>
      </c>
      <c r="F21" s="155">
        <v>1</v>
      </c>
    </row>
    <row r="22" spans="1:6" ht="25.5" x14ac:dyDescent="0.2">
      <c r="A22" s="280" t="s">
        <v>412</v>
      </c>
      <c r="B22" s="155" t="s">
        <v>146</v>
      </c>
      <c r="C22" s="155">
        <v>47</v>
      </c>
      <c r="D22" s="155">
        <v>31</v>
      </c>
      <c r="E22" s="155">
        <v>1</v>
      </c>
      <c r="F22" s="155">
        <v>1</v>
      </c>
    </row>
    <row r="23" spans="1:6" x14ac:dyDescent="0.2">
      <c r="A23" s="280"/>
      <c r="B23" s="155" t="s">
        <v>147</v>
      </c>
      <c r="C23" s="155">
        <v>42</v>
      </c>
      <c r="D23" s="155">
        <v>28</v>
      </c>
      <c r="E23" s="155">
        <v>1</v>
      </c>
      <c r="F23" s="155">
        <v>1</v>
      </c>
    </row>
    <row r="24" spans="1:6" x14ac:dyDescent="0.2">
      <c r="A24" s="858" t="s">
        <v>115</v>
      </c>
      <c r="B24" s="155" t="s">
        <v>148</v>
      </c>
      <c r="C24" s="155">
        <v>38</v>
      </c>
      <c r="D24" s="155">
        <v>25</v>
      </c>
      <c r="E24" s="155">
        <v>1</v>
      </c>
      <c r="F24" s="155">
        <v>1</v>
      </c>
    </row>
    <row r="25" spans="1:6" x14ac:dyDescent="0.2">
      <c r="A25" s="280" t="s">
        <v>116</v>
      </c>
      <c r="B25" s="155" t="s">
        <v>149</v>
      </c>
      <c r="C25" s="155">
        <v>33</v>
      </c>
      <c r="D25" s="155">
        <v>22</v>
      </c>
      <c r="E25" s="155">
        <v>1</v>
      </c>
      <c r="F25" s="155">
        <v>1</v>
      </c>
    </row>
    <row r="26" spans="1:6" x14ac:dyDescent="0.2">
      <c r="A26" s="280"/>
      <c r="B26" s="155" t="s">
        <v>150</v>
      </c>
      <c r="C26" s="155">
        <v>29</v>
      </c>
      <c r="D26" s="155">
        <v>19</v>
      </c>
      <c r="E26" s="155">
        <v>1</v>
      </c>
      <c r="F26" s="155">
        <v>1</v>
      </c>
    </row>
    <row r="27" spans="1:6" x14ac:dyDescent="0.2">
      <c r="A27" s="858" t="s">
        <v>117</v>
      </c>
      <c r="B27" s="155" t="s">
        <v>151</v>
      </c>
      <c r="C27" s="155">
        <v>24</v>
      </c>
      <c r="D27" s="155">
        <v>16</v>
      </c>
      <c r="E27" s="155">
        <v>1</v>
      </c>
      <c r="F27" s="155">
        <v>1</v>
      </c>
    </row>
    <row r="28" spans="1:6" x14ac:dyDescent="0.2">
      <c r="A28" s="280" t="s">
        <v>118</v>
      </c>
      <c r="B28" s="155" t="s">
        <v>152</v>
      </c>
      <c r="C28" s="155">
        <v>21</v>
      </c>
      <c r="D28" s="155">
        <v>14</v>
      </c>
      <c r="E28" s="155">
        <v>1</v>
      </c>
      <c r="F28" s="155">
        <v>1</v>
      </c>
    </row>
    <row r="29" spans="1:6" ht="25.5" x14ac:dyDescent="0.2">
      <c r="A29" s="280" t="s">
        <v>119</v>
      </c>
      <c r="B29" s="155" t="s">
        <v>153</v>
      </c>
      <c r="C29" s="155">
        <v>18</v>
      </c>
      <c r="D29" s="155">
        <v>12</v>
      </c>
      <c r="E29" s="155">
        <v>1</v>
      </c>
      <c r="F29" s="155">
        <v>1</v>
      </c>
    </row>
    <row r="30" spans="1:6" ht="25.5" x14ac:dyDescent="0.2">
      <c r="A30" s="280" t="s">
        <v>120</v>
      </c>
      <c r="B30" s="155" t="s">
        <v>154</v>
      </c>
      <c r="C30" s="155">
        <v>16</v>
      </c>
      <c r="D30" s="155">
        <v>10</v>
      </c>
      <c r="E30" s="155">
        <v>1</v>
      </c>
      <c r="F30" s="155">
        <v>1</v>
      </c>
    </row>
    <row r="31" spans="1:6" ht="25.5" x14ac:dyDescent="0.2">
      <c r="A31" s="280" t="s">
        <v>121</v>
      </c>
      <c r="B31" s="155" t="s">
        <v>155</v>
      </c>
      <c r="C31" s="155">
        <v>14</v>
      </c>
      <c r="D31" s="155">
        <v>8</v>
      </c>
      <c r="E31" s="155">
        <v>1</v>
      </c>
      <c r="F31" s="155">
        <v>1</v>
      </c>
    </row>
    <row r="32" spans="1:6" x14ac:dyDescent="0.2">
      <c r="A32" s="280" t="s">
        <v>122</v>
      </c>
      <c r="B32" s="155" t="s">
        <v>156</v>
      </c>
      <c r="C32" s="155">
        <v>12</v>
      </c>
      <c r="D32" s="155">
        <v>6</v>
      </c>
      <c r="E32" s="155">
        <v>1</v>
      </c>
      <c r="F32" s="155">
        <v>1</v>
      </c>
    </row>
    <row r="33" spans="1:6" x14ac:dyDescent="0.2">
      <c r="A33" s="280" t="s">
        <v>123</v>
      </c>
      <c r="B33" s="155" t="s">
        <v>157</v>
      </c>
      <c r="C33" s="155">
        <v>10</v>
      </c>
      <c r="D33" s="155">
        <v>5</v>
      </c>
      <c r="E33" s="155">
        <v>1</v>
      </c>
      <c r="F33" s="155">
        <v>1</v>
      </c>
    </row>
    <row r="34" spans="1:6" x14ac:dyDescent="0.2">
      <c r="A34" s="280" t="s">
        <v>124</v>
      </c>
      <c r="B34" s="155" t="s">
        <v>158</v>
      </c>
      <c r="C34" s="155">
        <v>8</v>
      </c>
      <c r="D34" s="155">
        <v>4</v>
      </c>
      <c r="E34" s="155">
        <v>1</v>
      </c>
      <c r="F34" s="155">
        <v>1</v>
      </c>
    </row>
    <row r="35" spans="1:6" x14ac:dyDescent="0.2">
      <c r="A35" s="280" t="s">
        <v>125</v>
      </c>
      <c r="B35" s="155" t="s">
        <v>159</v>
      </c>
      <c r="C35" s="155">
        <v>6</v>
      </c>
      <c r="D35" s="155">
        <v>3</v>
      </c>
      <c r="E35" s="155">
        <v>1</v>
      </c>
      <c r="F35" s="155">
        <v>1</v>
      </c>
    </row>
    <row r="36" spans="1:6" x14ac:dyDescent="0.2">
      <c r="A36" s="280" t="s">
        <v>126</v>
      </c>
      <c r="B36" s="155" t="s">
        <v>160</v>
      </c>
      <c r="C36" s="155">
        <v>3</v>
      </c>
      <c r="D36" s="155">
        <v>1</v>
      </c>
      <c r="E36" s="155">
        <v>1</v>
      </c>
      <c r="F36" s="155">
        <v>1</v>
      </c>
    </row>
  </sheetData>
  <pageMargins left="0.78740157480314965" right="0.39370078740157483" top="0.78740157480314965" bottom="0.39370078740157483" header="0.59055118110236227" footer="0"/>
  <pageSetup paperSize="9" fitToWidth="0" fitToHeight="0" pageOrder="overThenDown" orientation="portrait" r:id="rId1"/>
  <headerFooter>
    <oddHeader>&amp;RPage &amp;P of &amp;N</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K171"/>
  <sheetViews>
    <sheetView showGridLines="0" showRowColHeaders="0" zoomScaleNormal="100" workbookViewId="0">
      <pane ySplit="1" topLeftCell="A2" activePane="bottomLeft" state="frozen"/>
      <selection pane="bottomLeft" activeCell="D115" sqref="D115"/>
    </sheetView>
  </sheetViews>
  <sheetFormatPr defaultRowHeight="12.75" x14ac:dyDescent="0.2"/>
  <cols>
    <col min="1" max="1" width="86.5703125" style="860" customWidth="1"/>
    <col min="2" max="16384" width="9.140625" style="860"/>
  </cols>
  <sheetData>
    <row r="1" spans="1:11" x14ac:dyDescent="0.2">
      <c r="A1" s="859" t="s">
        <v>419</v>
      </c>
      <c r="G1" s="861"/>
    </row>
    <row r="2" spans="1:11" x14ac:dyDescent="0.2">
      <c r="A2" s="860" t="s">
        <v>161</v>
      </c>
    </row>
    <row r="4" spans="1:11" x14ac:dyDescent="0.2">
      <c r="A4" s="860" t="s">
        <v>162</v>
      </c>
      <c r="K4" s="861"/>
    </row>
    <row r="5" spans="1:11" ht="25.5" x14ac:dyDescent="0.2">
      <c r="A5" s="860" t="s">
        <v>163</v>
      </c>
    </row>
    <row r="6" spans="1:11" x14ac:dyDescent="0.2">
      <c r="A6" s="860" t="s">
        <v>164</v>
      </c>
    </row>
    <row r="7" spans="1:11" x14ac:dyDescent="0.2">
      <c r="A7" s="860" t="s">
        <v>165</v>
      </c>
    </row>
    <row r="9" spans="1:11" x14ac:dyDescent="0.2">
      <c r="A9" s="860" t="s">
        <v>166</v>
      </c>
    </row>
    <row r="10" spans="1:11" ht="25.5" x14ac:dyDescent="0.2">
      <c r="A10" s="860" t="s">
        <v>167</v>
      </c>
    </row>
    <row r="11" spans="1:11" x14ac:dyDescent="0.2">
      <c r="A11" s="860" t="s">
        <v>168</v>
      </c>
    </row>
    <row r="12" spans="1:11" x14ac:dyDescent="0.2">
      <c r="A12" s="860" t="s">
        <v>169</v>
      </c>
    </row>
    <row r="13" spans="1:11" x14ac:dyDescent="0.2">
      <c r="A13" s="860" t="s">
        <v>170</v>
      </c>
    </row>
    <row r="14" spans="1:11" ht="38.25" x14ac:dyDescent="0.2">
      <c r="A14" s="860" t="s">
        <v>171</v>
      </c>
    </row>
    <row r="16" spans="1:11" x14ac:dyDescent="0.2">
      <c r="A16" s="860" t="s">
        <v>172</v>
      </c>
    </row>
    <row r="17" spans="1:1" ht="25.5" x14ac:dyDescent="0.2">
      <c r="A17" s="860" t="s">
        <v>173</v>
      </c>
    </row>
    <row r="18" spans="1:1" ht="25.5" x14ac:dyDescent="0.2">
      <c r="A18" s="860" t="s">
        <v>174</v>
      </c>
    </row>
    <row r="19" spans="1:1" x14ac:dyDescent="0.2">
      <c r="A19" s="860" t="s">
        <v>175</v>
      </c>
    </row>
    <row r="20" spans="1:1" ht="25.5" x14ac:dyDescent="0.2">
      <c r="A20" s="860" t="s">
        <v>176</v>
      </c>
    </row>
    <row r="21" spans="1:1" ht="25.5" x14ac:dyDescent="0.2">
      <c r="A21" s="860" t="s">
        <v>177</v>
      </c>
    </row>
    <row r="22" spans="1:1" ht="25.5" x14ac:dyDescent="0.2">
      <c r="A22" s="860" t="s">
        <v>178</v>
      </c>
    </row>
    <row r="24" spans="1:1" x14ac:dyDescent="0.2">
      <c r="A24" s="860" t="s">
        <v>179</v>
      </c>
    </row>
    <row r="25" spans="1:1" ht="38.25" x14ac:dyDescent="0.2">
      <c r="A25" s="860" t="s">
        <v>1090</v>
      </c>
    </row>
    <row r="26" spans="1:1" ht="25.5" x14ac:dyDescent="0.2">
      <c r="A26" s="860" t="s">
        <v>180</v>
      </c>
    </row>
    <row r="27" spans="1:1" ht="38.25" x14ac:dyDescent="0.2">
      <c r="A27" s="860" t="s">
        <v>181</v>
      </c>
    </row>
    <row r="28" spans="1:1" ht="25.5" x14ac:dyDescent="0.2">
      <c r="A28" s="860" t="s">
        <v>182</v>
      </c>
    </row>
    <row r="29" spans="1:1" x14ac:dyDescent="0.2">
      <c r="A29" s="860" t="s">
        <v>183</v>
      </c>
    </row>
    <row r="30" spans="1:1" x14ac:dyDescent="0.2">
      <c r="A30" s="862" t="s">
        <v>1081</v>
      </c>
    </row>
    <row r="31" spans="1:1" x14ac:dyDescent="0.2">
      <c r="A31" s="862" t="s">
        <v>1082</v>
      </c>
    </row>
    <row r="32" spans="1:1" ht="63.75" x14ac:dyDescent="0.2">
      <c r="A32" s="862" t="s">
        <v>1083</v>
      </c>
    </row>
    <row r="33" spans="1:1" ht="25.5" x14ac:dyDescent="0.2">
      <c r="A33" s="862" t="s">
        <v>1084</v>
      </c>
    </row>
    <row r="34" spans="1:1" x14ac:dyDescent="0.2">
      <c r="A34" s="862" t="s">
        <v>1085</v>
      </c>
    </row>
    <row r="35" spans="1:1" ht="38.25" x14ac:dyDescent="0.2">
      <c r="A35" s="862" t="s">
        <v>1086</v>
      </c>
    </row>
    <row r="36" spans="1:1" ht="25.5" x14ac:dyDescent="0.2">
      <c r="A36" s="860" t="s">
        <v>184</v>
      </c>
    </row>
    <row r="38" spans="1:1" x14ac:dyDescent="0.2">
      <c r="A38" s="860" t="s">
        <v>185</v>
      </c>
    </row>
    <row r="39" spans="1:1" x14ac:dyDescent="0.2">
      <c r="A39" s="860" t="s">
        <v>186</v>
      </c>
    </row>
    <row r="40" spans="1:1" ht="25.5" x14ac:dyDescent="0.2">
      <c r="A40" s="860" t="s">
        <v>187</v>
      </c>
    </row>
    <row r="41" spans="1:1" ht="25.5" x14ac:dyDescent="0.2">
      <c r="A41" s="860" t="s">
        <v>188</v>
      </c>
    </row>
    <row r="43" spans="1:1" x14ac:dyDescent="0.2">
      <c r="A43" s="860" t="s">
        <v>189</v>
      </c>
    </row>
    <row r="44" spans="1:1" x14ac:dyDescent="0.2">
      <c r="A44" s="860" t="s">
        <v>190</v>
      </c>
    </row>
    <row r="45" spans="1:1" ht="38.25" x14ac:dyDescent="0.2">
      <c r="A45" s="860" t="s">
        <v>191</v>
      </c>
    </row>
    <row r="46" spans="1:1" x14ac:dyDescent="0.2">
      <c r="A46" s="860" t="s">
        <v>192</v>
      </c>
    </row>
    <row r="47" spans="1:1" ht="25.5" x14ac:dyDescent="0.2">
      <c r="A47" s="860" t="s">
        <v>193</v>
      </c>
    </row>
    <row r="49" spans="1:1" x14ac:dyDescent="0.2">
      <c r="A49" s="860" t="s">
        <v>194</v>
      </c>
    </row>
    <row r="50" spans="1:1" ht="63.75" x14ac:dyDescent="0.2">
      <c r="A50" s="860" t="s">
        <v>195</v>
      </c>
    </row>
    <row r="51" spans="1:1" x14ac:dyDescent="0.2">
      <c r="A51" s="860" t="s">
        <v>196</v>
      </c>
    </row>
    <row r="53" spans="1:1" x14ac:dyDescent="0.2">
      <c r="A53" s="860" t="s">
        <v>197</v>
      </c>
    </row>
    <row r="54" spans="1:1" ht="38.25" x14ac:dyDescent="0.2">
      <c r="A54" s="860" t="s">
        <v>198</v>
      </c>
    </row>
    <row r="55" spans="1:1" x14ac:dyDescent="0.2">
      <c r="A55" s="860" t="s">
        <v>199</v>
      </c>
    </row>
    <row r="56" spans="1:1" x14ac:dyDescent="0.2">
      <c r="A56" s="860" t="s">
        <v>200</v>
      </c>
    </row>
    <row r="57" spans="1:1" ht="25.5" x14ac:dyDescent="0.2">
      <c r="A57" s="860" t="s">
        <v>201</v>
      </c>
    </row>
    <row r="59" spans="1:1" x14ac:dyDescent="0.2">
      <c r="A59" s="860" t="s">
        <v>202</v>
      </c>
    </row>
    <row r="60" spans="1:1" ht="25.5" x14ac:dyDescent="0.2">
      <c r="A60" s="860" t="s">
        <v>203</v>
      </c>
    </row>
    <row r="61" spans="1:1" x14ac:dyDescent="0.2">
      <c r="A61" s="860" t="s">
        <v>204</v>
      </c>
    </row>
    <row r="62" spans="1:1" x14ac:dyDescent="0.2">
      <c r="A62" s="860" t="s">
        <v>205</v>
      </c>
    </row>
    <row r="63" spans="1:1" x14ac:dyDescent="0.2">
      <c r="A63" s="860" t="s">
        <v>206</v>
      </c>
    </row>
    <row r="64" spans="1:1" x14ac:dyDescent="0.2">
      <c r="A64" s="860" t="s">
        <v>207</v>
      </c>
    </row>
    <row r="65" spans="1:1" x14ac:dyDescent="0.2">
      <c r="A65" s="860" t="s">
        <v>208</v>
      </c>
    </row>
    <row r="66" spans="1:1" x14ac:dyDescent="0.2">
      <c r="A66" s="860" t="s">
        <v>209</v>
      </c>
    </row>
    <row r="67" spans="1:1" x14ac:dyDescent="0.2">
      <c r="A67" s="860" t="s">
        <v>210</v>
      </c>
    </row>
    <row r="68" spans="1:1" ht="25.5" x14ac:dyDescent="0.2">
      <c r="A68" s="860" t="s">
        <v>211</v>
      </c>
    </row>
    <row r="69" spans="1:1" x14ac:dyDescent="0.2">
      <c r="A69" s="860" t="s">
        <v>212</v>
      </c>
    </row>
    <row r="70" spans="1:1" x14ac:dyDescent="0.2">
      <c r="A70" s="860" t="s">
        <v>213</v>
      </c>
    </row>
    <row r="71" spans="1:1" x14ac:dyDescent="0.2">
      <c r="A71" s="860" t="s">
        <v>214</v>
      </c>
    </row>
    <row r="72" spans="1:1" x14ac:dyDescent="0.2">
      <c r="A72" s="860" t="s">
        <v>215</v>
      </c>
    </row>
    <row r="73" spans="1:1" x14ac:dyDescent="0.2">
      <c r="A73" s="860" t="s">
        <v>216</v>
      </c>
    </row>
    <row r="74" spans="1:1" x14ac:dyDescent="0.2">
      <c r="A74" s="860" t="s">
        <v>217</v>
      </c>
    </row>
    <row r="75" spans="1:1" x14ac:dyDescent="0.2">
      <c r="A75" s="860" t="s">
        <v>218</v>
      </c>
    </row>
    <row r="76" spans="1:1" x14ac:dyDescent="0.2">
      <c r="A76" s="860" t="s">
        <v>219</v>
      </c>
    </row>
    <row r="78" spans="1:1" x14ac:dyDescent="0.2">
      <c r="A78" s="860" t="s">
        <v>220</v>
      </c>
    </row>
    <row r="79" spans="1:1" ht="76.5" x14ac:dyDescent="0.2">
      <c r="A79" s="860" t="s">
        <v>221</v>
      </c>
    </row>
    <row r="81" spans="1:1" x14ac:dyDescent="0.2">
      <c r="A81" s="860" t="s">
        <v>222</v>
      </c>
    </row>
    <row r="82" spans="1:1" x14ac:dyDescent="0.2">
      <c r="A82" s="860" t="s">
        <v>223</v>
      </c>
    </row>
    <row r="83" spans="1:1" ht="51" x14ac:dyDescent="0.2">
      <c r="A83" s="860" t="s">
        <v>224</v>
      </c>
    </row>
    <row r="85" spans="1:1" x14ac:dyDescent="0.2">
      <c r="A85" s="860" t="s">
        <v>225</v>
      </c>
    </row>
    <row r="86" spans="1:1" ht="38.25" x14ac:dyDescent="0.2">
      <c r="A86" s="860" t="s">
        <v>226</v>
      </c>
    </row>
    <row r="88" spans="1:1" x14ac:dyDescent="0.2">
      <c r="A88" s="860" t="s">
        <v>227</v>
      </c>
    </row>
    <row r="89" spans="1:1" x14ac:dyDescent="0.2">
      <c r="A89" s="860" t="s">
        <v>228</v>
      </c>
    </row>
    <row r="90" spans="1:1" ht="25.5" x14ac:dyDescent="0.2">
      <c r="A90" s="860" t="s">
        <v>229</v>
      </c>
    </row>
    <row r="91" spans="1:1" x14ac:dyDescent="0.2">
      <c r="A91" s="860" t="s">
        <v>230</v>
      </c>
    </row>
    <row r="93" spans="1:1" x14ac:dyDescent="0.2">
      <c r="A93" s="860" t="s">
        <v>231</v>
      </c>
    </row>
    <row r="94" spans="1:1" x14ac:dyDescent="0.2">
      <c r="A94" s="860" t="s">
        <v>232</v>
      </c>
    </row>
    <row r="95" spans="1:1" x14ac:dyDescent="0.2">
      <c r="A95" s="860" t="s">
        <v>233</v>
      </c>
    </row>
    <row r="96" spans="1:1" ht="25.5" x14ac:dyDescent="0.2">
      <c r="A96" s="860" t="s">
        <v>234</v>
      </c>
    </row>
    <row r="97" spans="1:1" x14ac:dyDescent="0.2">
      <c r="A97" s="860" t="s">
        <v>235</v>
      </c>
    </row>
    <row r="98" spans="1:1" ht="25.5" x14ac:dyDescent="0.2">
      <c r="A98" s="860" t="s">
        <v>236</v>
      </c>
    </row>
    <row r="99" spans="1:1" x14ac:dyDescent="0.2">
      <c r="A99" s="860" t="s">
        <v>237</v>
      </c>
    </row>
    <row r="101" spans="1:1" x14ac:dyDescent="0.2">
      <c r="A101" s="860" t="s">
        <v>238</v>
      </c>
    </row>
    <row r="102" spans="1:1" x14ac:dyDescent="0.2">
      <c r="A102" s="860" t="s">
        <v>239</v>
      </c>
    </row>
    <row r="103" spans="1:1" x14ac:dyDescent="0.2">
      <c r="A103" s="860" t="s">
        <v>240</v>
      </c>
    </row>
    <row r="104" spans="1:1" x14ac:dyDescent="0.2">
      <c r="A104" s="860" t="s">
        <v>241</v>
      </c>
    </row>
    <row r="105" spans="1:1" x14ac:dyDescent="0.2">
      <c r="A105" s="860" t="s">
        <v>242</v>
      </c>
    </row>
    <row r="106" spans="1:1" x14ac:dyDescent="0.2">
      <c r="A106" s="860" t="s">
        <v>243</v>
      </c>
    </row>
    <row r="107" spans="1:1" x14ac:dyDescent="0.2">
      <c r="A107" s="860" t="s">
        <v>244</v>
      </c>
    </row>
    <row r="108" spans="1:1" x14ac:dyDescent="0.2">
      <c r="A108" s="860" t="s">
        <v>245</v>
      </c>
    </row>
    <row r="109" spans="1:1" ht="51" x14ac:dyDescent="0.2">
      <c r="A109" s="860" t="s">
        <v>246</v>
      </c>
    </row>
    <row r="110" spans="1:1" ht="51" x14ac:dyDescent="0.2">
      <c r="A110" s="860" t="s">
        <v>247</v>
      </c>
    </row>
    <row r="111" spans="1:1" x14ac:dyDescent="0.2">
      <c r="A111" s="860" t="s">
        <v>248</v>
      </c>
    </row>
    <row r="112" spans="1:1" ht="25.5" x14ac:dyDescent="0.2">
      <c r="A112" s="860" t="s">
        <v>249</v>
      </c>
    </row>
    <row r="113" spans="1:1" ht="51" x14ac:dyDescent="0.2">
      <c r="A113" s="860" t="s">
        <v>250</v>
      </c>
    </row>
    <row r="114" spans="1:1" ht="51" x14ac:dyDescent="0.2">
      <c r="A114" s="860" t="s">
        <v>251</v>
      </c>
    </row>
    <row r="115" spans="1:1" ht="38.25" x14ac:dyDescent="0.2">
      <c r="A115" s="860" t="s">
        <v>252</v>
      </c>
    </row>
    <row r="116" spans="1:1" ht="63.75" x14ac:dyDescent="0.2">
      <c r="A116" s="860" t="s">
        <v>253</v>
      </c>
    </row>
    <row r="117" spans="1:1" x14ac:dyDescent="0.2">
      <c r="A117" s="860" t="s">
        <v>254</v>
      </c>
    </row>
    <row r="118" spans="1:1" x14ac:dyDescent="0.2">
      <c r="A118" s="860" t="s">
        <v>255</v>
      </c>
    </row>
    <row r="119" spans="1:1" ht="38.25" x14ac:dyDescent="0.2">
      <c r="A119" s="860" t="s">
        <v>256</v>
      </c>
    </row>
    <row r="120" spans="1:1" x14ac:dyDescent="0.2">
      <c r="A120" s="860" t="s">
        <v>257</v>
      </c>
    </row>
    <row r="121" spans="1:1" x14ac:dyDescent="0.2">
      <c r="A121" s="860" t="s">
        <v>258</v>
      </c>
    </row>
    <row r="122" spans="1:1" ht="25.5" x14ac:dyDescent="0.2">
      <c r="A122" s="860" t="s">
        <v>259</v>
      </c>
    </row>
    <row r="123" spans="1:1" x14ac:dyDescent="0.2">
      <c r="A123" s="860" t="s">
        <v>260</v>
      </c>
    </row>
    <row r="124" spans="1:1" x14ac:dyDescent="0.2">
      <c r="A124" s="860" t="s">
        <v>261</v>
      </c>
    </row>
    <row r="125" spans="1:1" ht="25.5" x14ac:dyDescent="0.2">
      <c r="A125" s="860" t="s">
        <v>262</v>
      </c>
    </row>
    <row r="126" spans="1:1" ht="25.5" x14ac:dyDescent="0.2">
      <c r="A126" s="860" t="s">
        <v>263</v>
      </c>
    </row>
    <row r="127" spans="1:1" x14ac:dyDescent="0.2">
      <c r="A127" s="860" t="s">
        <v>264</v>
      </c>
    </row>
    <row r="128" spans="1:1" ht="25.5" x14ac:dyDescent="0.2">
      <c r="A128" s="860" t="s">
        <v>265</v>
      </c>
    </row>
    <row r="129" spans="1:1" ht="25.5" x14ac:dyDescent="0.2">
      <c r="A129" s="860" t="s">
        <v>266</v>
      </c>
    </row>
    <row r="130" spans="1:1" ht="25.5" x14ac:dyDescent="0.2">
      <c r="A130" s="860" t="s">
        <v>267</v>
      </c>
    </row>
    <row r="132" spans="1:1" ht="51" x14ac:dyDescent="0.2">
      <c r="A132" s="860" t="s">
        <v>268</v>
      </c>
    </row>
    <row r="133" spans="1:1" ht="51" x14ac:dyDescent="0.2">
      <c r="A133" s="860" t="s">
        <v>269</v>
      </c>
    </row>
    <row r="134" spans="1:1" ht="38.25" x14ac:dyDescent="0.2">
      <c r="A134" s="860" t="s">
        <v>270</v>
      </c>
    </row>
    <row r="135" spans="1:1" x14ac:dyDescent="0.2">
      <c r="A135" s="860" t="s">
        <v>271</v>
      </c>
    </row>
    <row r="137" spans="1:1" x14ac:dyDescent="0.2">
      <c r="A137" s="860" t="s">
        <v>272</v>
      </c>
    </row>
    <row r="138" spans="1:1" x14ac:dyDescent="0.2">
      <c r="A138" s="860" t="s">
        <v>273</v>
      </c>
    </row>
    <row r="139" spans="1:1" ht="25.5" x14ac:dyDescent="0.2">
      <c r="A139" s="860" t="s">
        <v>274</v>
      </c>
    </row>
    <row r="140" spans="1:1" ht="25.5" x14ac:dyDescent="0.2">
      <c r="A140" s="860" t="s">
        <v>275</v>
      </c>
    </row>
    <row r="142" spans="1:1" x14ac:dyDescent="0.2">
      <c r="A142" s="860" t="s">
        <v>276</v>
      </c>
    </row>
    <row r="143" spans="1:1" ht="63.75" x14ac:dyDescent="0.2">
      <c r="A143" s="860" t="s">
        <v>277</v>
      </c>
    </row>
    <row r="144" spans="1:1" x14ac:dyDescent="0.2">
      <c r="A144" s="860" t="s">
        <v>278</v>
      </c>
    </row>
    <row r="145" spans="1:1" x14ac:dyDescent="0.2">
      <c r="A145" s="860" t="s">
        <v>279</v>
      </c>
    </row>
    <row r="146" spans="1:1" x14ac:dyDescent="0.2">
      <c r="A146" s="860" t="s">
        <v>280</v>
      </c>
    </row>
    <row r="147" spans="1:1" ht="51" x14ac:dyDescent="0.2">
      <c r="A147" s="860" t="s">
        <v>281</v>
      </c>
    </row>
    <row r="148" spans="1:1" x14ac:dyDescent="0.2">
      <c r="A148" s="860" t="s">
        <v>282</v>
      </c>
    </row>
    <row r="149" spans="1:1" ht="25.5" x14ac:dyDescent="0.2">
      <c r="A149" s="860" t="s">
        <v>283</v>
      </c>
    </row>
    <row r="150" spans="1:1" ht="38.25" x14ac:dyDescent="0.2">
      <c r="A150" s="860" t="s">
        <v>284</v>
      </c>
    </row>
    <row r="152" spans="1:1" x14ac:dyDescent="0.2">
      <c r="A152" s="860" t="s">
        <v>285</v>
      </c>
    </row>
    <row r="153" spans="1:1" x14ac:dyDescent="0.2">
      <c r="A153" s="860" t="s">
        <v>286</v>
      </c>
    </row>
    <row r="154" spans="1:1" x14ac:dyDescent="0.2">
      <c r="A154" s="860" t="s">
        <v>287</v>
      </c>
    </row>
    <row r="155" spans="1:1" x14ac:dyDescent="0.2">
      <c r="A155" s="860" t="s">
        <v>288</v>
      </c>
    </row>
    <row r="156" spans="1:1" x14ac:dyDescent="0.2">
      <c r="A156" s="860" t="s">
        <v>289</v>
      </c>
    </row>
    <row r="157" spans="1:1" x14ac:dyDescent="0.2">
      <c r="A157" s="860" t="s">
        <v>290</v>
      </c>
    </row>
    <row r="158" spans="1:1" x14ac:dyDescent="0.2">
      <c r="A158" s="860" t="s">
        <v>291</v>
      </c>
    </row>
    <row r="159" spans="1:1" x14ac:dyDescent="0.2">
      <c r="A159" s="860" t="s">
        <v>292</v>
      </c>
    </row>
    <row r="160" spans="1:1" ht="25.5" x14ac:dyDescent="0.2">
      <c r="A160" s="860" t="s">
        <v>293</v>
      </c>
    </row>
    <row r="161" spans="1:1" x14ac:dyDescent="0.2">
      <c r="A161" s="860" t="s">
        <v>294</v>
      </c>
    </row>
    <row r="163" spans="1:1" x14ac:dyDescent="0.2">
      <c r="A163" s="860" t="s">
        <v>295</v>
      </c>
    </row>
    <row r="164" spans="1:1" ht="51" x14ac:dyDescent="0.2">
      <c r="A164" s="860" t="s">
        <v>296</v>
      </c>
    </row>
    <row r="165" spans="1:1" x14ac:dyDescent="0.2">
      <c r="A165" s="860" t="s">
        <v>297</v>
      </c>
    </row>
    <row r="166" spans="1:1" x14ac:dyDescent="0.2">
      <c r="A166" s="860" t="s">
        <v>298</v>
      </c>
    </row>
    <row r="167" spans="1:1" ht="38.25" x14ac:dyDescent="0.2">
      <c r="A167" s="860" t="s">
        <v>299</v>
      </c>
    </row>
    <row r="168" spans="1:1" x14ac:dyDescent="0.2">
      <c r="A168" s="860" t="s">
        <v>300</v>
      </c>
    </row>
    <row r="169" spans="1:1" ht="25.5" x14ac:dyDescent="0.2">
      <c r="A169" s="860" t="s">
        <v>301</v>
      </c>
    </row>
    <row r="170" spans="1:1" ht="38.25" x14ac:dyDescent="0.2">
      <c r="A170" s="860" t="s">
        <v>302</v>
      </c>
    </row>
    <row r="171" spans="1:1" x14ac:dyDescent="0.2">
      <c r="A171" s="860" t="s">
        <v>303</v>
      </c>
    </row>
  </sheetData>
  <pageMargins left="0.78740157480314965" right="0.39370078740157483" top="0.59055118110236227" bottom="0.39370078740157483" header="0.39370078740157483" footer="0"/>
  <pageSetup paperSize="9" fitToHeight="0" orientation="portrait" r:id="rId1"/>
  <headerFooter>
    <oddHeader>&amp;RPage &amp;P of &amp;N</oddHeader>
  </headerFooter>
  <rowBreaks count="4" manualBreakCount="4">
    <brk id="36" max="16383" man="1"/>
    <brk id="76" max="16383" man="1"/>
    <brk id="113" man="1"/>
    <brk id="14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K36"/>
  <sheetViews>
    <sheetView showGridLines="0" showRowColHeaders="0" workbookViewId="0">
      <pane ySplit="3" topLeftCell="A4" activePane="bottomLeft" state="frozen"/>
      <selection pane="bottomLeft" activeCell="I1" sqref="I1"/>
    </sheetView>
  </sheetViews>
  <sheetFormatPr defaultRowHeight="12.75" x14ac:dyDescent="0.2"/>
  <cols>
    <col min="1" max="16384" width="9.140625" style="244"/>
  </cols>
  <sheetData>
    <row r="1" spans="1:11" x14ac:dyDescent="0.2">
      <c r="A1" s="52" t="s">
        <v>529</v>
      </c>
      <c r="G1" s="157"/>
    </row>
    <row r="3" spans="1:11" ht="25.5" x14ac:dyDescent="0.2">
      <c r="A3" s="156" t="s">
        <v>28</v>
      </c>
      <c r="B3" s="156" t="s">
        <v>2</v>
      </c>
      <c r="C3" s="156" t="s">
        <v>413</v>
      </c>
      <c r="D3" s="156" t="s">
        <v>414</v>
      </c>
      <c r="E3" s="156" t="s">
        <v>415</v>
      </c>
    </row>
    <row r="4" spans="1:11" x14ac:dyDescent="0.2">
      <c r="A4" s="155" t="s">
        <v>416</v>
      </c>
      <c r="B4" s="155">
        <v>173</v>
      </c>
      <c r="C4" s="155">
        <v>115</v>
      </c>
      <c r="D4" s="155">
        <v>105</v>
      </c>
      <c r="E4" s="155">
        <v>53</v>
      </c>
    </row>
    <row r="5" spans="1:11" x14ac:dyDescent="0.2">
      <c r="A5" s="155" t="s">
        <v>417</v>
      </c>
      <c r="B5" s="155">
        <v>158</v>
      </c>
      <c r="C5" s="155">
        <v>105</v>
      </c>
      <c r="D5" s="155">
        <v>93</v>
      </c>
      <c r="E5" s="155">
        <v>42</v>
      </c>
    </row>
    <row r="6" spans="1:11" x14ac:dyDescent="0.2">
      <c r="A6" s="155" t="s">
        <v>418</v>
      </c>
      <c r="B6" s="155">
        <v>146</v>
      </c>
      <c r="C6" s="155">
        <v>97</v>
      </c>
      <c r="D6" s="155">
        <v>83</v>
      </c>
      <c r="E6" s="155">
        <v>33</v>
      </c>
    </row>
    <row r="7" spans="1:11" x14ac:dyDescent="0.2">
      <c r="A7" s="155" t="s">
        <v>131</v>
      </c>
      <c r="B7" s="155">
        <v>135</v>
      </c>
      <c r="C7" s="155">
        <v>90</v>
      </c>
      <c r="D7" s="155">
        <v>74</v>
      </c>
      <c r="E7" s="155">
        <v>27</v>
      </c>
    </row>
    <row r="8" spans="1:11" x14ac:dyDescent="0.2">
      <c r="A8" s="155" t="s">
        <v>132</v>
      </c>
      <c r="B8" s="155">
        <v>126</v>
      </c>
      <c r="C8" s="155">
        <v>84</v>
      </c>
      <c r="D8" s="155">
        <v>65</v>
      </c>
      <c r="E8" s="155">
        <v>23</v>
      </c>
      <c r="K8" s="157"/>
    </row>
    <row r="9" spans="1:11" x14ac:dyDescent="0.2">
      <c r="A9" s="155" t="s">
        <v>133</v>
      </c>
      <c r="B9" s="155">
        <v>119</v>
      </c>
      <c r="C9" s="155">
        <v>79</v>
      </c>
      <c r="D9" s="155">
        <v>57</v>
      </c>
      <c r="E9" s="155">
        <v>18</v>
      </c>
    </row>
    <row r="10" spans="1:11" x14ac:dyDescent="0.2">
      <c r="A10" s="155" t="s">
        <v>134</v>
      </c>
      <c r="B10" s="155">
        <v>111</v>
      </c>
      <c r="C10" s="155">
        <v>74</v>
      </c>
      <c r="D10" s="155">
        <v>50</v>
      </c>
      <c r="E10" s="155">
        <v>14</v>
      </c>
    </row>
    <row r="11" spans="1:11" x14ac:dyDescent="0.2">
      <c r="A11" s="155" t="s">
        <v>135</v>
      </c>
      <c r="B11" s="155">
        <v>104</v>
      </c>
      <c r="C11" s="155">
        <v>69</v>
      </c>
      <c r="D11" s="155">
        <v>42</v>
      </c>
      <c r="E11" s="155">
        <v>9</v>
      </c>
    </row>
    <row r="12" spans="1:11" x14ac:dyDescent="0.2">
      <c r="A12" s="155" t="s">
        <v>136</v>
      </c>
      <c r="B12" s="155">
        <v>96</v>
      </c>
      <c r="C12" s="155">
        <v>64</v>
      </c>
      <c r="D12" s="155">
        <v>35</v>
      </c>
      <c r="E12" s="155">
        <v>5</v>
      </c>
    </row>
    <row r="13" spans="1:11" x14ac:dyDescent="0.2">
      <c r="A13" s="155" t="s">
        <v>137</v>
      </c>
      <c r="B13" s="155">
        <v>90</v>
      </c>
      <c r="C13" s="155">
        <v>60</v>
      </c>
      <c r="D13" s="155">
        <v>29</v>
      </c>
      <c r="E13" s="155">
        <v>2</v>
      </c>
    </row>
    <row r="14" spans="1:11" x14ac:dyDescent="0.2">
      <c r="A14" s="155" t="s">
        <v>138</v>
      </c>
      <c r="B14" s="155">
        <v>84</v>
      </c>
      <c r="C14" s="155">
        <v>56</v>
      </c>
      <c r="D14" s="155">
        <v>23</v>
      </c>
      <c r="E14" s="155">
        <v>1</v>
      </c>
    </row>
    <row r="15" spans="1:11" x14ac:dyDescent="0.2">
      <c r="A15" s="155" t="s">
        <v>139</v>
      </c>
      <c r="B15" s="155">
        <v>78</v>
      </c>
      <c r="C15" s="155">
        <v>52</v>
      </c>
      <c r="D15" s="155">
        <v>17</v>
      </c>
      <c r="E15" s="155">
        <v>1</v>
      </c>
    </row>
    <row r="16" spans="1:11" x14ac:dyDescent="0.2">
      <c r="A16" s="155" t="s">
        <v>140</v>
      </c>
      <c r="B16" s="155">
        <v>74</v>
      </c>
      <c r="C16" s="155">
        <v>49</v>
      </c>
      <c r="D16" s="155">
        <v>12</v>
      </c>
      <c r="E16" s="155">
        <v>1</v>
      </c>
    </row>
    <row r="17" spans="1:5" x14ac:dyDescent="0.2">
      <c r="A17" s="155" t="s">
        <v>141</v>
      </c>
      <c r="B17" s="155">
        <v>69</v>
      </c>
      <c r="C17" s="155">
        <v>46</v>
      </c>
      <c r="D17" s="155">
        <v>8</v>
      </c>
      <c r="E17" s="155">
        <v>1</v>
      </c>
    </row>
    <row r="18" spans="1:5" x14ac:dyDescent="0.2">
      <c r="A18" s="155" t="s">
        <v>142</v>
      </c>
      <c r="B18" s="155">
        <v>65</v>
      </c>
      <c r="C18" s="155">
        <v>43</v>
      </c>
      <c r="D18" s="155">
        <v>5</v>
      </c>
      <c r="E18" s="155">
        <v>1</v>
      </c>
    </row>
    <row r="19" spans="1:5" x14ac:dyDescent="0.2">
      <c r="A19" s="155" t="s">
        <v>143</v>
      </c>
      <c r="B19" s="155">
        <v>60</v>
      </c>
      <c r="C19" s="155">
        <v>40</v>
      </c>
      <c r="D19" s="155">
        <v>3</v>
      </c>
      <c r="E19" s="155">
        <v>1</v>
      </c>
    </row>
    <row r="20" spans="1:5" x14ac:dyDescent="0.2">
      <c r="A20" s="155" t="s">
        <v>144</v>
      </c>
      <c r="B20" s="155">
        <v>56</v>
      </c>
      <c r="C20" s="155">
        <v>37</v>
      </c>
      <c r="D20" s="155">
        <v>1</v>
      </c>
      <c r="E20" s="155">
        <v>1</v>
      </c>
    </row>
    <row r="21" spans="1:5" x14ac:dyDescent="0.2">
      <c r="A21" s="155" t="s">
        <v>145</v>
      </c>
      <c r="B21" s="155">
        <v>51</v>
      </c>
      <c r="C21" s="155">
        <v>34</v>
      </c>
      <c r="D21" s="155">
        <v>1</v>
      </c>
      <c r="E21" s="155">
        <v>1</v>
      </c>
    </row>
    <row r="22" spans="1:5" x14ac:dyDescent="0.2">
      <c r="A22" s="155" t="s">
        <v>146</v>
      </c>
      <c r="B22" s="155">
        <v>47</v>
      </c>
      <c r="C22" s="155">
        <v>31</v>
      </c>
      <c r="D22" s="155">
        <v>1</v>
      </c>
      <c r="E22" s="155">
        <v>1</v>
      </c>
    </row>
    <row r="23" spans="1:5" x14ac:dyDescent="0.2">
      <c r="A23" s="155" t="s">
        <v>147</v>
      </c>
      <c r="B23" s="155">
        <v>42</v>
      </c>
      <c r="C23" s="155">
        <v>28</v>
      </c>
      <c r="D23" s="155">
        <v>1</v>
      </c>
      <c r="E23" s="155">
        <v>1</v>
      </c>
    </row>
    <row r="24" spans="1:5" x14ac:dyDescent="0.2">
      <c r="A24" s="155" t="s">
        <v>148</v>
      </c>
      <c r="B24" s="155">
        <v>38</v>
      </c>
      <c r="C24" s="155">
        <v>25</v>
      </c>
      <c r="D24" s="155">
        <v>1</v>
      </c>
      <c r="E24" s="155">
        <v>1</v>
      </c>
    </row>
    <row r="25" spans="1:5" x14ac:dyDescent="0.2">
      <c r="A25" s="155" t="s">
        <v>149</v>
      </c>
      <c r="B25" s="155">
        <v>33</v>
      </c>
      <c r="C25" s="155">
        <v>22</v>
      </c>
      <c r="D25" s="155">
        <v>1</v>
      </c>
      <c r="E25" s="155">
        <v>1</v>
      </c>
    </row>
    <row r="26" spans="1:5" x14ac:dyDescent="0.2">
      <c r="A26" s="155" t="s">
        <v>150</v>
      </c>
      <c r="B26" s="155">
        <v>29</v>
      </c>
      <c r="C26" s="155">
        <v>19</v>
      </c>
      <c r="D26" s="155">
        <v>1</v>
      </c>
      <c r="E26" s="155">
        <v>1</v>
      </c>
    </row>
    <row r="27" spans="1:5" x14ac:dyDescent="0.2">
      <c r="A27" s="155" t="s">
        <v>151</v>
      </c>
      <c r="B27" s="155">
        <v>24</v>
      </c>
      <c r="C27" s="155">
        <v>16</v>
      </c>
      <c r="D27" s="155">
        <v>1</v>
      </c>
      <c r="E27" s="155">
        <v>1</v>
      </c>
    </row>
    <row r="28" spans="1:5" x14ac:dyDescent="0.2">
      <c r="A28" s="155" t="s">
        <v>152</v>
      </c>
      <c r="B28" s="155">
        <v>21</v>
      </c>
      <c r="C28" s="155">
        <v>14</v>
      </c>
      <c r="D28" s="155">
        <v>1</v>
      </c>
      <c r="E28" s="155">
        <v>1</v>
      </c>
    </row>
    <row r="29" spans="1:5" x14ac:dyDescent="0.2">
      <c r="A29" s="155" t="s">
        <v>153</v>
      </c>
      <c r="B29" s="155">
        <v>18</v>
      </c>
      <c r="C29" s="155">
        <v>12</v>
      </c>
      <c r="D29" s="155">
        <v>1</v>
      </c>
      <c r="E29" s="155">
        <v>1</v>
      </c>
    </row>
    <row r="30" spans="1:5" x14ac:dyDescent="0.2">
      <c r="A30" s="155" t="s">
        <v>154</v>
      </c>
      <c r="B30" s="155">
        <v>16</v>
      </c>
      <c r="C30" s="155">
        <v>10</v>
      </c>
      <c r="D30" s="155">
        <v>1</v>
      </c>
      <c r="E30" s="155">
        <v>1</v>
      </c>
    </row>
    <row r="31" spans="1:5" x14ac:dyDescent="0.2">
      <c r="A31" s="155" t="s">
        <v>155</v>
      </c>
      <c r="B31" s="155">
        <v>14</v>
      </c>
      <c r="C31" s="155">
        <v>8</v>
      </c>
      <c r="D31" s="155">
        <v>1</v>
      </c>
      <c r="E31" s="155">
        <v>1</v>
      </c>
    </row>
    <row r="32" spans="1:5" x14ac:dyDescent="0.2">
      <c r="A32" s="155" t="s">
        <v>156</v>
      </c>
      <c r="B32" s="155">
        <v>12</v>
      </c>
      <c r="C32" s="155">
        <v>6</v>
      </c>
      <c r="D32" s="155">
        <v>1</v>
      </c>
      <c r="E32" s="155">
        <v>1</v>
      </c>
    </row>
    <row r="33" spans="1:5" x14ac:dyDescent="0.2">
      <c r="A33" s="155" t="s">
        <v>157</v>
      </c>
      <c r="B33" s="155">
        <v>10</v>
      </c>
      <c r="C33" s="155">
        <v>5</v>
      </c>
      <c r="D33" s="155">
        <v>1</v>
      </c>
      <c r="E33" s="155">
        <v>1</v>
      </c>
    </row>
    <row r="34" spans="1:5" x14ac:dyDescent="0.2">
      <c r="A34" s="155" t="s">
        <v>158</v>
      </c>
      <c r="B34" s="155">
        <v>8</v>
      </c>
      <c r="C34" s="155">
        <v>4</v>
      </c>
      <c r="D34" s="155">
        <v>1</v>
      </c>
      <c r="E34" s="155">
        <v>1</v>
      </c>
    </row>
    <row r="35" spans="1:5" x14ac:dyDescent="0.2">
      <c r="A35" s="155" t="s">
        <v>159</v>
      </c>
      <c r="B35" s="155">
        <v>6</v>
      </c>
      <c r="C35" s="155">
        <v>3</v>
      </c>
      <c r="D35" s="155">
        <v>1</v>
      </c>
      <c r="E35" s="155">
        <v>1</v>
      </c>
    </row>
    <row r="36" spans="1:5" x14ac:dyDescent="0.2">
      <c r="A36" s="155" t="s">
        <v>160</v>
      </c>
      <c r="B36" s="155">
        <v>3</v>
      </c>
      <c r="C36" s="155">
        <v>1</v>
      </c>
      <c r="D36" s="155">
        <v>1</v>
      </c>
      <c r="E36" s="155">
        <v>1</v>
      </c>
    </row>
  </sheetData>
  <pageMargins left="0.78740157480314965" right="0.39370078740157483" top="0.78740157480314965" bottom="0.39370078740157483" header="0.59055118110236227" footer="0"/>
  <pageSetup paperSize="9" fitToHeight="0" orientation="portrait" r:id="rId1"/>
  <headerFooter>
    <oddHeader>&amp;RPage &amp;P of &amp;N</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M49"/>
  <sheetViews>
    <sheetView showGridLines="0" showRowColHeaders="0" workbookViewId="0">
      <pane ySplit="1" topLeftCell="A2" activePane="bottomLeft" state="frozen"/>
      <selection activeCell="I1" sqref="I1"/>
      <selection pane="bottomLeft" activeCell="K1" sqref="K1"/>
    </sheetView>
  </sheetViews>
  <sheetFormatPr defaultRowHeight="12.75" x14ac:dyDescent="0.2"/>
  <cols>
    <col min="1" max="1" width="3" customWidth="1"/>
    <col min="2" max="2" width="20.140625" bestFit="1" customWidth="1"/>
    <col min="3" max="3" width="5.5703125" bestFit="1" customWidth="1"/>
    <col min="5" max="5" width="3" customWidth="1"/>
    <col min="6" max="6" width="19.85546875" bestFit="1" customWidth="1"/>
    <col min="7" max="7" width="5.5703125" bestFit="1" customWidth="1"/>
  </cols>
  <sheetData>
    <row r="1" spans="1:8" x14ac:dyDescent="0.2">
      <c r="A1" s="52" t="s">
        <v>431</v>
      </c>
      <c r="F1" s="204" t="str">
        <f>HYPERLINK("http://www.petanque.ee/litsentsid/litsentsid-2016/","Jooksvalt näeb siit")</f>
        <v>Jooksvalt näeb siit</v>
      </c>
      <c r="H1" t="s">
        <v>896</v>
      </c>
    </row>
    <row r="2" spans="1:8" x14ac:dyDescent="0.2">
      <c r="A2" s="52"/>
    </row>
    <row r="3" spans="1:8" x14ac:dyDescent="0.2">
      <c r="A3" s="202" t="s">
        <v>667</v>
      </c>
      <c r="E3" s="202" t="s">
        <v>669</v>
      </c>
    </row>
    <row r="4" spans="1:8" x14ac:dyDescent="0.2">
      <c r="A4">
        <v>1</v>
      </c>
      <c r="B4" s="442" t="s">
        <v>63</v>
      </c>
      <c r="C4" s="279" t="s">
        <v>668</v>
      </c>
      <c r="D4" s="279"/>
      <c r="E4" s="279">
        <v>1</v>
      </c>
      <c r="F4" s="442" t="s">
        <v>37</v>
      </c>
      <c r="G4" t="s">
        <v>668</v>
      </c>
    </row>
    <row r="5" spans="1:8" x14ac:dyDescent="0.2">
      <c r="A5">
        <v>2</v>
      </c>
      <c r="B5" s="442" t="s">
        <v>56</v>
      </c>
      <c r="C5" s="279" t="s">
        <v>668</v>
      </c>
      <c r="D5" s="279"/>
      <c r="E5" s="279">
        <v>2</v>
      </c>
      <c r="F5" s="442" t="s">
        <v>48</v>
      </c>
      <c r="G5" t="s">
        <v>668</v>
      </c>
    </row>
    <row r="6" spans="1:8" x14ac:dyDescent="0.2">
      <c r="A6">
        <v>3</v>
      </c>
      <c r="B6" s="442" t="s">
        <v>74</v>
      </c>
      <c r="C6" s="279" t="s">
        <v>668</v>
      </c>
      <c r="D6" s="279"/>
      <c r="E6" s="279">
        <v>3</v>
      </c>
      <c r="F6" s="442" t="s">
        <v>43</v>
      </c>
      <c r="G6" t="s">
        <v>668</v>
      </c>
    </row>
    <row r="7" spans="1:8" x14ac:dyDescent="0.2">
      <c r="A7">
        <v>4</v>
      </c>
      <c r="B7" s="442" t="s">
        <v>70</v>
      </c>
      <c r="C7" s="279" t="s">
        <v>668</v>
      </c>
      <c r="D7" s="279"/>
      <c r="E7" s="279">
        <v>4</v>
      </c>
      <c r="F7" s="279" t="s">
        <v>53</v>
      </c>
      <c r="G7" t="s">
        <v>668</v>
      </c>
    </row>
    <row r="8" spans="1:8" x14ac:dyDescent="0.2">
      <c r="A8">
        <v>5</v>
      </c>
      <c r="B8" s="442" t="s">
        <v>67</v>
      </c>
      <c r="C8" s="279" t="s">
        <v>668</v>
      </c>
      <c r="D8" s="279"/>
      <c r="E8" s="279">
        <v>5</v>
      </c>
      <c r="F8" s="279" t="s">
        <v>69</v>
      </c>
      <c r="G8" t="s">
        <v>668</v>
      </c>
    </row>
    <row r="9" spans="1:8" x14ac:dyDescent="0.2">
      <c r="A9">
        <v>6</v>
      </c>
      <c r="B9" s="443" t="s">
        <v>688</v>
      </c>
      <c r="C9" s="279" t="s">
        <v>668</v>
      </c>
      <c r="D9" s="279"/>
      <c r="E9" s="279">
        <v>6</v>
      </c>
      <c r="F9" s="279" t="s">
        <v>670</v>
      </c>
      <c r="G9" t="s">
        <v>668</v>
      </c>
    </row>
    <row r="10" spans="1:8" x14ac:dyDescent="0.2">
      <c r="A10">
        <v>7</v>
      </c>
      <c r="B10" s="444" t="s">
        <v>689</v>
      </c>
      <c r="C10" s="279" t="s">
        <v>668</v>
      </c>
      <c r="D10" s="279"/>
      <c r="E10" s="279">
        <v>7</v>
      </c>
      <c r="F10" s="279" t="s">
        <v>519</v>
      </c>
      <c r="G10" t="s">
        <v>668</v>
      </c>
    </row>
    <row r="11" spans="1:8" x14ac:dyDescent="0.2">
      <c r="A11">
        <v>8</v>
      </c>
      <c r="B11" s="279" t="s">
        <v>46</v>
      </c>
      <c r="C11" s="279" t="s">
        <v>668</v>
      </c>
      <c r="D11" s="279"/>
      <c r="E11" s="279">
        <v>8</v>
      </c>
      <c r="F11" s="279" t="s">
        <v>881</v>
      </c>
      <c r="G11" t="s">
        <v>668</v>
      </c>
    </row>
    <row r="12" spans="1:8" x14ac:dyDescent="0.2">
      <c r="A12">
        <v>9</v>
      </c>
      <c r="B12" s="279" t="s">
        <v>84</v>
      </c>
      <c r="C12" s="279" t="s">
        <v>668</v>
      </c>
      <c r="D12" s="279"/>
      <c r="E12" s="279">
        <v>9</v>
      </c>
      <c r="F12" s="279" t="s">
        <v>746</v>
      </c>
      <c r="G12" t="s">
        <v>668</v>
      </c>
    </row>
    <row r="13" spans="1:8" x14ac:dyDescent="0.2">
      <c r="A13">
        <v>10</v>
      </c>
      <c r="B13" s="279" t="s">
        <v>62</v>
      </c>
      <c r="C13" s="279" t="s">
        <v>668</v>
      </c>
      <c r="D13" s="279"/>
      <c r="E13" s="279">
        <v>10</v>
      </c>
      <c r="F13" s="279" t="s">
        <v>42</v>
      </c>
      <c r="G13" t="s">
        <v>668</v>
      </c>
    </row>
    <row r="14" spans="1:8" x14ac:dyDescent="0.2">
      <c r="A14">
        <v>11</v>
      </c>
      <c r="B14" s="279" t="s">
        <v>47</v>
      </c>
      <c r="C14" s="279" t="s">
        <v>668</v>
      </c>
      <c r="D14" s="279"/>
      <c r="E14" s="279">
        <v>11</v>
      </c>
      <c r="F14" s="279" t="s">
        <v>743</v>
      </c>
      <c r="G14" t="s">
        <v>668</v>
      </c>
    </row>
    <row r="15" spans="1:8" x14ac:dyDescent="0.2">
      <c r="A15">
        <v>12</v>
      </c>
      <c r="B15" s="279" t="s">
        <v>33</v>
      </c>
      <c r="C15" s="279" t="s">
        <v>668</v>
      </c>
      <c r="D15" s="279"/>
      <c r="E15" s="279">
        <v>12</v>
      </c>
      <c r="F15" s="279" t="s">
        <v>744</v>
      </c>
      <c r="G15" t="s">
        <v>668</v>
      </c>
    </row>
    <row r="16" spans="1:8" x14ac:dyDescent="0.2">
      <c r="A16">
        <v>13</v>
      </c>
      <c r="B16" s="279" t="s">
        <v>40</v>
      </c>
      <c r="C16" s="279" t="s">
        <v>668</v>
      </c>
      <c r="D16" s="279"/>
      <c r="E16" s="279">
        <v>13</v>
      </c>
      <c r="F16" s="279" t="s">
        <v>745</v>
      </c>
      <c r="G16" t="s">
        <v>668</v>
      </c>
    </row>
    <row r="17" spans="1:7" x14ac:dyDescent="0.2">
      <c r="A17">
        <v>14</v>
      </c>
      <c r="B17" s="444" t="s">
        <v>690</v>
      </c>
      <c r="C17" s="279" t="s">
        <v>668</v>
      </c>
      <c r="D17" s="279"/>
    </row>
    <row r="18" spans="1:7" x14ac:dyDescent="0.2">
      <c r="A18">
        <v>15</v>
      </c>
      <c r="B18" s="279" t="s">
        <v>553</v>
      </c>
      <c r="C18" s="279" t="s">
        <v>668</v>
      </c>
      <c r="D18" s="279"/>
      <c r="E18" s="512" t="s">
        <v>671</v>
      </c>
      <c r="F18" s="279"/>
    </row>
    <row r="19" spans="1:7" x14ac:dyDescent="0.2">
      <c r="A19">
        <v>16</v>
      </c>
      <c r="B19" s="279" t="s">
        <v>77</v>
      </c>
      <c r="C19" s="279" t="s">
        <v>668</v>
      </c>
      <c r="D19" s="279"/>
      <c r="E19" s="279">
        <v>1</v>
      </c>
      <c r="F19" s="444" t="s">
        <v>672</v>
      </c>
      <c r="G19" t="s">
        <v>668</v>
      </c>
    </row>
    <row r="20" spans="1:7" x14ac:dyDescent="0.2">
      <c r="A20">
        <v>17</v>
      </c>
      <c r="B20" s="442" t="s">
        <v>39</v>
      </c>
      <c r="C20" s="279" t="s">
        <v>668</v>
      </c>
      <c r="D20" s="279"/>
      <c r="E20" s="279">
        <v>2</v>
      </c>
      <c r="F20" s="279" t="s">
        <v>41</v>
      </c>
      <c r="G20" t="s">
        <v>668</v>
      </c>
    </row>
    <row r="21" spans="1:7" x14ac:dyDescent="0.2">
      <c r="A21">
        <v>18</v>
      </c>
      <c r="B21" s="442" t="s">
        <v>89</v>
      </c>
      <c r="C21" s="279" t="s">
        <v>673</v>
      </c>
      <c r="D21" s="279"/>
      <c r="E21" s="279">
        <v>3</v>
      </c>
      <c r="F21" s="442" t="s">
        <v>52</v>
      </c>
      <c r="G21" t="s">
        <v>668</v>
      </c>
    </row>
    <row r="22" spans="1:7" x14ac:dyDescent="0.2">
      <c r="A22">
        <v>19</v>
      </c>
      <c r="B22" s="625" t="s">
        <v>75</v>
      </c>
      <c r="C22" s="279" t="s">
        <v>673</v>
      </c>
      <c r="D22" s="279"/>
      <c r="E22" s="279">
        <v>4</v>
      </c>
      <c r="F22" s="279" t="s">
        <v>51</v>
      </c>
      <c r="G22" t="s">
        <v>668</v>
      </c>
    </row>
    <row r="23" spans="1:7" x14ac:dyDescent="0.2">
      <c r="B23" s="279"/>
      <c r="C23" s="279"/>
      <c r="D23" s="279"/>
      <c r="E23" s="279">
        <v>5</v>
      </c>
      <c r="F23" s="279" t="s">
        <v>436</v>
      </c>
      <c r="G23" t="s">
        <v>668</v>
      </c>
    </row>
    <row r="24" spans="1:7" x14ac:dyDescent="0.2">
      <c r="A24" s="202" t="s">
        <v>674</v>
      </c>
      <c r="B24" s="279"/>
      <c r="C24" s="279"/>
      <c r="D24" s="279"/>
      <c r="E24" s="279">
        <v>6</v>
      </c>
      <c r="F24" s="279" t="s">
        <v>60</v>
      </c>
      <c r="G24" t="s">
        <v>668</v>
      </c>
    </row>
    <row r="25" spans="1:7" x14ac:dyDescent="0.2">
      <c r="A25">
        <v>1</v>
      </c>
      <c r="B25" s="443" t="s">
        <v>675</v>
      </c>
      <c r="C25" s="279" t="s">
        <v>668</v>
      </c>
      <c r="D25" s="279"/>
      <c r="E25" s="279">
        <v>7</v>
      </c>
      <c r="F25" s="279" t="s">
        <v>66</v>
      </c>
      <c r="G25" t="s">
        <v>668</v>
      </c>
    </row>
    <row r="26" spans="1:7" x14ac:dyDescent="0.2">
      <c r="A26">
        <v>2</v>
      </c>
      <c r="B26" s="444" t="s">
        <v>676</v>
      </c>
      <c r="C26" s="279" t="s">
        <v>668</v>
      </c>
      <c r="D26" s="279"/>
      <c r="E26" s="279">
        <v>8</v>
      </c>
      <c r="F26" s="279" t="s">
        <v>64</v>
      </c>
      <c r="G26" t="s">
        <v>668</v>
      </c>
    </row>
    <row r="27" spans="1:7" x14ac:dyDescent="0.2">
      <c r="A27">
        <v>3</v>
      </c>
      <c r="B27" s="443" t="s">
        <v>677</v>
      </c>
      <c r="C27" s="279" t="s">
        <v>668</v>
      </c>
      <c r="D27" s="279"/>
      <c r="E27" s="279">
        <v>9</v>
      </c>
      <c r="F27" s="279" t="s">
        <v>68</v>
      </c>
      <c r="G27" t="s">
        <v>668</v>
      </c>
    </row>
    <row r="28" spans="1:7" x14ac:dyDescent="0.2">
      <c r="A28">
        <v>4</v>
      </c>
      <c r="B28" s="442" t="s">
        <v>59</v>
      </c>
      <c r="C28" s="279" t="s">
        <v>668</v>
      </c>
      <c r="D28" s="279"/>
      <c r="E28" s="279">
        <v>10</v>
      </c>
      <c r="F28" s="279" t="s">
        <v>88</v>
      </c>
      <c r="G28" t="s">
        <v>668</v>
      </c>
    </row>
    <row r="29" spans="1:7" x14ac:dyDescent="0.2">
      <c r="A29">
        <v>5</v>
      </c>
      <c r="B29" s="442" t="s">
        <v>678</v>
      </c>
      <c r="C29" s="279" t="s">
        <v>668</v>
      </c>
      <c r="D29" s="279"/>
      <c r="E29" s="279">
        <v>11</v>
      </c>
      <c r="F29" s="442" t="s">
        <v>435</v>
      </c>
      <c r="G29" t="s">
        <v>668</v>
      </c>
    </row>
    <row r="30" spans="1:7" x14ac:dyDescent="0.2">
      <c r="A30">
        <v>6</v>
      </c>
      <c r="B30" s="442" t="s">
        <v>679</v>
      </c>
      <c r="C30" s="279" t="s">
        <v>668</v>
      </c>
      <c r="D30" s="279"/>
      <c r="E30" s="279"/>
      <c r="F30" s="638" t="s">
        <v>710</v>
      </c>
      <c r="G30" s="279" t="s">
        <v>901</v>
      </c>
    </row>
    <row r="31" spans="1:7" x14ac:dyDescent="0.2">
      <c r="A31">
        <v>7</v>
      </c>
      <c r="B31" s="279" t="s">
        <v>681</v>
      </c>
      <c r="C31" s="279" t="s">
        <v>668</v>
      </c>
      <c r="D31" s="279"/>
      <c r="F31" s="638" t="s">
        <v>878</v>
      </c>
      <c r="G31" s="279" t="s">
        <v>901</v>
      </c>
    </row>
    <row r="32" spans="1:7" x14ac:dyDescent="0.2">
      <c r="A32">
        <v>8</v>
      </c>
      <c r="B32" s="279" t="s">
        <v>44</v>
      </c>
      <c r="C32" s="279" t="s">
        <v>668</v>
      </c>
      <c r="D32" s="279"/>
    </row>
    <row r="33" spans="1:13" x14ac:dyDescent="0.2">
      <c r="A33">
        <v>9</v>
      </c>
      <c r="B33" s="279" t="s">
        <v>422</v>
      </c>
      <c r="C33" s="279" t="s">
        <v>668</v>
      </c>
      <c r="D33" s="279"/>
      <c r="E33" s="512" t="s">
        <v>684</v>
      </c>
      <c r="F33" s="279"/>
    </row>
    <row r="34" spans="1:13" x14ac:dyDescent="0.2">
      <c r="A34">
        <v>10</v>
      </c>
      <c r="B34" s="279" t="s">
        <v>682</v>
      </c>
      <c r="C34" s="279" t="s">
        <v>668</v>
      </c>
      <c r="D34" s="279"/>
      <c r="E34" s="279">
        <v>1</v>
      </c>
      <c r="F34" s="279" t="s">
        <v>73</v>
      </c>
      <c r="G34" t="s">
        <v>668</v>
      </c>
    </row>
    <row r="35" spans="1:13" x14ac:dyDescent="0.2">
      <c r="A35">
        <v>11</v>
      </c>
      <c r="B35" s="279" t="s">
        <v>424</v>
      </c>
      <c r="C35" s="279" t="s">
        <v>668</v>
      </c>
      <c r="D35" s="279"/>
      <c r="E35" s="279">
        <v>2</v>
      </c>
      <c r="F35" s="442" t="s">
        <v>54</v>
      </c>
      <c r="G35" t="s">
        <v>668</v>
      </c>
    </row>
    <row r="36" spans="1:13" x14ac:dyDescent="0.2">
      <c r="A36">
        <v>12</v>
      </c>
      <c r="B36" s="279" t="s">
        <v>72</v>
      </c>
      <c r="C36" s="279" t="s">
        <v>668</v>
      </c>
      <c r="D36" s="279"/>
      <c r="E36" s="279">
        <v>3</v>
      </c>
      <c r="F36" s="444" t="s">
        <v>685</v>
      </c>
      <c r="G36" t="s">
        <v>668</v>
      </c>
    </row>
    <row r="37" spans="1:13" x14ac:dyDescent="0.2">
      <c r="A37">
        <v>13</v>
      </c>
      <c r="B37" s="442" t="s">
        <v>533</v>
      </c>
      <c r="C37" s="279" t="s">
        <v>668</v>
      </c>
      <c r="D37" s="279"/>
      <c r="E37" s="279">
        <v>4</v>
      </c>
      <c r="F37" s="279" t="s">
        <v>61</v>
      </c>
      <c r="G37" t="s">
        <v>668</v>
      </c>
    </row>
    <row r="38" spans="1:13" x14ac:dyDescent="0.2">
      <c r="A38">
        <v>14</v>
      </c>
      <c r="B38" s="443" t="s">
        <v>880</v>
      </c>
      <c r="C38" s="279" t="s">
        <v>668</v>
      </c>
      <c r="D38" s="279"/>
      <c r="E38" s="279">
        <v>5</v>
      </c>
      <c r="F38" s="442" t="s">
        <v>441</v>
      </c>
      <c r="G38" t="s">
        <v>668</v>
      </c>
    </row>
    <row r="39" spans="1:13" x14ac:dyDescent="0.2">
      <c r="D39" s="279"/>
      <c r="E39" s="279">
        <v>6</v>
      </c>
      <c r="F39" s="279" t="s">
        <v>36</v>
      </c>
      <c r="G39" t="s">
        <v>668</v>
      </c>
    </row>
    <row r="40" spans="1:13" x14ac:dyDescent="0.2">
      <c r="A40" s="512" t="s">
        <v>686</v>
      </c>
      <c r="B40" s="279"/>
      <c r="E40" s="279">
        <v>7</v>
      </c>
      <c r="F40" s="442" t="s">
        <v>694</v>
      </c>
      <c r="G40" s="279" t="s">
        <v>673</v>
      </c>
    </row>
    <row r="41" spans="1:13" x14ac:dyDescent="0.2">
      <c r="A41" s="279">
        <v>1</v>
      </c>
      <c r="B41" s="279" t="s">
        <v>71</v>
      </c>
      <c r="C41" t="s">
        <v>668</v>
      </c>
      <c r="E41" s="279">
        <v>8</v>
      </c>
      <c r="F41" s="279" t="s">
        <v>695</v>
      </c>
      <c r="G41" s="279" t="s">
        <v>673</v>
      </c>
      <c r="M41" s="279"/>
    </row>
    <row r="42" spans="1:13" x14ac:dyDescent="0.2">
      <c r="A42" s="279">
        <v>2</v>
      </c>
      <c r="B42" s="444" t="s">
        <v>687</v>
      </c>
      <c r="C42" t="s">
        <v>668</v>
      </c>
      <c r="E42" s="279">
        <v>9</v>
      </c>
      <c r="F42" s="442" t="s">
        <v>691</v>
      </c>
      <c r="G42" s="279" t="s">
        <v>673</v>
      </c>
    </row>
    <row r="43" spans="1:13" x14ac:dyDescent="0.2">
      <c r="A43" s="279">
        <v>3</v>
      </c>
      <c r="B43" s="442" t="s">
        <v>440</v>
      </c>
      <c r="C43" t="s">
        <v>668</v>
      </c>
      <c r="E43" s="279">
        <v>10</v>
      </c>
      <c r="F43" s="442" t="s">
        <v>692</v>
      </c>
      <c r="G43" s="279" t="s">
        <v>673</v>
      </c>
    </row>
    <row r="44" spans="1:13" x14ac:dyDescent="0.2">
      <c r="A44" s="279">
        <v>4</v>
      </c>
      <c r="B44" s="279" t="s">
        <v>439</v>
      </c>
      <c r="C44" t="s">
        <v>668</v>
      </c>
    </row>
    <row r="45" spans="1:13" x14ac:dyDescent="0.2">
      <c r="A45" s="279">
        <v>5</v>
      </c>
      <c r="B45" s="585" t="s">
        <v>80</v>
      </c>
      <c r="C45" t="s">
        <v>668</v>
      </c>
      <c r="E45" s="202" t="s">
        <v>680</v>
      </c>
      <c r="F45" s="279"/>
      <c r="G45" s="279"/>
    </row>
    <row r="46" spans="1:13" x14ac:dyDescent="0.2">
      <c r="A46" s="279">
        <v>6</v>
      </c>
      <c r="B46" t="s">
        <v>304</v>
      </c>
      <c r="C46" t="s">
        <v>668</v>
      </c>
      <c r="E46">
        <v>1</v>
      </c>
      <c r="F46" s="279" t="s">
        <v>38</v>
      </c>
      <c r="G46" s="279" t="s">
        <v>668</v>
      </c>
    </row>
    <row r="47" spans="1:13" x14ac:dyDescent="0.2">
      <c r="E47">
        <v>2</v>
      </c>
      <c r="F47" s="279" t="s">
        <v>58</v>
      </c>
      <c r="G47" s="279" t="s">
        <v>668</v>
      </c>
    </row>
    <row r="48" spans="1:13" x14ac:dyDescent="0.2">
      <c r="A48" s="512" t="s">
        <v>683</v>
      </c>
      <c r="B48" s="279"/>
      <c r="E48">
        <v>3</v>
      </c>
      <c r="F48" s="442" t="s">
        <v>45</v>
      </c>
      <c r="G48" s="279" t="s">
        <v>668</v>
      </c>
    </row>
    <row r="49" spans="1:3" x14ac:dyDescent="0.2">
      <c r="A49" s="279">
        <v>1</v>
      </c>
      <c r="B49" s="279" t="s">
        <v>80</v>
      </c>
      <c r="C49" t="s">
        <v>668</v>
      </c>
    </row>
  </sheetData>
  <pageMargins left="0.70866141732283472" right="0.70866141732283472" top="0.74803149606299213" bottom="0.74803149606299213" header="0.31496062992125984" footer="0.31496062992125984"/>
  <pageSetup paperSize="9" fitToHeight="0" orientation="portrait" verticalDpi="0"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77"/>
  <sheetViews>
    <sheetView showGridLines="0" showRowColHeaders="0" workbookViewId="0">
      <selection activeCell="B1" sqref="B1"/>
    </sheetView>
  </sheetViews>
  <sheetFormatPr defaultRowHeight="12.75" x14ac:dyDescent="0.2"/>
  <cols>
    <col min="1" max="1" width="85.85546875" customWidth="1"/>
  </cols>
  <sheetData>
    <row r="1" spans="1:1" x14ac:dyDescent="0.2">
      <c r="A1" s="53" t="s">
        <v>1145</v>
      </c>
    </row>
    <row r="2" spans="1:1" x14ac:dyDescent="0.2">
      <c r="A2" s="869"/>
    </row>
    <row r="3" spans="1:1" x14ac:dyDescent="0.2">
      <c r="A3" s="869" t="s">
        <v>1091</v>
      </c>
    </row>
    <row r="4" spans="1:1" x14ac:dyDescent="0.2">
      <c r="A4" s="869"/>
    </row>
    <row r="5" spans="1:1" x14ac:dyDescent="0.2">
      <c r="A5" s="869" t="s">
        <v>1092</v>
      </c>
    </row>
    <row r="6" spans="1:1" ht="51" x14ac:dyDescent="0.2">
      <c r="A6" s="869" t="s">
        <v>1093</v>
      </c>
    </row>
    <row r="7" spans="1:1" ht="38.25" x14ac:dyDescent="0.2">
      <c r="A7" s="869" t="s">
        <v>1094</v>
      </c>
    </row>
    <row r="8" spans="1:1" x14ac:dyDescent="0.2">
      <c r="A8" s="869"/>
    </row>
    <row r="9" spans="1:1" x14ac:dyDescent="0.2">
      <c r="A9" s="869" t="s">
        <v>1095</v>
      </c>
    </row>
    <row r="10" spans="1:1" ht="25.5" x14ac:dyDescent="0.2">
      <c r="A10" s="869" t="s">
        <v>1096</v>
      </c>
    </row>
    <row r="11" spans="1:1" ht="25.5" x14ac:dyDescent="0.2">
      <c r="A11" s="869" t="s">
        <v>1097</v>
      </c>
    </row>
    <row r="12" spans="1:1" ht="38.25" x14ac:dyDescent="0.2">
      <c r="A12" s="869" t="s">
        <v>1098</v>
      </c>
    </row>
    <row r="13" spans="1:1" ht="51" x14ac:dyDescent="0.2">
      <c r="A13" s="869" t="s">
        <v>1099</v>
      </c>
    </row>
    <row r="14" spans="1:1" ht="25.5" x14ac:dyDescent="0.2">
      <c r="A14" s="869" t="s">
        <v>1100</v>
      </c>
    </row>
    <row r="15" spans="1:1" x14ac:dyDescent="0.2">
      <c r="A15" s="869" t="s">
        <v>1101</v>
      </c>
    </row>
    <row r="16" spans="1:1" ht="25.5" x14ac:dyDescent="0.2">
      <c r="A16" s="869" t="s">
        <v>1102</v>
      </c>
    </row>
    <row r="17" spans="1:1" x14ac:dyDescent="0.2">
      <c r="A17" s="869"/>
    </row>
    <row r="18" spans="1:1" x14ac:dyDescent="0.2">
      <c r="A18" s="869" t="s">
        <v>1103</v>
      </c>
    </row>
    <row r="19" spans="1:1" ht="25.5" x14ac:dyDescent="0.2">
      <c r="A19" s="869" t="s">
        <v>1104</v>
      </c>
    </row>
    <row r="20" spans="1:1" ht="25.5" x14ac:dyDescent="0.2">
      <c r="A20" s="869" t="s">
        <v>1105</v>
      </c>
    </row>
    <row r="21" spans="1:1" x14ac:dyDescent="0.2">
      <c r="A21" s="869" t="s">
        <v>1106</v>
      </c>
    </row>
    <row r="22" spans="1:1" x14ac:dyDescent="0.2">
      <c r="A22" s="869" t="s">
        <v>1107</v>
      </c>
    </row>
    <row r="23" spans="1:1" x14ac:dyDescent="0.2">
      <c r="A23" s="869"/>
    </row>
    <row r="24" spans="1:1" x14ac:dyDescent="0.2">
      <c r="A24" s="869" t="s">
        <v>1108</v>
      </c>
    </row>
    <row r="25" spans="1:1" x14ac:dyDescent="0.2">
      <c r="A25" s="869" t="s">
        <v>1149</v>
      </c>
    </row>
    <row r="26" spans="1:1" x14ac:dyDescent="0.2">
      <c r="A26" s="869" t="s">
        <v>1109</v>
      </c>
    </row>
    <row r="27" spans="1:1" x14ac:dyDescent="0.2">
      <c r="A27" s="869" t="s">
        <v>1150</v>
      </c>
    </row>
    <row r="28" spans="1:1" x14ac:dyDescent="0.2">
      <c r="A28" s="869" t="s">
        <v>1151</v>
      </c>
    </row>
    <row r="29" spans="1:1" x14ac:dyDescent="0.2">
      <c r="A29" s="869" t="s">
        <v>1152</v>
      </c>
    </row>
    <row r="30" spans="1:1" x14ac:dyDescent="0.2">
      <c r="A30" s="869"/>
    </row>
    <row r="31" spans="1:1" x14ac:dyDescent="0.2">
      <c r="A31" s="869" t="s">
        <v>1110</v>
      </c>
    </row>
    <row r="32" spans="1:1" x14ac:dyDescent="0.2">
      <c r="A32" s="869" t="s">
        <v>1153</v>
      </c>
    </row>
    <row r="33" spans="1:1" x14ac:dyDescent="0.2">
      <c r="A33" s="869" t="s">
        <v>1111</v>
      </c>
    </row>
    <row r="34" spans="1:1" x14ac:dyDescent="0.2">
      <c r="A34" s="869" t="s">
        <v>1154</v>
      </c>
    </row>
    <row r="35" spans="1:1" x14ac:dyDescent="0.2">
      <c r="A35" s="869" t="s">
        <v>1155</v>
      </c>
    </row>
    <row r="36" spans="1:1" x14ac:dyDescent="0.2">
      <c r="A36" s="869" t="s">
        <v>1112</v>
      </c>
    </row>
    <row r="37" spans="1:1" ht="25.5" x14ac:dyDescent="0.2">
      <c r="A37" s="869" t="s">
        <v>1113</v>
      </c>
    </row>
    <row r="38" spans="1:1" x14ac:dyDescent="0.2">
      <c r="A38" s="869"/>
    </row>
    <row r="39" spans="1:1" x14ac:dyDescent="0.2">
      <c r="A39" s="869" t="s">
        <v>1114</v>
      </c>
    </row>
    <row r="40" spans="1:1" ht="38.25" x14ac:dyDescent="0.2">
      <c r="A40" s="869" t="s">
        <v>1115</v>
      </c>
    </row>
    <row r="41" spans="1:1" ht="51" x14ac:dyDescent="0.2">
      <c r="A41" s="869" t="s">
        <v>1116</v>
      </c>
    </row>
    <row r="42" spans="1:1" x14ac:dyDescent="0.2">
      <c r="A42" s="869"/>
    </row>
    <row r="43" spans="1:1" x14ac:dyDescent="0.2">
      <c r="A43" s="869" t="s">
        <v>1117</v>
      </c>
    </row>
    <row r="44" spans="1:1" ht="63.75" x14ac:dyDescent="0.2">
      <c r="A44" s="869" t="s">
        <v>1118</v>
      </c>
    </row>
    <row r="45" spans="1:1" ht="25.5" x14ac:dyDescent="0.2">
      <c r="A45" s="869" t="s">
        <v>1119</v>
      </c>
    </row>
    <row r="46" spans="1:1" x14ac:dyDescent="0.2">
      <c r="A46" s="869"/>
    </row>
    <row r="47" spans="1:1" x14ac:dyDescent="0.2">
      <c r="A47" s="869" t="s">
        <v>1120</v>
      </c>
    </row>
    <row r="48" spans="1:1" x14ac:dyDescent="0.2">
      <c r="A48" s="869" t="s">
        <v>1121</v>
      </c>
    </row>
    <row r="49" spans="1:1" ht="38.25" x14ac:dyDescent="0.2">
      <c r="A49" s="869" t="s">
        <v>1122</v>
      </c>
    </row>
    <row r="50" spans="1:1" x14ac:dyDescent="0.2">
      <c r="A50" s="869" t="s">
        <v>1123</v>
      </c>
    </row>
    <row r="51" spans="1:1" x14ac:dyDescent="0.2">
      <c r="A51" s="869" t="s">
        <v>1124</v>
      </c>
    </row>
    <row r="52" spans="1:1" x14ac:dyDescent="0.2">
      <c r="A52" s="869" t="s">
        <v>1125</v>
      </c>
    </row>
    <row r="53" spans="1:1" ht="25.5" x14ac:dyDescent="0.2">
      <c r="A53" s="869" t="s">
        <v>1126</v>
      </c>
    </row>
    <row r="54" spans="1:1" x14ac:dyDescent="0.2">
      <c r="A54" s="869" t="s">
        <v>1127</v>
      </c>
    </row>
    <row r="55" spans="1:1" x14ac:dyDescent="0.2">
      <c r="A55" s="869" t="s">
        <v>1128</v>
      </c>
    </row>
    <row r="56" spans="1:1" x14ac:dyDescent="0.2">
      <c r="A56" s="869" t="s">
        <v>1129</v>
      </c>
    </row>
    <row r="57" spans="1:1" x14ac:dyDescent="0.2">
      <c r="A57" s="869" t="s">
        <v>1130</v>
      </c>
    </row>
    <row r="58" spans="1:1" x14ac:dyDescent="0.2">
      <c r="A58" s="869" t="s">
        <v>1147</v>
      </c>
    </row>
    <row r="59" spans="1:1" x14ac:dyDescent="0.2">
      <c r="A59" s="869" t="s">
        <v>1131</v>
      </c>
    </row>
    <row r="60" spans="1:1" x14ac:dyDescent="0.2">
      <c r="A60" s="869" t="s">
        <v>1132</v>
      </c>
    </row>
    <row r="61" spans="1:1" x14ac:dyDescent="0.2">
      <c r="A61" s="869" t="s">
        <v>1133</v>
      </c>
    </row>
    <row r="62" spans="1:1" x14ac:dyDescent="0.2">
      <c r="A62" s="869" t="s">
        <v>1148</v>
      </c>
    </row>
    <row r="63" spans="1:1" ht="38.25" x14ac:dyDescent="0.2">
      <c r="A63" s="869" t="s">
        <v>1134</v>
      </c>
    </row>
    <row r="64" spans="1:1" ht="25.5" x14ac:dyDescent="0.2">
      <c r="A64" s="869" t="s">
        <v>1135</v>
      </c>
    </row>
    <row r="65" spans="1:1" ht="25.5" x14ac:dyDescent="0.2">
      <c r="A65" s="869" t="s">
        <v>1136</v>
      </c>
    </row>
    <row r="66" spans="1:1" ht="38.25" x14ac:dyDescent="0.2">
      <c r="A66" s="869" t="s">
        <v>1137</v>
      </c>
    </row>
    <row r="67" spans="1:1" ht="25.5" x14ac:dyDescent="0.2">
      <c r="A67" s="869" t="s">
        <v>1138</v>
      </c>
    </row>
    <row r="68" spans="1:1" x14ac:dyDescent="0.2">
      <c r="A68" s="869"/>
    </row>
    <row r="69" spans="1:1" x14ac:dyDescent="0.2">
      <c r="A69" s="869" t="s">
        <v>1139</v>
      </c>
    </row>
    <row r="70" spans="1:1" x14ac:dyDescent="0.2">
      <c r="A70" s="869" t="s">
        <v>1140</v>
      </c>
    </row>
    <row r="71" spans="1:1" ht="25.5" x14ac:dyDescent="0.2">
      <c r="A71" s="869" t="s">
        <v>1141</v>
      </c>
    </row>
    <row r="72" spans="1:1" ht="25.5" x14ac:dyDescent="0.2">
      <c r="A72" s="869" t="s">
        <v>1142</v>
      </c>
    </row>
    <row r="73" spans="1:1" ht="25.5" x14ac:dyDescent="0.2">
      <c r="A73" s="869" t="s">
        <v>1143</v>
      </c>
    </row>
    <row r="74" spans="1:1" ht="25.5" x14ac:dyDescent="0.2">
      <c r="A74" s="869" t="s">
        <v>1146</v>
      </c>
    </row>
    <row r="75" spans="1:1" x14ac:dyDescent="0.2">
      <c r="A75" s="869"/>
    </row>
    <row r="76" spans="1:1" x14ac:dyDescent="0.2">
      <c r="A76" s="869" t="s">
        <v>434</v>
      </c>
    </row>
    <row r="77" spans="1:1" x14ac:dyDescent="0.2">
      <c r="A77" s="869" t="s">
        <v>1144</v>
      </c>
    </row>
  </sheetData>
  <pageMargins left="0.78740157480314965" right="0.78740157480314965" top="0.78740157480314965" bottom="0.39370078740157483" header="0.59055118110236227" footer="0.31496062992125984"/>
  <pageSetup paperSize="9" fitToHeight="0" orientation="portrait" verticalDpi="0" r:id="rId1"/>
  <headerFooter>
    <oddHeader>&amp;RPage &amp;P of &amp;N</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AU178"/>
  <sheetViews>
    <sheetView showGridLines="0" zoomScaleNormal="100" workbookViewId="0">
      <pane xSplit="20" ySplit="8" topLeftCell="U9" activePane="bottomRight" state="frozen"/>
      <selection activeCell="T1" sqref="T1"/>
      <selection pane="topRight" activeCell="T1" sqref="T1"/>
      <selection pane="bottomLeft" activeCell="T1" sqref="T1"/>
      <selection pane="bottomRight" activeCell="X1" sqref="X1"/>
    </sheetView>
  </sheetViews>
  <sheetFormatPr defaultRowHeight="12.75" x14ac:dyDescent="0.2"/>
  <cols>
    <col min="1" max="1" width="4" style="4" customWidth="1"/>
    <col min="2" max="2" width="4" style="4" hidden="1" customWidth="1"/>
    <col min="3" max="3" width="6" style="4" hidden="1" customWidth="1"/>
    <col min="4" max="4" width="3" style="4" customWidth="1"/>
    <col min="5" max="5" width="3.140625" style="4" hidden="1" customWidth="1"/>
    <col min="6" max="6" width="6" style="4" hidden="1" customWidth="1"/>
    <col min="7" max="7" width="3" style="4" customWidth="1"/>
    <col min="8" max="8" width="3.140625" style="4" hidden="1" customWidth="1"/>
    <col min="9" max="9" width="6" style="4" hidden="1" customWidth="1"/>
    <col min="10" max="10" width="4" style="4" customWidth="1"/>
    <col min="11" max="11" width="4.28515625" style="4" customWidth="1"/>
    <col min="12" max="12" width="18.7109375" style="4" customWidth="1"/>
    <col min="13" max="14" width="6.7109375" style="2" customWidth="1"/>
    <col min="15" max="15" width="5" style="2" customWidth="1"/>
    <col min="16" max="16" width="4.7109375" style="2" hidden="1" customWidth="1"/>
    <col min="17" max="17" width="4.7109375" style="2" customWidth="1"/>
    <col min="18" max="18" width="4.85546875" style="2" hidden="1" customWidth="1"/>
    <col min="19" max="19" width="2.28515625" style="4" hidden="1" customWidth="1"/>
    <col min="20" max="20" width="1.85546875" style="4" hidden="1" customWidth="1"/>
    <col min="21" max="21" width="4.5703125" style="4" customWidth="1"/>
    <col min="22" max="29" width="5" style="3" customWidth="1"/>
    <col min="30" max="31" width="5" style="4" customWidth="1"/>
    <col min="32" max="33" width="5" style="3" customWidth="1"/>
    <col min="34" max="36" width="5" style="4" customWidth="1"/>
    <col min="37" max="37" width="5.5703125" style="4" customWidth="1"/>
    <col min="38" max="38" width="5" style="4" hidden="1" customWidth="1"/>
    <col min="39" max="41" width="5" style="4" customWidth="1"/>
    <col min="42" max="42" width="3" style="4" customWidth="1"/>
    <col min="43" max="43" width="3.7109375" style="4" customWidth="1"/>
    <col min="44" max="44" width="3.42578125" style="4" customWidth="1"/>
    <col min="45" max="45" width="5" style="4" customWidth="1"/>
    <col min="46" max="47" width="2.7109375" style="4" hidden="1" customWidth="1"/>
    <col min="48" max="16384" width="9.140625" style="4"/>
  </cols>
  <sheetData>
    <row r="1" spans="1:47" x14ac:dyDescent="0.2">
      <c r="A1" s="1"/>
      <c r="B1" s="1"/>
      <c r="C1" s="1"/>
      <c r="D1" s="1"/>
      <c r="E1" s="1"/>
      <c r="F1" s="1"/>
      <c r="G1" s="1"/>
      <c r="H1" s="1"/>
      <c r="I1" s="1"/>
      <c r="K1" s="1" t="s">
        <v>0</v>
      </c>
      <c r="L1" s="2"/>
      <c r="M1" s="1"/>
      <c r="N1"/>
      <c r="O1" s="1"/>
      <c r="P1"/>
      <c r="Q1" s="1"/>
      <c r="R1"/>
      <c r="S1" s="2"/>
      <c r="T1" s="2"/>
      <c r="U1" s="2"/>
      <c r="AA1" s="4"/>
      <c r="AD1" s="165" t="s">
        <v>1</v>
      </c>
      <c r="AE1" s="158"/>
      <c r="AF1" s="159" t="s">
        <v>1075</v>
      </c>
      <c r="AG1" s="160"/>
      <c r="AH1" s="161" t="s">
        <v>1076</v>
      </c>
      <c r="AI1" s="158"/>
      <c r="AJ1" s="162" t="s">
        <v>1077</v>
      </c>
      <c r="AK1" s="163"/>
      <c r="AL1" s="164"/>
      <c r="AM1" s="854" t="s">
        <v>1078</v>
      </c>
      <c r="AN1" s="2"/>
      <c r="AO1" s="2"/>
      <c r="AP1" s="6"/>
      <c r="AQ1" s="7" t="s">
        <v>4</v>
      </c>
      <c r="AR1" s="7"/>
    </row>
    <row r="2" spans="1:47" x14ac:dyDescent="0.2">
      <c r="A2" s="8"/>
      <c r="B2" s="8"/>
      <c r="C2" s="8"/>
      <c r="D2" s="8"/>
      <c r="E2" s="8"/>
      <c r="F2" s="8"/>
      <c r="G2" s="8"/>
      <c r="H2" s="8"/>
      <c r="I2" s="8"/>
      <c r="K2" s="8" t="s">
        <v>5</v>
      </c>
      <c r="L2" s="2"/>
      <c r="M2" s="1"/>
      <c r="O2" s="1"/>
      <c r="Q2" s="1"/>
      <c r="S2" s="2"/>
      <c r="T2" s="2"/>
      <c r="U2" s="2"/>
      <c r="V2" s="9"/>
      <c r="W2" s="9"/>
      <c r="X2" s="9"/>
      <c r="Y2" s="9"/>
      <c r="Z2" s="9"/>
      <c r="AA2" s="10"/>
      <c r="AB2" s="10"/>
      <c r="AC2" s="10"/>
      <c r="AD2" s="2"/>
      <c r="AE2" s="2"/>
      <c r="AF2" s="2"/>
      <c r="AG2" s="2"/>
      <c r="AH2" s="2"/>
      <c r="AI2" s="5"/>
      <c r="AJ2" s="2"/>
      <c r="AK2" s="2"/>
      <c r="AL2" s="2"/>
      <c r="AM2" s="2"/>
      <c r="AN2" s="2"/>
      <c r="AO2" s="2"/>
      <c r="AP2" s="6"/>
      <c r="AQ2" s="11" t="s">
        <v>6</v>
      </c>
      <c r="AR2" s="11"/>
    </row>
    <row r="3" spans="1:47" x14ac:dyDescent="0.2">
      <c r="A3" s="2"/>
      <c r="B3" s="2"/>
      <c r="C3" s="2"/>
      <c r="D3" s="2"/>
      <c r="E3" s="2"/>
      <c r="F3" s="2"/>
      <c r="G3" s="2"/>
      <c r="H3" s="2"/>
      <c r="I3" s="2"/>
      <c r="J3" s="2"/>
      <c r="K3" s="2"/>
      <c r="L3" s="399" t="s">
        <v>876</v>
      </c>
      <c r="M3" s="579"/>
      <c r="N3" s="580"/>
      <c r="O3" s="579"/>
      <c r="P3" s="10"/>
      <c r="Q3" s="9"/>
      <c r="R3" s="10"/>
      <c r="S3" s="10"/>
      <c r="T3" s="2"/>
      <c r="U3" s="2"/>
      <c r="V3" s="10"/>
      <c r="W3" s="10"/>
      <c r="X3" s="10"/>
      <c r="Y3" s="10"/>
      <c r="Z3" s="10"/>
      <c r="AA3" s="10"/>
      <c r="AB3" s="10"/>
      <c r="AC3" s="10"/>
      <c r="AD3" s="2"/>
      <c r="AE3" s="2"/>
      <c r="AF3" s="10"/>
      <c r="AG3" s="10"/>
      <c r="AH3" s="2"/>
      <c r="AI3" s="2"/>
      <c r="AJ3" s="2"/>
      <c r="AK3" s="2"/>
      <c r="AL3" s="2"/>
      <c r="AM3" s="2"/>
      <c r="AN3" s="2"/>
      <c r="AO3" s="2"/>
      <c r="AP3" s="6"/>
      <c r="AQ3" s="12" t="s">
        <v>7</v>
      </c>
      <c r="AR3" s="12"/>
    </row>
    <row r="4" spans="1:47" x14ac:dyDescent="0.2">
      <c r="A4" s="601"/>
      <c r="B4" s="601" t="s">
        <v>8</v>
      </c>
      <c r="C4" s="601" t="s">
        <v>8</v>
      </c>
      <c r="D4" s="601"/>
      <c r="E4" s="601" t="s">
        <v>8</v>
      </c>
      <c r="F4" s="601" t="s">
        <v>8</v>
      </c>
      <c r="G4" s="601"/>
      <c r="H4" s="601" t="s">
        <v>8</v>
      </c>
      <c r="I4" s="601" t="s">
        <v>8</v>
      </c>
      <c r="J4" s="13" t="s">
        <v>8</v>
      </c>
      <c r="K4" s="74" t="s">
        <v>8</v>
      </c>
      <c r="L4" s="14"/>
      <c r="M4" s="62" t="s">
        <v>8</v>
      </c>
      <c r="N4" s="15" t="s">
        <v>8</v>
      </c>
      <c r="O4" s="412"/>
      <c r="P4" s="15"/>
      <c r="Q4" s="412"/>
      <c r="R4" s="15"/>
      <c r="S4" s="15"/>
      <c r="T4" s="15"/>
      <c r="U4" s="170" t="s">
        <v>8</v>
      </c>
      <c r="V4" s="46" t="str">
        <f>HYPERLINK("http://kaart.delfi.ee//?bookmark=02a763eb5e2ccd81dd84675ce47ef3f0","Jüri")</f>
        <v>Jüri</v>
      </c>
      <c r="W4" s="46" t="str">
        <f>HYPERLINK("http://kaart.delfi.ee//?bookmark=02a763eb5e2ccd81dd84675ce47ef3f0","Jüri")</f>
        <v>Jüri</v>
      </c>
      <c r="X4" s="639" t="str">
        <f>HYPERLINK("http://kaart.delfi.ee/?bookmark=fe8345aadbbb857f009aae03c00eea11","Tallinn")</f>
        <v>Tallinn</v>
      </c>
      <c r="Y4" s="640"/>
      <c r="Z4" s="641"/>
      <c r="AA4" s="46" t="str">
        <f>HYPERLINK("http://kaart.delfi.ee//?bookmark=36ee67ba7cba151859305c222805d114","Saku")</f>
        <v>Saku</v>
      </c>
      <c r="AB4" s="50" t="str">
        <f>HYPERLINK("http://kaart.delfi.ee/?bookmark=a13a9530590da153a95a150c883f6040","Viljandi")</f>
        <v>Viljandi</v>
      </c>
      <c r="AC4" s="50" t="str">
        <f>HYPERLINK("http://kaart.delfi.ee/?bookmark=a13a9530590da153a95a150c883f6040","Viljandi")</f>
        <v>Viljandi</v>
      </c>
      <c r="AD4" s="513" t="s">
        <v>785</v>
      </c>
      <c r="AE4" s="601" t="s">
        <v>785</v>
      </c>
      <c r="AF4" s="47" t="str">
        <f>HYPERLINK("http://kaart.delfi.ee/?bookmark=037591353bf9698628b723dab6c5e799","Valga")</f>
        <v>Valga</v>
      </c>
      <c r="AG4" s="50" t="str">
        <f>HYPERLINK("http://kaart.delfi.ee/?bookmark=037591353bf9698628b723dab6c5e799","Valga")</f>
        <v>Valga</v>
      </c>
      <c r="AH4" s="47" t="str">
        <f>HYPERLINK("http://kaart.delfi.ee/?bookmark=0eb4bf4e7fb4b30009b7d7543818abd1","Kärdla")</f>
        <v>Kärdla</v>
      </c>
      <c r="AI4" s="50" t="str">
        <f>HYPERLINK("http://kaart.delfi.ee/?bookmark=0eb4bf4e7fb4b30009b7d7543818abd1","Kärdla")</f>
        <v>Kärdla</v>
      </c>
      <c r="AJ4" s="648" t="s">
        <v>9</v>
      </c>
      <c r="AK4" s="649"/>
      <c r="AL4" s="51"/>
      <c r="AM4" s="601" t="s">
        <v>785</v>
      </c>
      <c r="AN4" s="47" t="str">
        <f>HYPERLINK("http://kaart.delfi.ee/?bookmark=521b80d6ceeefbe3e5d227267242b576","K-Järve")</f>
        <v>K-Järve</v>
      </c>
      <c r="AO4" s="46" t="str">
        <f>HYPERLINK("http://kaart.delfi.ee/?bookmark=521b80d6ceeefbe3e5d227267242b576","K-Järve")</f>
        <v>K-Järve</v>
      </c>
      <c r="AP4" s="16" t="s">
        <v>10</v>
      </c>
      <c r="AQ4" s="17"/>
      <c r="AR4" s="18"/>
      <c r="AS4" s="19"/>
    </row>
    <row r="5" spans="1:47" ht="13.5" thickBot="1" x14ac:dyDescent="0.25">
      <c r="A5" s="601"/>
      <c r="B5" s="601"/>
      <c r="C5" s="601" t="s">
        <v>8</v>
      </c>
      <c r="D5" s="430"/>
      <c r="E5" s="601"/>
      <c r="F5" s="601" t="s">
        <v>8</v>
      </c>
      <c r="G5" s="601"/>
      <c r="H5" s="601" t="s">
        <v>8</v>
      </c>
      <c r="I5" s="601" t="s">
        <v>8</v>
      </c>
      <c r="J5" s="13" t="s">
        <v>8</v>
      </c>
      <c r="K5" s="74" t="s">
        <v>8</v>
      </c>
      <c r="L5" s="14"/>
      <c r="M5" s="62" t="s">
        <v>8</v>
      </c>
      <c r="N5" s="15" t="s">
        <v>8</v>
      </c>
      <c r="O5" s="412"/>
      <c r="P5" s="15"/>
      <c r="Q5" s="412"/>
      <c r="R5" s="15"/>
      <c r="S5" s="15"/>
      <c r="T5" s="15"/>
      <c r="U5" s="171" t="s">
        <v>11</v>
      </c>
      <c r="V5" s="290" t="str">
        <f>HYPERLINK("http://www.petanque.ee/index.php?id=103738&amp;cid=416","Reiting")</f>
        <v>Reiting</v>
      </c>
      <c r="W5" s="290" t="str">
        <f>HYPERLINK("http://www.petanque.ee/index.php?id=103738&amp;cid=417","Reiting, Maestro karikas 2016")</f>
        <v>Reiting, Maestro karikas 2016</v>
      </c>
      <c r="X5" s="642" t="str">
        <f>HYPERLINK("http://www.petanque.ee/index.php?id=103738&amp;cid=420","EMV")</f>
        <v>EMV</v>
      </c>
      <c r="Y5" s="643"/>
      <c r="Z5" s="644"/>
      <c r="AA5" s="304" t="str">
        <f>HYPERLINK("http://www.petanque.ee/index.php?id=103738&amp;cid=421","Reiting")</f>
        <v>Reiting</v>
      </c>
      <c r="AB5" s="290" t="str">
        <f>HYPERLINK("http://www.petanque.ee/index.php?id=103738&amp;cid=423","Reiting")</f>
        <v>Reiting</v>
      </c>
      <c r="AC5" s="290" t="str">
        <f>HYPERLINK("http://www.petanque.ee/index.php?id=103738&amp;cid=424","Reiting, Hansaturniir")</f>
        <v>Reiting, Hansaturniir</v>
      </c>
      <c r="AD5" s="303" t="str">
        <f>HYPERLINK("http://www.petanque.ee/index.php?id=103738&amp;cid=427","EMV")</f>
        <v>EMV</v>
      </c>
      <c r="AE5" s="304" t="str">
        <f>HYPERLINK("http://www.petanque.ee/index.php?id=103738&amp;cid=428","Reiting")</f>
        <v>Reiting</v>
      </c>
      <c r="AF5" s="48" t="str">
        <f>HYPERLINK("http://www.petanque.ee/index.php?id=103738&amp;cid=432","EMV")</f>
        <v>EMV</v>
      </c>
      <c r="AG5" s="290" t="str">
        <f>HYPERLINK("http://www.petanque.ee/index.php?id=103738&amp;cid=433","Reiting")</f>
        <v>Reiting</v>
      </c>
      <c r="AH5" s="303" t="str">
        <f>HYPERLINK("http://www.petanque.ee/index.php?id=103738&amp;cid=434","EMV")</f>
        <v>EMV</v>
      </c>
      <c r="AI5" s="304" t="str">
        <f>HYPERLINK("http://www.petanque.ee/index.php?id=103738&amp;cid=435","Reiting")</f>
        <v>Reiting</v>
      </c>
      <c r="AJ5" s="650" t="str">
        <f>HYPERLINK("http://www.petanque.ee/index.php?id=103738&amp;cid=437","EMV")</f>
        <v>EMV</v>
      </c>
      <c r="AK5" s="652"/>
      <c r="AL5" s="406"/>
      <c r="AM5" s="304" t="str">
        <f>HYPERLINK("http://www.petanque.ee/index.php?id=103738&amp;cid=442","Reiting")</f>
        <v>Reiting</v>
      </c>
      <c r="AN5" s="48" t="str">
        <f>HYPERLINK("http://www.petanque.ee/index.php?id=103738&amp;cid=443","EMV")</f>
        <v>EMV</v>
      </c>
      <c r="AO5" s="290" t="str">
        <f>HYPERLINK("http://www.petanque.ee/index.php?id=103738&amp;cid=444","Reiting, Viru karikas")</f>
        <v>Reiting, Viru karikas</v>
      </c>
      <c r="AP5" s="20" t="s">
        <v>8</v>
      </c>
      <c r="AQ5" s="16" t="s">
        <v>12</v>
      </c>
      <c r="AR5" s="18"/>
      <c r="AS5" s="21" t="s">
        <v>13</v>
      </c>
    </row>
    <row r="6" spans="1:47" x14ac:dyDescent="0.2">
      <c r="A6" s="601"/>
      <c r="B6" s="22" t="s">
        <v>27</v>
      </c>
      <c r="C6" s="601" t="s">
        <v>8</v>
      </c>
      <c r="D6" s="430" t="s">
        <v>28</v>
      </c>
      <c r="E6" s="22" t="s">
        <v>27</v>
      </c>
      <c r="F6" s="601" t="s">
        <v>8</v>
      </c>
      <c r="G6" s="601"/>
      <c r="H6" s="22" t="s">
        <v>27</v>
      </c>
      <c r="I6" s="601" t="s">
        <v>8</v>
      </c>
      <c r="J6" s="206" t="s">
        <v>27</v>
      </c>
      <c r="K6" s="153" t="s">
        <v>28</v>
      </c>
      <c r="L6" s="15" t="s">
        <v>8</v>
      </c>
      <c r="M6" s="62" t="s">
        <v>8</v>
      </c>
      <c r="N6" s="22" t="s">
        <v>8</v>
      </c>
      <c r="O6" s="434"/>
      <c r="P6" s="206"/>
      <c r="Q6" s="434"/>
      <c r="R6" s="206"/>
      <c r="S6" s="15"/>
      <c r="T6" s="15"/>
      <c r="U6" s="171" t="s">
        <v>14</v>
      </c>
      <c r="V6" s="331" t="str">
        <f>MID(Kalend!A6,4,5)</f>
        <v>07.05</v>
      </c>
      <c r="W6" s="331" t="str">
        <f>MID(Kalend!A7,4,5)</f>
        <v>08.05</v>
      </c>
      <c r="X6" s="645" t="str">
        <f>MID(Kalend!A9,4,5)</f>
        <v>21.05</v>
      </c>
      <c r="Y6" s="646"/>
      <c r="Z6" s="647"/>
      <c r="AA6" s="334" t="str">
        <f>MID(Kalend!A10,4,5)</f>
        <v>22.05</v>
      </c>
      <c r="AB6" s="331" t="str">
        <f>MID(Kalend!A14,4,5)</f>
        <v>04.06</v>
      </c>
      <c r="AC6" s="333" t="str">
        <f>MID(Kalend!A15,4,5)</f>
        <v>05.06</v>
      </c>
      <c r="AD6" s="332" t="str">
        <f>MID(Kalend!A19,4,5)</f>
        <v>18.06</v>
      </c>
      <c r="AE6" s="334" t="str">
        <f>MID(Kalend!A20,4,5)</f>
        <v>19.06</v>
      </c>
      <c r="AF6" s="335" t="str">
        <f>MID(Kalend!A23,4,5)</f>
        <v>09.07</v>
      </c>
      <c r="AG6" s="331" t="str">
        <f>MID(Kalend!A24,4,5)</f>
        <v>10.07</v>
      </c>
      <c r="AH6" s="332" t="str">
        <f>MID(Kalend!A25,4,5)</f>
        <v>16.07</v>
      </c>
      <c r="AI6" s="334" t="str">
        <f>MID(Kalend!A26,4,5)</f>
        <v>17.07</v>
      </c>
      <c r="AJ6" s="651" t="str">
        <f>MID(Kalend!A27,4,5)</f>
        <v>24.07</v>
      </c>
      <c r="AK6" s="653"/>
      <c r="AL6" s="407"/>
      <c r="AM6" s="334" t="str">
        <f>MID(Kalend!A30,4,5)</f>
        <v>07.08</v>
      </c>
      <c r="AN6" s="336" t="str">
        <f>MID(Kalend!A31,4,5)</f>
        <v>13.08</v>
      </c>
      <c r="AO6" s="337" t="str">
        <f>MID(Kalend!A32,4,5)</f>
        <v>14.08</v>
      </c>
      <c r="AP6" s="23"/>
      <c r="AQ6" s="20" t="s">
        <v>15</v>
      </c>
      <c r="AR6" s="24" t="s">
        <v>16</v>
      </c>
      <c r="AS6" s="21" t="s">
        <v>17</v>
      </c>
    </row>
    <row r="7" spans="1:47" x14ac:dyDescent="0.2">
      <c r="A7" s="56" t="s">
        <v>326</v>
      </c>
      <c r="B7" s="56" t="s">
        <v>326</v>
      </c>
      <c r="C7" s="601" t="s">
        <v>775</v>
      </c>
      <c r="D7" s="57" t="s">
        <v>31</v>
      </c>
      <c r="E7" s="57" t="s">
        <v>31</v>
      </c>
      <c r="F7" s="601" t="s">
        <v>775</v>
      </c>
      <c r="G7" s="654" t="s">
        <v>32</v>
      </c>
      <c r="H7" s="654" t="s">
        <v>32</v>
      </c>
      <c r="I7" s="601" t="s">
        <v>775</v>
      </c>
      <c r="J7" s="22" t="s">
        <v>741</v>
      </c>
      <c r="K7" s="436" t="s">
        <v>741</v>
      </c>
      <c r="L7" s="15" t="s">
        <v>8</v>
      </c>
      <c r="M7" s="205" t="s">
        <v>30</v>
      </c>
      <c r="N7" s="206" t="s">
        <v>27</v>
      </c>
      <c r="O7" s="414"/>
      <c r="P7" s="206" t="s">
        <v>27</v>
      </c>
      <c r="Q7" s="434"/>
      <c r="R7" s="206" t="s">
        <v>27</v>
      </c>
      <c r="S7" s="73" t="s">
        <v>31</v>
      </c>
      <c r="T7" s="73" t="s">
        <v>32</v>
      </c>
      <c r="U7" s="171" t="s">
        <v>18</v>
      </c>
      <c r="V7" s="25" t="s">
        <v>19</v>
      </c>
      <c r="W7" s="25" t="s">
        <v>20</v>
      </c>
      <c r="X7" s="49" t="s">
        <v>21</v>
      </c>
      <c r="Y7" s="409" t="s">
        <v>737</v>
      </c>
      <c r="Z7" s="656" t="s">
        <v>740</v>
      </c>
      <c r="AA7" s="25" t="s">
        <v>19</v>
      </c>
      <c r="AB7" s="25" t="s">
        <v>20</v>
      </c>
      <c r="AC7" s="25" t="s">
        <v>19</v>
      </c>
      <c r="AD7" s="49" t="s">
        <v>22</v>
      </c>
      <c r="AE7" s="25" t="s">
        <v>20</v>
      </c>
      <c r="AF7" s="26" t="s">
        <v>23</v>
      </c>
      <c r="AG7" s="25" t="s">
        <v>19</v>
      </c>
      <c r="AH7" s="26" t="s">
        <v>20</v>
      </c>
      <c r="AI7" s="25" t="s">
        <v>19</v>
      </c>
      <c r="AJ7" s="26" t="s">
        <v>24</v>
      </c>
      <c r="AK7" s="408" t="s">
        <v>738</v>
      </c>
      <c r="AL7" s="655" t="s">
        <v>739</v>
      </c>
      <c r="AM7" s="25" t="s">
        <v>20</v>
      </c>
      <c r="AN7" s="26" t="s">
        <v>19</v>
      </c>
      <c r="AO7" s="25" t="s">
        <v>20</v>
      </c>
      <c r="AP7" s="23"/>
      <c r="AQ7" s="20"/>
      <c r="AR7" s="20" t="s">
        <v>25</v>
      </c>
      <c r="AS7" s="21" t="s">
        <v>26</v>
      </c>
    </row>
    <row r="8" spans="1:47" x14ac:dyDescent="0.2">
      <c r="A8" s="58"/>
      <c r="B8" s="58" t="s">
        <v>8</v>
      </c>
      <c r="C8" s="433" t="s">
        <v>326</v>
      </c>
      <c r="D8" s="68"/>
      <c r="E8" s="68" t="s">
        <v>8</v>
      </c>
      <c r="F8" s="65" t="s">
        <v>31</v>
      </c>
      <c r="G8" s="67"/>
      <c r="H8" s="67" t="s">
        <v>8</v>
      </c>
      <c r="I8" s="410" t="s">
        <v>32</v>
      </c>
      <c r="J8" s="13"/>
      <c r="K8" s="153"/>
      <c r="L8" s="14" t="s">
        <v>29</v>
      </c>
      <c r="M8" s="205" t="s">
        <v>741</v>
      </c>
      <c r="N8" s="435" t="s">
        <v>741</v>
      </c>
      <c r="O8" s="662" t="s">
        <v>31</v>
      </c>
      <c r="P8" s="437" t="s">
        <v>31</v>
      </c>
      <c r="Q8" s="663" t="s">
        <v>32</v>
      </c>
      <c r="R8" s="657" t="s">
        <v>32</v>
      </c>
      <c r="S8" s="73"/>
      <c r="T8" s="73"/>
      <c r="U8" s="172" t="s">
        <v>8</v>
      </c>
      <c r="V8" s="628" t="str">
        <f>HYPERLINK("#1!G1"," 1 ")</f>
        <v xml:space="preserve"> 1 </v>
      </c>
      <c r="W8" s="628" t="str">
        <f>HYPERLINK("#2!I1"," 2 ")</f>
        <v xml:space="preserve"> 2 </v>
      </c>
      <c r="X8" s="627" t="str">
        <f>HYPERLINK("#3 M!H1"," 3 ")</f>
        <v xml:space="preserve"> 3 </v>
      </c>
      <c r="Y8" s="628" t="str">
        <f>HYPERLINK("#4!G1"," 4 ")</f>
        <v xml:space="preserve"> 4 </v>
      </c>
      <c r="Z8" s="628" t="str">
        <f>HYPERLINK("#5!G1"," 5 ")</f>
        <v xml:space="preserve"> 5 </v>
      </c>
      <c r="AA8" s="628" t="str">
        <f>HYPERLINK("#6!G1"," 6 ")</f>
        <v xml:space="preserve"> 6 </v>
      </c>
      <c r="AB8" s="627" t="str">
        <f>HYPERLINK("#7!G1"," 7 ")</f>
        <v xml:space="preserve"> 7 </v>
      </c>
      <c r="AC8" s="628" t="str">
        <f>HYPERLINK("#8!G1"," 8 ")</f>
        <v xml:space="preserve"> 8 </v>
      </c>
      <c r="AD8" s="627" t="str">
        <f>HYPERLINK("#9!G1"," 9 ")</f>
        <v xml:space="preserve"> 9 </v>
      </c>
      <c r="AE8" s="628" t="str">
        <f>HYPERLINK("#10!G1","10")</f>
        <v>10</v>
      </c>
      <c r="AF8" s="48" t="str">
        <f>HYPERLINK("#11!G1","11 ")</f>
        <v xml:space="preserve">11 </v>
      </c>
      <c r="AG8" s="45" t="str">
        <f>HYPERLINK("#12!G1","12 ")</f>
        <v xml:space="preserve">12 </v>
      </c>
      <c r="AH8" s="48" t="str">
        <f>HYPERLINK("#13 M!G1","13 ")</f>
        <v xml:space="preserve">13 </v>
      </c>
      <c r="AI8" s="45" t="str">
        <f>HYPERLINK("#14!G1","14 ")</f>
        <v xml:space="preserve">14 </v>
      </c>
      <c r="AJ8" s="48" t="str">
        <f>HYPERLINK("#15!G1","15 ")</f>
        <v xml:space="preserve">15 </v>
      </c>
      <c r="AK8" s="45" t="str">
        <f>HYPERLINK("#16!G1","16 ")</f>
        <v xml:space="preserve">16 </v>
      </c>
      <c r="AL8" s="48"/>
      <c r="AM8" s="45" t="str">
        <f>HYPERLINK("#'14'!G1","14 ")</f>
        <v xml:space="preserve">14 </v>
      </c>
      <c r="AN8" s="48" t="str">
        <f>HYPERLINK("#'15'!G1","15 ")</f>
        <v xml:space="preserve">15 </v>
      </c>
      <c r="AO8" s="45" t="str">
        <f>HYPERLINK("#'16'!G1","16 ")</f>
        <v xml:space="preserve">16 </v>
      </c>
      <c r="AP8" s="28"/>
      <c r="AQ8" s="29"/>
      <c r="AR8" s="29"/>
      <c r="AS8" s="30"/>
    </row>
    <row r="9" spans="1:47" x14ac:dyDescent="0.2">
      <c r="A9" s="59">
        <v>1</v>
      </c>
      <c r="B9" s="438">
        <f t="shared" ref="B9:B72" si="0">IF(N9=0,"",IF(S9="n","",RANK(C9,C$9:C$176,0)))</f>
        <v>1</v>
      </c>
      <c r="C9" s="432">
        <f t="shared" ref="C9:C72" si="1">IF(S9="n",0,N9+10000)</f>
        <v>11426</v>
      </c>
      <c r="D9" s="61" t="s">
        <v>327</v>
      </c>
      <c r="E9" s="438" t="str">
        <f t="shared" ref="E9:E72" si="2">IF(S9="n",RANK(F9,F$9:F$176,0),"")</f>
        <v/>
      </c>
      <c r="F9" s="431">
        <f t="shared" ref="F9:F72" si="3">IF(AND((T9="j"),(S9="n")),N9+10000,IF((S9="n"),P9+10000,0))</f>
        <v>0</v>
      </c>
      <c r="G9" s="660" t="s">
        <v>327</v>
      </c>
      <c r="H9" s="438" t="str">
        <f t="shared" ref="H9:H72" si="4">IF(T9="j",RANK(I9,I$9:I$176,0),"")</f>
        <v/>
      </c>
      <c r="I9" s="658">
        <f t="shared" ref="I9:I72" si="5">IF((T9="j"),R9+10000,0)</f>
        <v>0</v>
      </c>
      <c r="J9" s="154">
        <f t="shared" ref="J9:J72" si="6">RANK(N9,$N$9:$N$176,0)</f>
        <v>1</v>
      </c>
      <c r="K9" s="139">
        <v>1</v>
      </c>
      <c r="L9" s="601" t="s">
        <v>36</v>
      </c>
      <c r="M9" s="139">
        <v>1426</v>
      </c>
      <c r="N9" s="446">
        <f t="array" ref="N9">(IF(COUNT(V9,W9,AA9,AB9,AC9,AE9,AG9,AI9,AM9,AO9)&lt;7,SUM(V9,W9,AA9,AB9,AC9,AE9,AG9,AI9,AM9,AO9),SUM(LARGE((V9,W9,AA9,AB9,AC9,AE9,AG9,AI9,AM9,AO9),{1;2;3;4;5;6;7}))))+(IF(COUNT(X9,AD9,AF9,AH9,AJ9,AN9)&lt;5,SUM(X9,AD9,AF9,AH9,AJ9,AN9),SUM(LARGE((X9,AD9,AF9,AH9,AJ9,AN9),{1;2;3;4;5}))))+U9</f>
        <v>1426</v>
      </c>
      <c r="O9" s="413"/>
      <c r="P9" s="405">
        <f t="array" ref="P9">IF(S9="n",((IF(COUNT(V9,W9,AA9,AB9,AC9,AE9,AG9,AI9,AM9,AO9)&lt;7,SUM(V9,W9,AA9,AB9,AC9,AE9,AG9,AI9,AM9,AO9),SUM(LARGE((V9,W9,AA9,AB9,AC9,AE9,AG9,AI9,AM9,AO9),{1;2;3;4;5;6;7}))))+(IF(COUNT(Y9,AD9,AF9,AH9,AK9,AN9)&lt;5,SUM(Y9,AD9,AF9,AH9,AK9,AN9),SUM(LARGE((Y9,AD9,AF9,AH9,AK9,AN9),{1;2;3;4;5}))))+U9),0)</f>
        <v>0</v>
      </c>
      <c r="Q9" s="661"/>
      <c r="R9" s="405">
        <f t="array" ref="R9">IF(T9="j",((IF(COUNT(V9,W9,AA9,AB9,AC9,AE9,AG9,AI9,AM9,AO9)&lt;7,SUM(V9,W9,AA9,AB9,AC9,AE9,AG9,AI9,AM9,AO9),SUM(LARGE((V9,W9,AA9,AB9,AC9,AE9,AG9,AI9,AM9,AO9),{1;2;3;4;5;6;7}))))+(IF(COUNT(Z9,AD9,AF9,AH9,AJ9,AN9)&lt;5,SUM(Z9,AD9,AF9,AH9,AJ9,AN9),SUM(LARGE((Z9,AD9,AF9,AH9,AJ9,AN9),{1;2;3;4;5}))))+U9),0)</f>
        <v>0</v>
      </c>
      <c r="S9" s="64"/>
      <c r="T9" s="64"/>
      <c r="U9" s="173">
        <v>31</v>
      </c>
      <c r="V9" s="141" t="s">
        <v>397</v>
      </c>
      <c r="W9" s="141" t="s">
        <v>397</v>
      </c>
      <c r="X9" s="575">
        <v>65</v>
      </c>
      <c r="Y9" s="613"/>
      <c r="Z9" s="610"/>
      <c r="AA9" s="141" t="s">
        <v>397</v>
      </c>
      <c r="AB9" s="15">
        <v>79</v>
      </c>
      <c r="AC9" s="15">
        <v>74</v>
      </c>
      <c r="AD9" s="32">
        <v>158</v>
      </c>
      <c r="AE9" s="15">
        <v>115</v>
      </c>
      <c r="AF9" s="15">
        <v>126</v>
      </c>
      <c r="AG9" s="15">
        <v>115</v>
      </c>
      <c r="AH9" s="15">
        <v>78</v>
      </c>
      <c r="AI9" s="15">
        <v>84</v>
      </c>
      <c r="AJ9" s="15">
        <v>173</v>
      </c>
      <c r="AK9" s="613"/>
      <c r="AL9" s="15"/>
      <c r="AM9" s="15">
        <v>115</v>
      </c>
      <c r="AN9" s="15">
        <v>173</v>
      </c>
      <c r="AO9" s="15">
        <v>105</v>
      </c>
      <c r="AP9" s="31">
        <f t="shared" ref="AP9:AP72" si="7">COUNTIF(V9:X9,"&gt;=0")+COUNTIF(AA9:AJ9,"&gt;=0")+COUNTIF(AM9:AO9,"&gt;=0")</f>
        <v>13</v>
      </c>
      <c r="AQ9" s="439">
        <f t="shared" ref="AQ9:AQ72" si="8">COUNTIF(V9:W9,"&gt;=97")+COUNTIF(AA9:AC9,"&gt;=97")+COUNTIF(AE9,"&gt;=97")+COUNTIF(AG9,"&gt;=97")+COUNTIF(AI9,"&gt;=97")+COUNTIF(AM9,"&gt;=97")+COUNTIF(AO9,"&gt;=97")+COUNTIF(X9,"&gt;=146")+COUNTIF(AD9,"&gt;=146")+COUNTIF(AF9,"&gt;=146")+COUNTIF(AH9,"&gt;=146")+COUNTIF(AJ9,"&gt;=146")+COUNTIF(AN9,"&gt;=146")+IF((S9="n"),(COUNTIF(X9,"=83")+COUNTIF(X9,"=93")+COUNTIF(X9,"=105")+COUNTIF(AJ9,"=83")+COUNTIF(AJ9,"=93")+COUNTIF(AJ9,"=105")))+IF((T9="j"),(COUNTIF(X9,"=33")+COUNTIF(X9,"=42")+COUNTIF(X9,"=53")+COUNTIF(AJ9,"=33")+COUNTIF(AJ9,"=42")+COUNTIF(AJ9,"=53")))</f>
        <v>7</v>
      </c>
      <c r="AR9" s="510">
        <f t="shared" ref="AR9:AR72" si="9">COUNTIF(V9:W9,"=115")+COUNTIF(AA9:AC9,"=115")+COUNTIF(AE9,"=115")+COUNTIF(AG9,"=115")+COUNTIF(AI9,"=115")+COUNTIF(AM9,"=115")+COUNTIF(AO9,"=115")+COUNTIF(V9:AO9,"=173")</f>
        <v>5</v>
      </c>
      <c r="AS9" s="511">
        <f t="shared" ref="AS9:AS72" si="10">COUNTIF(V9:AO9,"=173")</f>
        <v>2</v>
      </c>
      <c r="AT9" s="4">
        <f t="shared" ref="AT9:AT72" si="11">COUNTIF(V9:W9,"=  ")+COUNTIF(AA9:AC9,"=  ")+COUNTIF(AE9,"=  ")+COUNTIF(AG9,"=  ")+COUNTIF(AI9,"=  ")+COUNTIF(AM9,"=  ")+COUNTIF(AO9,"=  ")</f>
        <v>3</v>
      </c>
      <c r="AU9" s="581">
        <f t="shared" ref="AU9:AU72" si="12">COUNTIF(X9,"=  ")+COUNTIF(AD9,"=  ")+COUNTIF(AF9,"=  ")+COUNTIF(AH9,"=  ")+COUNTIF(AJ9,"=  ")+COUNTIF(AN9,"=  ")</f>
        <v>0</v>
      </c>
    </row>
    <row r="10" spans="1:47" x14ac:dyDescent="0.2">
      <c r="A10" s="59">
        <v>2</v>
      </c>
      <c r="B10" s="438">
        <f t="shared" si="0"/>
        <v>2</v>
      </c>
      <c r="C10" s="432">
        <f t="shared" si="1"/>
        <v>11418</v>
      </c>
      <c r="D10" s="61" t="s">
        <v>327</v>
      </c>
      <c r="E10" s="438" t="str">
        <f t="shared" si="2"/>
        <v/>
      </c>
      <c r="F10" s="431">
        <f t="shared" si="3"/>
        <v>0</v>
      </c>
      <c r="G10" s="660" t="s">
        <v>327</v>
      </c>
      <c r="H10" s="438" t="str">
        <f t="shared" si="4"/>
        <v/>
      </c>
      <c r="I10" s="658">
        <f t="shared" si="5"/>
        <v>0</v>
      </c>
      <c r="J10" s="154">
        <f t="shared" si="6"/>
        <v>2</v>
      </c>
      <c r="K10" s="139">
        <v>2</v>
      </c>
      <c r="L10" s="54" t="s">
        <v>41</v>
      </c>
      <c r="M10" s="251">
        <v>1418</v>
      </c>
      <c r="N10" s="446">
        <f t="array" ref="N10">(IF(COUNT(V10,W10,AA10,AB10,AC10,AE10,AG10,AI10,AM10,AO10)&lt;7,SUM(V10,W10,AA10,AB10,AC10,AE10,AG10,AI10,AM10,AO10),SUM(LARGE((V10,W10,AA10,AB10,AC10,AE10,AG10,AI10,AM10,AO10),{1;2;3;4;5;6;7}))))+(IF(COUNT(X10,AD10,AF10,AH10,AJ10,AN10)&lt;5,SUM(X10,AD10,AF10,AH10,AJ10,AN10),SUM(LARGE((X10,AD10,AF10,AH10,AJ10,AN10),{1;2;3;4;5}))))+U10</f>
        <v>1418</v>
      </c>
      <c r="O10" s="413"/>
      <c r="P10" s="405">
        <f t="array" ref="P10">IF(S10="n",((IF(COUNT(V10,W10,AA10,AB10,AC10,AE10,AG10,AI10,AM10,AO10)&lt;7,SUM(V10,W10,AA10,AB10,AC10,AE10,AG10,AI10,AM10,AO10),SUM(LARGE((V10,W10,AA10,AB10,AC10,AE10,AG10,AI10,AM10,AO10),{1;2;3;4;5;6;7}))))+(IF(COUNT(Y10,AD10,AF10,AH10,AK10,AN10)&lt;5,SUM(Y10,AD10,AF10,AH10,AK10,AN10),SUM(LARGE((Y10,AD10,AF10,AH10,AK10,AN10),{1;2;3;4;5}))))+U10),0)</f>
        <v>0</v>
      </c>
      <c r="Q10" s="661"/>
      <c r="R10" s="405">
        <f t="array" ref="R10">IF(T10="j",((IF(COUNT(V10,W10,AA10,AB10,AC10,AE10,AG10,AI10,AM10,AO10)&lt;7,SUM(V10,W10,AA10,AB10,AC10,AE10,AG10,AI10,AM10,AO10),SUM(LARGE((V10,W10,AA10,AB10,AC10,AE10,AG10,AI10,AM10,AO10),{1;2;3;4;5;6;7}))))+(IF(COUNT(Z10,AD10,AF10,AH10,AJ10,AN10)&lt;5,SUM(Z10,AD10,AF10,AH10,AJ10,AN10),SUM(LARGE((Z10,AD10,AF10,AH10,AJ10,AN10),{1;2;3;4;5}))))+U10),0)</f>
        <v>0</v>
      </c>
      <c r="S10" s="64"/>
      <c r="T10" s="64"/>
      <c r="U10" s="173">
        <v>105</v>
      </c>
      <c r="V10" s="575">
        <v>79</v>
      </c>
      <c r="W10" s="15">
        <v>115</v>
      </c>
      <c r="X10" s="15">
        <v>135</v>
      </c>
      <c r="Y10" s="613"/>
      <c r="Z10" s="610"/>
      <c r="AA10" s="15">
        <v>90</v>
      </c>
      <c r="AB10" s="141" t="s">
        <v>397</v>
      </c>
      <c r="AC10" s="15">
        <v>84</v>
      </c>
      <c r="AD10" s="32">
        <v>146</v>
      </c>
      <c r="AE10" s="15">
        <v>90</v>
      </c>
      <c r="AF10" s="15">
        <v>96</v>
      </c>
      <c r="AG10" s="15">
        <v>84</v>
      </c>
      <c r="AH10" s="430">
        <v>135</v>
      </c>
      <c r="AI10" s="15">
        <v>97</v>
      </c>
      <c r="AJ10" s="575">
        <v>71.5</v>
      </c>
      <c r="AK10" s="613"/>
      <c r="AL10" s="15"/>
      <c r="AM10" s="575">
        <v>79</v>
      </c>
      <c r="AN10" s="15">
        <v>126</v>
      </c>
      <c r="AO10" s="15">
        <v>115</v>
      </c>
      <c r="AP10" s="33">
        <f t="shared" si="7"/>
        <v>15</v>
      </c>
      <c r="AQ10" s="440">
        <f t="shared" si="8"/>
        <v>4</v>
      </c>
      <c r="AR10" s="441">
        <f t="shared" si="9"/>
        <v>2</v>
      </c>
      <c r="AS10" s="34">
        <f t="shared" si="10"/>
        <v>0</v>
      </c>
      <c r="AT10" s="4">
        <f t="shared" si="11"/>
        <v>1</v>
      </c>
      <c r="AU10" s="581">
        <f t="shared" si="12"/>
        <v>0</v>
      </c>
    </row>
    <row r="11" spans="1:47" x14ac:dyDescent="0.2">
      <c r="A11" s="59">
        <v>3</v>
      </c>
      <c r="B11" s="438">
        <f t="shared" si="0"/>
        <v>3</v>
      </c>
      <c r="C11" s="432">
        <f t="shared" si="1"/>
        <v>11258</v>
      </c>
      <c r="D11" s="61" t="s">
        <v>327</v>
      </c>
      <c r="E11" s="438" t="str">
        <f t="shared" si="2"/>
        <v/>
      </c>
      <c r="F11" s="431">
        <f t="shared" si="3"/>
        <v>0</v>
      </c>
      <c r="G11" s="660" t="s">
        <v>327</v>
      </c>
      <c r="H11" s="438" t="str">
        <f t="shared" si="4"/>
        <v/>
      </c>
      <c r="I11" s="658">
        <f t="shared" si="5"/>
        <v>0</v>
      </c>
      <c r="J11" s="154">
        <f t="shared" si="6"/>
        <v>3</v>
      </c>
      <c r="K11" s="139">
        <v>3</v>
      </c>
      <c r="L11" s="601" t="s">
        <v>33</v>
      </c>
      <c r="M11" s="139">
        <v>1258</v>
      </c>
      <c r="N11" s="446">
        <f t="array" ref="N11">(IF(COUNT(V11,W11,AA11,AB11,AC11,AE11,AG11,AI11,AM11,AO11)&lt;7,SUM(V11,W11,AA11,AB11,AC11,AE11,AG11,AI11,AM11,AO11),SUM(LARGE((V11,W11,AA11,AB11,AC11,AE11,AG11,AI11,AM11,AO11),{1;2;3;4;5;6;7}))))+(IF(COUNT(X11,AD11,AF11,AH11,AJ11,AN11)&lt;5,SUM(X11,AD11,AF11,AH11,AJ11,AN11),SUM(LARGE((X11,AD11,AF11,AH11,AJ11,AN11),{1;2;3;4;5}))))+U11</f>
        <v>1258</v>
      </c>
      <c r="O11" s="413"/>
      <c r="P11" s="405">
        <f t="array" ref="P11">IF(S11="n",((IF(COUNT(V11,W11,AA11,AB11,AC11,AE11,AG11,AI11,AM11,AO11)&lt;7,SUM(V11,W11,AA11,AB11,AC11,AE11,AG11,AI11,AM11,AO11),SUM(LARGE((V11,W11,AA11,AB11,AC11,AE11,AG11,AI11,AM11,AO11),{1;2;3;4;5;6;7}))))+(IF(COUNT(Y11,AD11,AF11,AH11,AK11,AN11)&lt;5,SUM(Y11,AD11,AF11,AH11,AK11,AN11),SUM(LARGE((Y11,AD11,AF11,AH11,AK11,AN11),{1;2;3;4;5}))))+U11),0)</f>
        <v>0</v>
      </c>
      <c r="Q11" s="661"/>
      <c r="R11" s="405">
        <f t="array" ref="R11">IF(T11="j",((IF(COUNT(V11,W11,AA11,AB11,AC11,AE11,AG11,AI11,AM11,AO11)&lt;7,SUM(V11,W11,AA11,AB11,AC11,AE11,AG11,AI11,AM11,AO11),SUM(LARGE((V11,W11,AA11,AB11,AC11,AE11,AG11,AI11,AM11,AO11),{1;2;3;4;5;6;7}))))+(IF(COUNT(Z11,AD11,AF11,AH11,AJ11,AN11)&lt;5,SUM(Z11,AD11,AF11,AH11,AJ11,AN11),SUM(LARGE((Z11,AD11,AF11,AH11,AJ11,AN11),{1;2;3;4;5}))))+U11),0)</f>
        <v>0</v>
      </c>
      <c r="S11" s="64"/>
      <c r="T11" s="64"/>
      <c r="U11" s="173">
        <v>52</v>
      </c>
      <c r="V11" s="15">
        <v>105</v>
      </c>
      <c r="W11" s="575">
        <v>64</v>
      </c>
      <c r="X11" s="15">
        <v>119</v>
      </c>
      <c r="Y11" s="613"/>
      <c r="Z11" s="610"/>
      <c r="AA11" s="15">
        <v>115</v>
      </c>
      <c r="AB11" s="15">
        <v>64</v>
      </c>
      <c r="AC11" s="575">
        <v>60</v>
      </c>
      <c r="AD11" s="15">
        <v>111</v>
      </c>
      <c r="AE11" s="15">
        <v>84</v>
      </c>
      <c r="AF11" s="15">
        <v>84</v>
      </c>
      <c r="AG11" s="15">
        <v>84</v>
      </c>
      <c r="AH11" s="575">
        <v>74</v>
      </c>
      <c r="AI11" s="15">
        <v>64</v>
      </c>
      <c r="AJ11" s="15">
        <v>146</v>
      </c>
      <c r="AK11" s="613"/>
      <c r="AL11" s="15"/>
      <c r="AM11" s="15">
        <v>84</v>
      </c>
      <c r="AN11" s="15">
        <v>146</v>
      </c>
      <c r="AO11" s="575">
        <v>60</v>
      </c>
      <c r="AP11" s="33">
        <f t="shared" si="7"/>
        <v>16</v>
      </c>
      <c r="AQ11" s="440">
        <f t="shared" si="8"/>
        <v>4</v>
      </c>
      <c r="AR11" s="441">
        <f t="shared" si="9"/>
        <v>1</v>
      </c>
      <c r="AS11" s="34">
        <f t="shared" si="10"/>
        <v>0</v>
      </c>
      <c r="AT11" s="4">
        <f t="shared" si="11"/>
        <v>0</v>
      </c>
      <c r="AU11" s="581">
        <f t="shared" si="12"/>
        <v>0</v>
      </c>
    </row>
    <row r="12" spans="1:47" x14ac:dyDescent="0.2">
      <c r="A12" s="59">
        <v>4</v>
      </c>
      <c r="B12" s="438">
        <f t="shared" si="0"/>
        <v>4</v>
      </c>
      <c r="C12" s="432">
        <f t="shared" si="1"/>
        <v>11216</v>
      </c>
      <c r="D12" s="61" t="s">
        <v>327</v>
      </c>
      <c r="E12" s="438" t="str">
        <f t="shared" si="2"/>
        <v/>
      </c>
      <c r="F12" s="431">
        <f t="shared" si="3"/>
        <v>0</v>
      </c>
      <c r="G12" s="660" t="s">
        <v>327</v>
      </c>
      <c r="H12" s="438" t="str">
        <f t="shared" si="4"/>
        <v/>
      </c>
      <c r="I12" s="658">
        <f t="shared" si="5"/>
        <v>0</v>
      </c>
      <c r="J12" s="154">
        <f t="shared" si="6"/>
        <v>4</v>
      </c>
      <c r="K12" s="139">
        <v>4</v>
      </c>
      <c r="L12" s="601" t="s">
        <v>38</v>
      </c>
      <c r="M12" s="139">
        <v>1216</v>
      </c>
      <c r="N12" s="446">
        <f t="array" ref="N12">(IF(COUNT(V12,W12,AA12,AB12,AC12,AE12,AG12,AI12,AM12,AO12)&lt;7,SUM(V12,W12,AA12,AB12,AC12,AE12,AG12,AI12,AM12,AO12),SUM(LARGE((V12,W12,AA12,AB12,AC12,AE12,AG12,AI12,AM12,AO12),{1;2;3;4;5;6;7}))))+(IF(COUNT(X12,AD12,AF12,AH12,AJ12,AN12)&lt;5,SUM(X12,AD12,AF12,AH12,AJ12,AN12),SUM(LARGE((X12,AD12,AF12,AH12,AJ12,AN12),{1;2;3;4;5}))))+U12</f>
        <v>1216</v>
      </c>
      <c r="O12" s="413"/>
      <c r="P12" s="405">
        <f t="array" ref="P12">IF(S12="n",((IF(COUNT(V12,W12,AA12,AB12,AC12,AE12,AG12,AI12,AM12,AO12)&lt;7,SUM(V12,W12,AA12,AB12,AC12,AE12,AG12,AI12,AM12,AO12),SUM(LARGE((V12,W12,AA12,AB12,AC12,AE12,AG12,AI12,AM12,AO12),{1;2;3;4;5;6;7}))))+(IF(COUNT(Y12,AD12,AF12,AH12,AK12,AN12)&lt;5,SUM(Y12,AD12,AF12,AH12,AK12,AN12),SUM(LARGE((Y12,AD12,AF12,AH12,AK12,AN12),{1;2;3;4;5}))))+U12),0)</f>
        <v>0</v>
      </c>
      <c r="Q12" s="661"/>
      <c r="R12" s="405">
        <f t="array" ref="R12">IF(T12="j",((IF(COUNT(V12,W12,AA12,AB12,AC12,AE12,AG12,AI12,AM12,AO12)&lt;7,SUM(V12,W12,AA12,AB12,AC12,AE12,AG12,AI12,AM12,AO12),SUM(LARGE((V12,W12,AA12,AB12,AC12,AE12,AG12,AI12,AM12,AO12),{1;2;3;4;5;6;7}))))+(IF(COUNT(Z12,AD12,AF12,AH12,AJ12,AN12)&lt;5,SUM(Z12,AD12,AF12,AH12,AJ12,AN12),SUM(LARGE((Z12,AD12,AF12,AH12,AJ12,AN12),{1;2;3;4;5}))))+U12),0)</f>
        <v>0</v>
      </c>
      <c r="S12" s="64"/>
      <c r="T12" s="64"/>
      <c r="U12" s="173">
        <v>97</v>
      </c>
      <c r="V12" s="15">
        <v>79</v>
      </c>
      <c r="W12" s="15">
        <v>115</v>
      </c>
      <c r="X12" s="15">
        <v>47</v>
      </c>
      <c r="Y12" s="613"/>
      <c r="Z12" s="610"/>
      <c r="AA12" s="15">
        <v>90</v>
      </c>
      <c r="AB12" s="15">
        <v>74</v>
      </c>
      <c r="AC12" s="15">
        <v>84</v>
      </c>
      <c r="AD12" s="32">
        <v>146</v>
      </c>
      <c r="AE12" s="15">
        <v>90</v>
      </c>
      <c r="AF12" s="141" t="s">
        <v>397</v>
      </c>
      <c r="AG12" s="141" t="s">
        <v>397</v>
      </c>
      <c r="AH12" s="15">
        <v>74</v>
      </c>
      <c r="AI12" s="575">
        <v>64</v>
      </c>
      <c r="AJ12" s="15">
        <v>111</v>
      </c>
      <c r="AK12" s="613"/>
      <c r="AL12" s="15"/>
      <c r="AM12" s="15">
        <v>105</v>
      </c>
      <c r="AN12" s="15">
        <v>104</v>
      </c>
      <c r="AO12" s="575">
        <v>56</v>
      </c>
      <c r="AP12" s="33">
        <f t="shared" si="7"/>
        <v>14</v>
      </c>
      <c r="AQ12" s="440">
        <f t="shared" si="8"/>
        <v>3</v>
      </c>
      <c r="AR12" s="441">
        <f t="shared" si="9"/>
        <v>1</v>
      </c>
      <c r="AS12" s="34">
        <f t="shared" si="10"/>
        <v>0</v>
      </c>
      <c r="AT12" s="4">
        <f t="shared" si="11"/>
        <v>1</v>
      </c>
      <c r="AU12" s="285">
        <f t="shared" si="12"/>
        <v>1</v>
      </c>
    </row>
    <row r="13" spans="1:47" x14ac:dyDescent="0.2">
      <c r="A13" s="59">
        <v>5</v>
      </c>
      <c r="B13" s="438">
        <f t="shared" si="0"/>
        <v>5</v>
      </c>
      <c r="C13" s="432">
        <f t="shared" si="1"/>
        <v>11152</v>
      </c>
      <c r="D13" s="61" t="s">
        <v>327</v>
      </c>
      <c r="E13" s="438" t="str">
        <f t="shared" si="2"/>
        <v/>
      </c>
      <c r="F13" s="431">
        <f t="shared" si="3"/>
        <v>0</v>
      </c>
      <c r="G13" s="660" t="s">
        <v>327</v>
      </c>
      <c r="H13" s="438" t="str">
        <f t="shared" si="4"/>
        <v/>
      </c>
      <c r="I13" s="658">
        <f t="shared" si="5"/>
        <v>0</v>
      </c>
      <c r="J13" s="154">
        <f t="shared" si="6"/>
        <v>5</v>
      </c>
      <c r="K13" s="139">
        <v>5</v>
      </c>
      <c r="L13" s="67" t="s">
        <v>68</v>
      </c>
      <c r="M13" s="251">
        <v>1152</v>
      </c>
      <c r="N13" s="446">
        <f t="array" ref="N13">(IF(COUNT(V13,W13,AA13,AB13,AC13,AE13,AG13,AI13,AM13,AO13)&lt;7,SUM(V13,W13,AA13,AB13,AC13,AE13,AG13,AI13,AM13,AO13),SUM(LARGE((V13,W13,AA13,AB13,AC13,AE13,AG13,AI13,AM13,AO13),{1;2;3;4;5;6;7}))))+(IF(COUNT(X13,AD13,AF13,AH13,AJ13,AN13)&lt;5,SUM(X13,AD13,AF13,AH13,AJ13,AN13),SUM(LARGE((X13,AD13,AF13,AH13,AJ13,AN13),{1;2;3;4;5}))))+U13</f>
        <v>1152</v>
      </c>
      <c r="O13" s="413"/>
      <c r="P13" s="405">
        <f t="array" ref="P13">IF(S13="n",((IF(COUNT(V13,W13,AA13,AB13,AC13,AE13,AG13,AI13,AM13,AO13)&lt;7,SUM(V13,W13,AA13,AB13,AC13,AE13,AG13,AI13,AM13,AO13),SUM(LARGE((V13,W13,AA13,AB13,AC13,AE13,AG13,AI13,AM13,AO13),{1;2;3;4;5;6;7}))))+(IF(COUNT(Y13,AD13,AF13,AH13,AK13,AN13)&lt;5,SUM(Y13,AD13,AF13,AH13,AK13,AN13),SUM(LARGE((Y13,AD13,AF13,AH13,AK13,AN13),{1;2;3;4;5}))))+U13),0)</f>
        <v>0</v>
      </c>
      <c r="Q13" s="661"/>
      <c r="R13" s="405">
        <f t="array" ref="R13">IF(T13="j",((IF(COUNT(V13,W13,AA13,AB13,AC13,AE13,AG13,AI13,AM13,AO13)&lt;7,SUM(V13,W13,AA13,AB13,AC13,AE13,AG13,AI13,AM13,AO13),SUM(LARGE((V13,W13,AA13,AB13,AC13,AE13,AG13,AI13,AM13,AO13),{1;2;3;4;5;6;7}))))+(IF(COUNT(Z13,AD13,AF13,AH13,AJ13,AN13)&lt;5,SUM(Z13,AD13,AF13,AH13,AJ13,AN13),SUM(LARGE((Z13,AD13,AF13,AH13,AJ13,AN13),{1;2;3;4;5}))))+U13),0)</f>
        <v>0</v>
      </c>
      <c r="S13" s="64"/>
      <c r="T13" s="64"/>
      <c r="U13" s="173">
        <v>84</v>
      </c>
      <c r="V13" s="141" t="s">
        <v>397</v>
      </c>
      <c r="W13" s="141" t="s">
        <v>397</v>
      </c>
      <c r="X13" s="15">
        <v>38</v>
      </c>
      <c r="Y13" s="613"/>
      <c r="Z13" s="610"/>
      <c r="AA13" s="15">
        <v>97</v>
      </c>
      <c r="AB13" s="15">
        <v>79</v>
      </c>
      <c r="AC13" s="15">
        <v>115</v>
      </c>
      <c r="AD13" s="15">
        <v>126</v>
      </c>
      <c r="AE13" s="15">
        <v>105</v>
      </c>
      <c r="AF13" s="141" t="s">
        <v>397</v>
      </c>
      <c r="AG13" s="15">
        <v>79</v>
      </c>
      <c r="AH13" s="15"/>
      <c r="AI13" s="141" t="s">
        <v>397</v>
      </c>
      <c r="AJ13" s="15">
        <v>158</v>
      </c>
      <c r="AK13" s="613"/>
      <c r="AL13" s="15"/>
      <c r="AM13" s="15">
        <v>97</v>
      </c>
      <c r="AN13" s="15">
        <v>90</v>
      </c>
      <c r="AO13" s="15">
        <v>84</v>
      </c>
      <c r="AP13" s="33">
        <f t="shared" si="7"/>
        <v>11</v>
      </c>
      <c r="AQ13" s="440">
        <f t="shared" si="8"/>
        <v>5</v>
      </c>
      <c r="AR13" s="441">
        <f t="shared" si="9"/>
        <v>1</v>
      </c>
      <c r="AS13" s="34">
        <f t="shared" si="10"/>
        <v>0</v>
      </c>
      <c r="AT13" s="4">
        <f t="shared" si="11"/>
        <v>3</v>
      </c>
      <c r="AU13" s="285">
        <f t="shared" si="12"/>
        <v>1</v>
      </c>
    </row>
    <row r="14" spans="1:47" x14ac:dyDescent="0.2">
      <c r="A14" s="59">
        <v>6</v>
      </c>
      <c r="B14" s="438">
        <f t="shared" si="0"/>
        <v>6</v>
      </c>
      <c r="C14" s="432">
        <f t="shared" si="1"/>
        <v>11136.5</v>
      </c>
      <c r="D14" s="61" t="s">
        <v>327</v>
      </c>
      <c r="E14" s="438" t="str">
        <f t="shared" si="2"/>
        <v/>
      </c>
      <c r="F14" s="431">
        <f t="shared" si="3"/>
        <v>0</v>
      </c>
      <c r="G14" s="660" t="s">
        <v>327</v>
      </c>
      <c r="H14" s="438" t="str">
        <f t="shared" si="4"/>
        <v/>
      </c>
      <c r="I14" s="658">
        <f t="shared" si="5"/>
        <v>0</v>
      </c>
      <c r="J14" s="154">
        <f t="shared" si="6"/>
        <v>6</v>
      </c>
      <c r="K14" s="139">
        <v>6</v>
      </c>
      <c r="L14" s="601" t="s">
        <v>47</v>
      </c>
      <c r="M14" s="139">
        <v>1136.5</v>
      </c>
      <c r="N14" s="446">
        <f t="array" ref="N14">(IF(COUNT(V14,W14,AA14,AB14,AC14,AE14,AG14,AI14,AM14,AO14)&lt;7,SUM(V14,W14,AA14,AB14,AC14,AE14,AG14,AI14,AM14,AO14),SUM(LARGE((V14,W14,AA14,AB14,AC14,AE14,AG14,AI14,AM14,AO14),{1;2;3;4;5;6;7}))))+(IF(COUNT(X14,AD14,AF14,AH14,AJ14,AN14)&lt;5,SUM(X14,AD14,AF14,AH14,AJ14,AN14),SUM(LARGE((X14,AD14,AF14,AH14,AJ14,AN14),{1;2;3;4;5}))))+U14</f>
        <v>1136.5</v>
      </c>
      <c r="O14" s="413"/>
      <c r="P14" s="405">
        <f t="array" ref="P14">IF(S14="n",((IF(COUNT(V14,W14,AA14,AB14,AC14,AE14,AG14,AI14,AM14,AO14)&lt;7,SUM(V14,W14,AA14,AB14,AC14,AE14,AG14,AI14,AM14,AO14),SUM(LARGE((V14,W14,AA14,AB14,AC14,AE14,AG14,AI14,AM14,AO14),{1;2;3;4;5;6;7}))))+(IF(COUNT(Y14,AD14,AF14,AH14,AK14,AN14)&lt;5,SUM(Y14,AD14,AF14,AH14,AK14,AN14),SUM(LARGE((Y14,AD14,AF14,AH14,AK14,AN14),{1;2;3;4;5}))))+U14),0)</f>
        <v>0</v>
      </c>
      <c r="Q14" s="661"/>
      <c r="R14" s="405">
        <f t="array" ref="R14">IF(T14="j",((IF(COUNT(V14,W14,AA14,AB14,AC14,AE14,AG14,AI14,AM14,AO14)&lt;7,SUM(V14,W14,AA14,AB14,AC14,AE14,AG14,AI14,AM14,AO14),SUM(LARGE((V14,W14,AA14,AB14,AC14,AE14,AG14,AI14,AM14,AO14),{1;2;3;4;5;6;7}))))+(IF(COUNT(Z14,AD14,AF14,AH14,AJ14,AN14)&lt;5,SUM(Z14,AD14,AF14,AH14,AJ14,AN14),SUM(LARGE((Z14,AD14,AF14,AH14,AJ14,AN14),{1;2;3;4;5}))))+U14),0)</f>
        <v>0</v>
      </c>
      <c r="S14" s="64"/>
      <c r="T14" s="64"/>
      <c r="U14" s="173">
        <v>12</v>
      </c>
      <c r="V14" s="15">
        <v>105</v>
      </c>
      <c r="W14" s="15">
        <v>90</v>
      </c>
      <c r="X14" s="15">
        <v>60</v>
      </c>
      <c r="Y14" s="613"/>
      <c r="Z14" s="610"/>
      <c r="AA14" s="15">
        <v>115</v>
      </c>
      <c r="AB14" s="575">
        <v>64</v>
      </c>
      <c r="AC14" s="575">
        <v>60</v>
      </c>
      <c r="AD14" s="32">
        <v>111</v>
      </c>
      <c r="AE14" s="15">
        <v>84</v>
      </c>
      <c r="AF14" s="15">
        <v>84</v>
      </c>
      <c r="AG14" s="15">
        <v>84</v>
      </c>
      <c r="AH14" s="141" t="s">
        <v>397</v>
      </c>
      <c r="AI14" s="141" t="s">
        <v>397</v>
      </c>
      <c r="AJ14" s="15">
        <v>71.5</v>
      </c>
      <c r="AK14" s="613"/>
      <c r="AL14" s="15"/>
      <c r="AM14" s="15">
        <v>84</v>
      </c>
      <c r="AN14" s="15">
        <v>146</v>
      </c>
      <c r="AO14" s="15">
        <v>90</v>
      </c>
      <c r="AP14" s="33">
        <f t="shared" si="7"/>
        <v>14</v>
      </c>
      <c r="AQ14" s="440">
        <f t="shared" si="8"/>
        <v>3</v>
      </c>
      <c r="AR14" s="441">
        <f t="shared" si="9"/>
        <v>1</v>
      </c>
      <c r="AS14" s="34">
        <f t="shared" si="10"/>
        <v>0</v>
      </c>
      <c r="AT14" s="4">
        <f t="shared" si="11"/>
        <v>1</v>
      </c>
      <c r="AU14" s="285">
        <f t="shared" si="12"/>
        <v>1</v>
      </c>
    </row>
    <row r="15" spans="1:47" x14ac:dyDescent="0.2">
      <c r="A15" s="59">
        <v>7</v>
      </c>
      <c r="B15" s="438">
        <f t="shared" si="0"/>
        <v>7</v>
      </c>
      <c r="C15" s="432">
        <f t="shared" si="1"/>
        <v>11111</v>
      </c>
      <c r="D15" s="61" t="s">
        <v>327</v>
      </c>
      <c r="E15" s="438" t="str">
        <f t="shared" si="2"/>
        <v/>
      </c>
      <c r="F15" s="431">
        <f t="shared" si="3"/>
        <v>0</v>
      </c>
      <c r="G15" s="660" t="s">
        <v>327</v>
      </c>
      <c r="H15" s="438" t="str">
        <f t="shared" si="4"/>
        <v/>
      </c>
      <c r="I15" s="658">
        <f t="shared" si="5"/>
        <v>0</v>
      </c>
      <c r="J15" s="154">
        <f t="shared" si="6"/>
        <v>7</v>
      </c>
      <c r="K15" s="139">
        <v>7</v>
      </c>
      <c r="L15" s="27" t="s">
        <v>553</v>
      </c>
      <c r="M15" s="139">
        <v>1111</v>
      </c>
      <c r="N15" s="446">
        <f t="array" ref="N15">(IF(COUNT(V15,W15,AA15,AB15,AC15,AE15,AG15,AI15,AM15,AO15)&lt;7,SUM(V15,W15,AA15,AB15,AC15,AE15,AG15,AI15,AM15,AO15),SUM(LARGE((V15,W15,AA15,AB15,AC15,AE15,AG15,AI15,AM15,AO15),{1;2;3;4;5;6;7}))))+(IF(COUNT(X15,AD15,AF15,AH15,AJ15,AN15)&lt;5,SUM(X15,AD15,AF15,AH15,AJ15,AN15),SUM(LARGE((X15,AD15,AF15,AH15,AJ15,AN15),{1;2;3;4;5}))))+U15</f>
        <v>1111</v>
      </c>
      <c r="O15" s="413"/>
      <c r="P15" s="405">
        <f t="array" ref="P15">IF(S15="n",((IF(COUNT(V15,W15,AA15,AB15,AC15,AE15,AG15,AI15,AM15,AO15)&lt;7,SUM(V15,W15,AA15,AB15,AC15,AE15,AG15,AI15,AM15,AO15),SUM(LARGE((V15,W15,AA15,AB15,AC15,AE15,AG15,AI15,AM15,AO15),{1;2;3;4;5;6;7}))))+(IF(COUNT(Y15,AD15,AF15,AH15,AK15,AN15)&lt;5,SUM(Y15,AD15,AF15,AH15,AK15,AN15),SUM(LARGE((Y15,AD15,AF15,AH15,AK15,AN15),{1;2;3;4;5}))))+U15),0)</f>
        <v>0</v>
      </c>
      <c r="Q15" s="661"/>
      <c r="R15" s="405">
        <f t="array" ref="R15">IF(T15="j",((IF(COUNT(V15,W15,AA15,AB15,AC15,AE15,AG15,AI15,AM15,AO15)&lt;7,SUM(V15,W15,AA15,AB15,AC15,AE15,AG15,AI15,AM15,AO15),SUM(LARGE((V15,W15,AA15,AB15,AC15,AE15,AG15,AI15,AM15,AO15),{1;2;3;4;5;6;7}))))+(IF(COUNT(Z15,AD15,AF15,AH15,AJ15,AN15)&lt;5,SUM(Z15,AD15,AF15,AH15,AJ15,AN15),SUM(LARGE((Z15,AD15,AF15,AH15,AJ15,AN15),{1;2;3;4;5}))))+U15),0)</f>
        <v>0</v>
      </c>
      <c r="S15" s="64"/>
      <c r="T15" s="64"/>
      <c r="U15" s="173"/>
      <c r="V15" s="141" t="s">
        <v>397</v>
      </c>
      <c r="W15" s="141" t="s">
        <v>397</v>
      </c>
      <c r="X15" s="141" t="s">
        <v>397</v>
      </c>
      <c r="Y15" s="614"/>
      <c r="Z15" s="611"/>
      <c r="AA15" s="141" t="s">
        <v>397</v>
      </c>
      <c r="AB15" s="15"/>
      <c r="AC15" s="15"/>
      <c r="AD15" s="15">
        <v>158</v>
      </c>
      <c r="AE15" s="15">
        <v>115</v>
      </c>
      <c r="AF15" s="15">
        <v>90</v>
      </c>
      <c r="AG15" s="15">
        <v>115</v>
      </c>
      <c r="AH15" s="15">
        <v>78</v>
      </c>
      <c r="AI15" s="15">
        <v>84</v>
      </c>
      <c r="AJ15" s="15">
        <v>135</v>
      </c>
      <c r="AK15" s="613"/>
      <c r="AL15" s="15"/>
      <c r="AM15" s="15">
        <v>79</v>
      </c>
      <c r="AN15" s="15">
        <v>173</v>
      </c>
      <c r="AO15" s="15">
        <v>84</v>
      </c>
      <c r="AP15" s="33">
        <f t="shared" si="7"/>
        <v>10</v>
      </c>
      <c r="AQ15" s="440">
        <f t="shared" si="8"/>
        <v>4</v>
      </c>
      <c r="AR15" s="441">
        <f t="shared" si="9"/>
        <v>3</v>
      </c>
      <c r="AS15" s="34">
        <f t="shared" si="10"/>
        <v>1</v>
      </c>
      <c r="AT15" s="4">
        <f t="shared" si="11"/>
        <v>3</v>
      </c>
      <c r="AU15" s="285">
        <f t="shared" si="12"/>
        <v>1</v>
      </c>
    </row>
    <row r="16" spans="1:47" x14ac:dyDescent="0.2">
      <c r="A16" s="59" t="s">
        <v>327</v>
      </c>
      <c r="B16" s="438" t="str">
        <f t="shared" si="0"/>
        <v/>
      </c>
      <c r="C16" s="432">
        <f t="shared" si="1"/>
        <v>0</v>
      </c>
      <c r="D16" s="61">
        <v>2</v>
      </c>
      <c r="E16" s="438">
        <f t="shared" si="2"/>
        <v>2</v>
      </c>
      <c r="F16" s="431">
        <f t="shared" si="3"/>
        <v>11146</v>
      </c>
      <c r="G16" s="660" t="s">
        <v>327</v>
      </c>
      <c r="H16" s="438" t="str">
        <f t="shared" si="4"/>
        <v/>
      </c>
      <c r="I16" s="658">
        <f t="shared" si="5"/>
        <v>0</v>
      </c>
      <c r="J16" s="154">
        <f t="shared" si="6"/>
        <v>8</v>
      </c>
      <c r="K16" s="139">
        <v>8</v>
      </c>
      <c r="L16" s="68" t="s">
        <v>52</v>
      </c>
      <c r="M16" s="251">
        <v>1085</v>
      </c>
      <c r="N16" s="446">
        <f t="array" ref="N16">(IF(COUNT(V16,W16,AA16,AB16,AC16,AE16,AG16,AI16,AM16,AO16)&lt;7,SUM(V16,W16,AA16,AB16,AC16,AE16,AG16,AI16,AM16,AO16),SUM(LARGE((V16,W16,AA16,AB16,AC16,AE16,AG16,AI16,AM16,AO16),{1;2;3;4;5;6;7}))))+(IF(COUNT(X16,AD16,AF16,AH16,AJ16,AN16)&lt;5,SUM(X16,AD16,AF16,AH16,AJ16,AN16),SUM(LARGE((X16,AD16,AF16,AH16,AJ16,AN16),{1;2;3;4;5}))))+U16</f>
        <v>1085</v>
      </c>
      <c r="O16" s="413">
        <v>1146</v>
      </c>
      <c r="P16" s="405">
        <f t="array" ref="P16">IF(S16="n",((IF(COUNT(V16,W16,AA16,AB16,AC16,AE16,AG16,AI16,AM16,AO16)&lt;7,SUM(V16,W16,AA16,AB16,AC16,AE16,AG16,AI16,AM16,AO16),SUM(LARGE((V16,W16,AA16,AB16,AC16,AE16,AG16,AI16,AM16,AO16),{1;2;3;4;5;6;7}))))+(IF(COUNT(Y16,AD16,AF16,AH16,AK16,AN16)&lt;5,SUM(Y16,AD16,AF16,AH16,AK16,AN16),SUM(LARGE((Y16,AD16,AF16,AH16,AK16,AN16),{1;2;3;4;5}))))+U16),0)</f>
        <v>1146</v>
      </c>
      <c r="Q16" s="661"/>
      <c r="R16" s="405">
        <f t="array" ref="R16">IF(T16="j",((IF(COUNT(V16,W16,AA16,AB16,AC16,AE16,AG16,AI16,AM16,AO16)&lt;7,SUM(V16,W16,AA16,AB16,AC16,AE16,AG16,AI16,AM16,AO16),SUM(LARGE((V16,W16,AA16,AB16,AC16,AE16,AG16,AI16,AM16,AO16),{1;2;3;4;5;6;7}))))+(IF(COUNT(Z16,AD16,AF16,AH16,AJ16,AN16)&lt;5,SUM(Z16,AD16,AF16,AH16,AJ16,AN16),SUM(LARGE((Z16,AD16,AF16,AH16,AJ16,AN16),{1;2;3;4;5}))))+U16),0)</f>
        <v>0</v>
      </c>
      <c r="S16" s="64" t="s">
        <v>35</v>
      </c>
      <c r="T16" s="64"/>
      <c r="U16" s="173">
        <v>79</v>
      </c>
      <c r="V16" s="15">
        <v>97</v>
      </c>
      <c r="W16" s="15">
        <v>56</v>
      </c>
      <c r="X16" s="141" t="s">
        <v>397</v>
      </c>
      <c r="Y16" s="614"/>
      <c r="Z16" s="611"/>
      <c r="AA16" s="141" t="s">
        <v>397</v>
      </c>
      <c r="AB16" s="141" t="s">
        <v>397</v>
      </c>
      <c r="AC16" s="575">
        <v>40</v>
      </c>
      <c r="AD16" s="32">
        <v>146</v>
      </c>
      <c r="AE16" s="15">
        <v>49</v>
      </c>
      <c r="AF16" s="15">
        <v>96</v>
      </c>
      <c r="AG16" s="15">
        <v>43</v>
      </c>
      <c r="AH16" s="15">
        <v>135</v>
      </c>
      <c r="AI16" s="15">
        <v>97</v>
      </c>
      <c r="AJ16" s="15">
        <v>65</v>
      </c>
      <c r="AK16" s="613">
        <v>126</v>
      </c>
      <c r="AL16" s="15"/>
      <c r="AM16" s="15">
        <v>56</v>
      </c>
      <c r="AN16" s="15">
        <v>126</v>
      </c>
      <c r="AO16" s="15">
        <v>40</v>
      </c>
      <c r="AP16" s="33">
        <f t="shared" si="7"/>
        <v>13</v>
      </c>
      <c r="AQ16" s="440">
        <f t="shared" si="8"/>
        <v>3</v>
      </c>
      <c r="AR16" s="441">
        <f t="shared" si="9"/>
        <v>0</v>
      </c>
      <c r="AS16" s="34">
        <f t="shared" si="10"/>
        <v>0</v>
      </c>
      <c r="AT16" s="582">
        <f t="shared" si="11"/>
        <v>2</v>
      </c>
      <c r="AU16" s="285">
        <f t="shared" si="12"/>
        <v>1</v>
      </c>
    </row>
    <row r="17" spans="1:47" x14ac:dyDescent="0.2">
      <c r="A17" s="59" t="s">
        <v>327</v>
      </c>
      <c r="B17" s="438" t="str">
        <f t="shared" si="0"/>
        <v/>
      </c>
      <c r="C17" s="432">
        <f t="shared" si="1"/>
        <v>0</v>
      </c>
      <c r="D17" s="61">
        <v>1</v>
      </c>
      <c r="E17" s="438">
        <f t="shared" si="2"/>
        <v>1</v>
      </c>
      <c r="F17" s="431">
        <f t="shared" si="3"/>
        <v>11202</v>
      </c>
      <c r="G17" s="660" t="s">
        <v>327</v>
      </c>
      <c r="H17" s="438" t="str">
        <f t="shared" si="4"/>
        <v/>
      </c>
      <c r="I17" s="658">
        <f t="shared" si="5"/>
        <v>0</v>
      </c>
      <c r="J17" s="154">
        <f t="shared" si="6"/>
        <v>9</v>
      </c>
      <c r="K17" s="139">
        <v>9</v>
      </c>
      <c r="L17" s="69" t="s">
        <v>45</v>
      </c>
      <c r="M17" s="139">
        <v>1073</v>
      </c>
      <c r="N17" s="446">
        <f t="array" ref="N17">(IF(COUNT(V17,W17,AA17,AB17,AC17,AE17,AG17,AI17,AM17,AO17)&lt;7,SUM(V17,W17,AA17,AB17,AC17,AE17,AG17,AI17,AM17,AO17),SUM(LARGE((V17,W17,AA17,AB17,AC17,AE17,AG17,AI17,AM17,AO17),{1;2;3;4;5;6;7}))))+(IF(COUNT(X17,AD17,AF17,AH17,AJ17,AN17)&lt;5,SUM(X17,AD17,AF17,AH17,AJ17,AN17),SUM(LARGE((X17,AD17,AF17,AH17,AJ17,AN17),{1;2;3;4;5}))))+U17</f>
        <v>1073</v>
      </c>
      <c r="O17" s="413">
        <v>1202</v>
      </c>
      <c r="P17" s="405">
        <f t="array" ref="P17">IF(S17="n",((IF(COUNT(V17,W17,AA17,AB17,AC17,AE17,AG17,AI17,AM17,AO17)&lt;7,SUM(V17,W17,AA17,AB17,AC17,AE17,AG17,AI17,AM17,AO17),SUM(LARGE((V17,W17,AA17,AB17,AC17,AE17,AG17,AI17,AM17,AO17),{1;2;3;4;5;6;7}))))+(IF(COUNT(Y17,AD17,AF17,AH17,AK17,AN17)&lt;5,SUM(Y17,AD17,AF17,AH17,AK17,AN17),SUM(LARGE((Y17,AD17,AF17,AH17,AK17,AN17),{1;2;3;4;5}))))+U17),0)</f>
        <v>1202</v>
      </c>
      <c r="Q17" s="661"/>
      <c r="R17" s="405">
        <f t="array" ref="R17">IF(T17="j",((IF(COUNT(V17,W17,AA17,AB17,AC17,AE17,AG17,AI17,AM17,AO17)&lt;7,SUM(V17,W17,AA17,AB17,AC17,AE17,AG17,AI17,AM17,AO17),SUM(LARGE((V17,W17,AA17,AB17,AC17,AE17,AG17,AI17,AM17,AO17),{1;2;3;4;5;6;7}))))+(IF(COUNT(Z17,AD17,AF17,AH17,AJ17,AN17)&lt;5,SUM(Z17,AD17,AF17,AH17,AJ17,AN17),SUM(LARGE((Z17,AD17,AF17,AH17,AJ17,AN17),{1;2;3;4;5}))))+U17),0)</f>
        <v>0</v>
      </c>
      <c r="S17" s="64" t="s">
        <v>35</v>
      </c>
      <c r="T17" s="64"/>
      <c r="U17" s="173">
        <v>56</v>
      </c>
      <c r="V17" s="15">
        <v>97</v>
      </c>
      <c r="W17" s="15">
        <v>69</v>
      </c>
      <c r="X17" s="15">
        <v>65</v>
      </c>
      <c r="Y17" s="613">
        <v>126</v>
      </c>
      <c r="Z17" s="610"/>
      <c r="AA17" s="15">
        <v>69</v>
      </c>
      <c r="AB17" s="15">
        <v>74</v>
      </c>
      <c r="AC17" s="575">
        <v>40</v>
      </c>
      <c r="AD17" s="15">
        <v>135</v>
      </c>
      <c r="AE17" s="575">
        <v>49</v>
      </c>
      <c r="AF17" s="141" t="s">
        <v>397</v>
      </c>
      <c r="AG17" s="141" t="s">
        <v>397</v>
      </c>
      <c r="AH17" s="15">
        <v>74</v>
      </c>
      <c r="AI17" s="15">
        <v>64</v>
      </c>
      <c r="AJ17" s="15">
        <v>105</v>
      </c>
      <c r="AK17" s="613">
        <v>173</v>
      </c>
      <c r="AL17" s="15"/>
      <c r="AM17" s="15">
        <v>105</v>
      </c>
      <c r="AN17" s="15">
        <v>104</v>
      </c>
      <c r="AO17" s="430">
        <v>56</v>
      </c>
      <c r="AP17" s="33">
        <f t="shared" si="7"/>
        <v>14</v>
      </c>
      <c r="AQ17" s="440">
        <f t="shared" si="8"/>
        <v>3</v>
      </c>
      <c r="AR17" s="441">
        <f t="shared" si="9"/>
        <v>1</v>
      </c>
      <c r="AS17" s="34">
        <f t="shared" si="10"/>
        <v>1</v>
      </c>
      <c r="AT17" s="4">
        <f t="shared" si="11"/>
        <v>1</v>
      </c>
      <c r="AU17" s="285">
        <f t="shared" si="12"/>
        <v>1</v>
      </c>
    </row>
    <row r="18" spans="1:47" x14ac:dyDescent="0.2">
      <c r="A18" s="59">
        <v>8</v>
      </c>
      <c r="B18" s="438">
        <f t="shared" si="0"/>
        <v>8</v>
      </c>
      <c r="C18" s="432">
        <f t="shared" si="1"/>
        <v>11046</v>
      </c>
      <c r="D18" s="61" t="s">
        <v>327</v>
      </c>
      <c r="E18" s="438" t="str">
        <f t="shared" si="2"/>
        <v/>
      </c>
      <c r="F18" s="431">
        <f t="shared" si="3"/>
        <v>0</v>
      </c>
      <c r="G18" s="660" t="s">
        <v>327</v>
      </c>
      <c r="H18" s="438" t="str">
        <f t="shared" si="4"/>
        <v/>
      </c>
      <c r="I18" s="658">
        <f t="shared" si="5"/>
        <v>0</v>
      </c>
      <c r="J18" s="154">
        <f t="shared" si="6"/>
        <v>10</v>
      </c>
      <c r="K18" s="139">
        <v>10</v>
      </c>
      <c r="L18" s="67" t="s">
        <v>66</v>
      </c>
      <c r="M18" s="251">
        <v>1046</v>
      </c>
      <c r="N18" s="446">
        <f t="array" ref="N18">(IF(COUNT(V18,W18,AA18,AB18,AC18,AE18,AG18,AI18,AM18,AO18)&lt;7,SUM(V18,W18,AA18,AB18,AC18,AE18,AG18,AI18,AM18,AO18),SUM(LARGE((V18,W18,AA18,AB18,AC18,AE18,AG18,AI18,AM18,AO18),{1;2;3;4;5;6;7}))))+(IF(COUNT(X18,AD18,AF18,AH18,AJ18,AN18)&lt;5,SUM(X18,AD18,AF18,AH18,AJ18,AN18),SUM(LARGE((X18,AD18,AF18,AH18,AJ18,AN18),{1;2;3;4;5}))))+U18</f>
        <v>1046</v>
      </c>
      <c r="O18" s="413"/>
      <c r="P18" s="405">
        <f t="array" ref="P18">IF(S18="n",((IF(COUNT(V18,W18,AA18,AB18,AC18,AE18,AG18,AI18,AM18,AO18)&lt;7,SUM(V18,W18,AA18,AB18,AC18,AE18,AG18,AI18,AM18,AO18),SUM(LARGE((V18,W18,AA18,AB18,AC18,AE18,AG18,AI18,AM18,AO18),{1;2;3;4;5;6;7}))))+(IF(COUNT(Y18,AD18,AF18,AH18,AK18,AN18)&lt;5,SUM(Y18,AD18,AF18,AH18,AK18,AN18),SUM(LARGE((Y18,AD18,AF18,AH18,AK18,AN18),{1;2;3;4;5}))))+U18),0)</f>
        <v>0</v>
      </c>
      <c r="Q18" s="661"/>
      <c r="R18" s="405">
        <f t="array" ref="R18">IF(T18="j",((IF(COUNT(V18,W18,AA18,AB18,AC18,AE18,AG18,AI18,AM18,AO18)&lt;7,SUM(V18,W18,AA18,AB18,AC18,AE18,AG18,AI18,AM18,AO18),SUM(LARGE((V18,W18,AA18,AB18,AC18,AE18,AG18,AI18,AM18,AO18),{1;2;3;4;5;6;7}))))+(IF(COUNT(Z18,AD18,AF18,AH18,AJ18,AN18)&lt;5,SUM(Z18,AD18,AF18,AH18,AJ18,AN18),SUM(LARGE((Z18,AD18,AF18,AH18,AJ18,AN18),{1;2;3;4;5}))))+U18),0)</f>
        <v>0</v>
      </c>
      <c r="S18" s="64"/>
      <c r="T18" s="64"/>
      <c r="U18" s="173">
        <v>69</v>
      </c>
      <c r="V18" s="141" t="s">
        <v>397</v>
      </c>
      <c r="W18" s="15">
        <v>69</v>
      </c>
      <c r="X18" s="15">
        <v>42</v>
      </c>
      <c r="Y18" s="613"/>
      <c r="Z18" s="610"/>
      <c r="AA18" s="15">
        <v>105</v>
      </c>
      <c r="AB18" s="141" t="s">
        <v>397</v>
      </c>
      <c r="AC18" s="15">
        <v>79</v>
      </c>
      <c r="AD18" s="32">
        <v>135</v>
      </c>
      <c r="AE18" s="575">
        <v>46</v>
      </c>
      <c r="AF18" s="141" t="s">
        <v>397</v>
      </c>
      <c r="AG18" s="15">
        <v>97</v>
      </c>
      <c r="AH18" s="15">
        <v>96</v>
      </c>
      <c r="AI18" s="15">
        <v>74</v>
      </c>
      <c r="AJ18" s="15"/>
      <c r="AK18" s="613"/>
      <c r="AL18" s="15"/>
      <c r="AM18" s="15">
        <v>97</v>
      </c>
      <c r="AN18" s="15">
        <v>119</v>
      </c>
      <c r="AO18" s="15">
        <v>64</v>
      </c>
      <c r="AP18" s="33">
        <f t="shared" si="7"/>
        <v>12</v>
      </c>
      <c r="AQ18" s="440">
        <f t="shared" si="8"/>
        <v>3</v>
      </c>
      <c r="AR18" s="441">
        <f t="shared" si="9"/>
        <v>0</v>
      </c>
      <c r="AS18" s="34">
        <f t="shared" si="10"/>
        <v>0</v>
      </c>
      <c r="AT18" s="4">
        <f t="shared" si="11"/>
        <v>2</v>
      </c>
      <c r="AU18" s="285">
        <f t="shared" si="12"/>
        <v>1</v>
      </c>
    </row>
    <row r="19" spans="1:47" x14ac:dyDescent="0.2">
      <c r="A19" s="59">
        <v>9</v>
      </c>
      <c r="B19" s="438">
        <f t="shared" si="0"/>
        <v>9</v>
      </c>
      <c r="C19" s="432">
        <f t="shared" si="1"/>
        <v>11011</v>
      </c>
      <c r="D19" s="61" t="s">
        <v>327</v>
      </c>
      <c r="E19" s="438" t="str">
        <f t="shared" si="2"/>
        <v/>
      </c>
      <c r="F19" s="431">
        <f t="shared" si="3"/>
        <v>0</v>
      </c>
      <c r="G19" s="660" t="s">
        <v>327</v>
      </c>
      <c r="H19" s="438" t="str">
        <f t="shared" si="4"/>
        <v/>
      </c>
      <c r="I19" s="658">
        <f t="shared" si="5"/>
        <v>0</v>
      </c>
      <c r="J19" s="154">
        <f t="shared" si="6"/>
        <v>11</v>
      </c>
      <c r="K19" s="139">
        <v>11</v>
      </c>
      <c r="L19" s="601" t="s">
        <v>71</v>
      </c>
      <c r="M19" s="139">
        <v>1011</v>
      </c>
      <c r="N19" s="446">
        <f t="array" ref="N19">(IF(COUNT(V19,W19,AA19,AB19,AC19,AE19,AG19,AI19,AM19,AO19)&lt;7,SUM(V19,W19,AA19,AB19,AC19,AE19,AG19,AI19,AM19,AO19),SUM(LARGE((V19,W19,AA19,AB19,AC19,AE19,AG19,AI19,AM19,AO19),{1;2;3;4;5;6;7}))))+(IF(COUNT(X19,AD19,AF19,AH19,AJ19,AN19)&lt;5,SUM(X19,AD19,AF19,AH19,AJ19,AN19),SUM(LARGE((X19,AD19,AF19,AH19,AJ19,AN19),{1;2;3;4;5}))))+U19</f>
        <v>1011</v>
      </c>
      <c r="O19" s="413"/>
      <c r="P19" s="405">
        <f t="array" ref="P19">IF(S19="n",((IF(COUNT(V19,W19,AA19,AB19,AC19,AE19,AG19,AI19,AM19,AO19)&lt;7,SUM(V19,W19,AA19,AB19,AC19,AE19,AG19,AI19,AM19,AO19),SUM(LARGE((V19,W19,AA19,AB19,AC19,AE19,AG19,AI19,AM19,AO19),{1;2;3;4;5;6;7}))))+(IF(COUNT(Y19,AD19,AF19,AH19,AK19,AN19)&lt;5,SUM(Y19,AD19,AF19,AH19,AK19,AN19),SUM(LARGE((Y19,AD19,AF19,AH19,AK19,AN19),{1;2;3;4;5}))))+U19),0)</f>
        <v>0</v>
      </c>
      <c r="Q19" s="661"/>
      <c r="R19" s="405">
        <f t="array" ref="R19">IF(T19="j",((IF(COUNT(V19,W19,AA19,AB19,AC19,AE19,AG19,AI19,AM19,AO19)&lt;7,SUM(V19,W19,AA19,AB19,AC19,AE19,AG19,AI19,AM19,AO19),SUM(LARGE((V19,W19,AA19,AB19,AC19,AE19,AG19,AI19,AM19,AO19),{1;2;3;4;5;6;7}))))+(IF(COUNT(Z19,AD19,AF19,AH19,AJ19,AN19)&lt;5,SUM(Z19,AD19,AF19,AH19,AJ19,AN19),SUM(LARGE((Z19,AD19,AF19,AH19,AJ19,AN19),{1;2;3;4;5}))))+U19),0)</f>
        <v>0</v>
      </c>
      <c r="S19" s="64"/>
      <c r="T19" s="64"/>
      <c r="U19" s="173">
        <v>1</v>
      </c>
      <c r="V19" s="15">
        <v>115</v>
      </c>
      <c r="W19" s="141" t="s">
        <v>397</v>
      </c>
      <c r="X19" s="15">
        <v>126</v>
      </c>
      <c r="Y19" s="613"/>
      <c r="Z19" s="610"/>
      <c r="AA19" s="15">
        <v>84</v>
      </c>
      <c r="AB19" s="15">
        <v>37</v>
      </c>
      <c r="AC19" s="15">
        <v>105</v>
      </c>
      <c r="AD19" s="15">
        <v>173</v>
      </c>
      <c r="AE19" s="141" t="s">
        <v>397</v>
      </c>
      <c r="AF19" s="141" t="s">
        <v>397</v>
      </c>
      <c r="AG19" s="141" t="s">
        <v>397</v>
      </c>
      <c r="AH19" s="15">
        <v>146</v>
      </c>
      <c r="AI19" s="15">
        <v>105</v>
      </c>
      <c r="AJ19" s="15">
        <v>119</v>
      </c>
      <c r="AK19" s="613"/>
      <c r="AL19" s="15"/>
      <c r="AM19" s="15"/>
      <c r="AN19" s="15"/>
      <c r="AO19" s="15"/>
      <c r="AP19" s="33">
        <f t="shared" si="7"/>
        <v>9</v>
      </c>
      <c r="AQ19" s="440">
        <f t="shared" si="8"/>
        <v>5</v>
      </c>
      <c r="AR19" s="441">
        <f t="shared" si="9"/>
        <v>2</v>
      </c>
      <c r="AS19" s="34">
        <f t="shared" si="10"/>
        <v>1</v>
      </c>
      <c r="AT19" s="4">
        <f t="shared" si="11"/>
        <v>3</v>
      </c>
      <c r="AU19" s="285">
        <f t="shared" si="12"/>
        <v>1</v>
      </c>
    </row>
    <row r="20" spans="1:47" x14ac:dyDescent="0.2">
      <c r="A20" s="59">
        <v>10</v>
      </c>
      <c r="B20" s="438">
        <f t="shared" si="0"/>
        <v>10</v>
      </c>
      <c r="C20" s="432">
        <f t="shared" si="1"/>
        <v>10990.5</v>
      </c>
      <c r="D20" s="61" t="s">
        <v>327</v>
      </c>
      <c r="E20" s="438" t="str">
        <f t="shared" si="2"/>
        <v/>
      </c>
      <c r="F20" s="431">
        <f t="shared" si="3"/>
        <v>0</v>
      </c>
      <c r="G20" s="660" t="s">
        <v>327</v>
      </c>
      <c r="H20" s="438" t="str">
        <f t="shared" si="4"/>
        <v/>
      </c>
      <c r="I20" s="658">
        <f t="shared" si="5"/>
        <v>0</v>
      </c>
      <c r="J20" s="154">
        <f t="shared" si="6"/>
        <v>12</v>
      </c>
      <c r="K20" s="139">
        <v>12</v>
      </c>
      <c r="L20" s="67" t="s">
        <v>51</v>
      </c>
      <c r="M20" s="251">
        <v>990.5</v>
      </c>
      <c r="N20" s="446">
        <f t="array" ref="N20">(IF(COUNT(V20,W20,AA20,AB20,AC20,AE20,AG20,AI20,AM20,AO20)&lt;7,SUM(V20,W20,AA20,AB20,AC20,AE20,AG20,AI20,AM20,AO20),SUM(LARGE((V20,W20,AA20,AB20,AC20,AE20,AG20,AI20,AM20,AO20),{1;2;3;4;5;6;7}))))+(IF(COUNT(X20,AD20,AF20,AH20,AJ20,AN20)&lt;5,SUM(X20,AD20,AF20,AH20,AJ20,AN20),SUM(LARGE((X20,AD20,AF20,AH20,AJ20,AN20),{1;2;3;4;5}))))+U20</f>
        <v>990.5</v>
      </c>
      <c r="O20" s="413"/>
      <c r="P20" s="405">
        <f t="array" ref="P20">IF(S20="n",((IF(COUNT(V20,W20,AA20,AB20,AC20,AE20,AG20,AI20,AM20,AO20)&lt;7,SUM(V20,W20,AA20,AB20,AC20,AE20,AG20,AI20,AM20,AO20),SUM(LARGE((V20,W20,AA20,AB20,AC20,AE20,AG20,AI20,AM20,AO20),{1;2;3;4;5;6;7}))))+(IF(COUNT(Y20,AD20,AF20,AH20,AK20,AN20)&lt;5,SUM(Y20,AD20,AF20,AH20,AK20,AN20),SUM(LARGE((Y20,AD20,AF20,AH20,AK20,AN20),{1;2;3;4;5}))))+U20),0)</f>
        <v>0</v>
      </c>
      <c r="Q20" s="661"/>
      <c r="R20" s="405">
        <f t="array" ref="R20">IF(T20="j",((IF(COUNT(V20,W20,AA20,AB20,AC20,AE20,AG20,AI20,AM20,AO20)&lt;7,SUM(V20,W20,AA20,AB20,AC20,AE20,AG20,AI20,AM20,AO20),SUM(LARGE((V20,W20,AA20,AB20,AC20,AE20,AG20,AI20,AM20,AO20),{1;2;3;4;5;6;7}))))+(IF(COUNT(Z20,AD20,AF20,AH20,AJ20,AN20)&lt;5,SUM(Z20,AD20,AF20,AH20,AJ20,AN20),SUM(LARGE((Z20,AD20,AF20,AH20,AJ20,AN20),{1;2;3;4;5}))))+U20),0)</f>
        <v>0</v>
      </c>
      <c r="S20" s="64"/>
      <c r="T20" s="64"/>
      <c r="U20" s="173">
        <v>1</v>
      </c>
      <c r="V20" s="15">
        <v>64</v>
      </c>
      <c r="W20" s="15">
        <v>79</v>
      </c>
      <c r="X20" s="15">
        <v>78</v>
      </c>
      <c r="Y20" s="613"/>
      <c r="Z20" s="610"/>
      <c r="AA20" s="15">
        <v>64</v>
      </c>
      <c r="AB20" s="15">
        <v>69</v>
      </c>
      <c r="AC20" s="15">
        <v>79</v>
      </c>
      <c r="AD20" s="15">
        <v>96</v>
      </c>
      <c r="AE20" s="575">
        <v>60</v>
      </c>
      <c r="AF20" s="141" t="s">
        <v>397</v>
      </c>
      <c r="AG20" s="15">
        <v>97</v>
      </c>
      <c r="AH20" s="15">
        <v>69</v>
      </c>
      <c r="AI20" s="15">
        <v>74</v>
      </c>
      <c r="AJ20" s="15">
        <v>62.5</v>
      </c>
      <c r="AK20" s="613"/>
      <c r="AL20" s="15"/>
      <c r="AM20" s="575">
        <v>52</v>
      </c>
      <c r="AN20" s="15">
        <v>158</v>
      </c>
      <c r="AO20" s="575">
        <v>49</v>
      </c>
      <c r="AP20" s="33">
        <f t="shared" si="7"/>
        <v>15</v>
      </c>
      <c r="AQ20" s="440">
        <f t="shared" si="8"/>
        <v>2</v>
      </c>
      <c r="AR20" s="441">
        <f t="shared" si="9"/>
        <v>0</v>
      </c>
      <c r="AS20" s="34">
        <f t="shared" si="10"/>
        <v>0</v>
      </c>
      <c r="AT20" s="4">
        <f t="shared" si="11"/>
        <v>0</v>
      </c>
      <c r="AU20" s="285">
        <f t="shared" si="12"/>
        <v>1</v>
      </c>
    </row>
    <row r="21" spans="1:47" x14ac:dyDescent="0.2">
      <c r="A21" s="59">
        <v>11</v>
      </c>
      <c r="B21" s="438">
        <f t="shared" si="0"/>
        <v>11</v>
      </c>
      <c r="C21" s="432">
        <f t="shared" si="1"/>
        <v>10969</v>
      </c>
      <c r="D21" s="61" t="s">
        <v>327</v>
      </c>
      <c r="E21" s="438" t="str">
        <f t="shared" si="2"/>
        <v/>
      </c>
      <c r="F21" s="431">
        <f t="shared" si="3"/>
        <v>0</v>
      </c>
      <c r="G21" s="660" t="s">
        <v>327</v>
      </c>
      <c r="H21" s="438" t="str">
        <f t="shared" si="4"/>
        <v/>
      </c>
      <c r="I21" s="658">
        <f t="shared" si="5"/>
        <v>0</v>
      </c>
      <c r="J21" s="154">
        <f t="shared" si="6"/>
        <v>13</v>
      </c>
      <c r="K21" s="139">
        <v>13</v>
      </c>
      <c r="L21" s="601" t="s">
        <v>44</v>
      </c>
      <c r="M21" s="139">
        <v>969</v>
      </c>
      <c r="N21" s="446">
        <f t="array" ref="N21">(IF(COUNT(V21,W21,AA21,AB21,AC21,AE21,AG21,AI21,AM21,AO21)&lt;7,SUM(V21,W21,AA21,AB21,AC21,AE21,AG21,AI21,AM21,AO21),SUM(LARGE((V21,W21,AA21,AB21,AC21,AE21,AG21,AI21,AM21,AO21),{1;2;3;4;5;6;7}))))+(IF(COUNT(X21,AD21,AF21,AH21,AJ21,AN21)&lt;5,SUM(X21,AD21,AF21,AH21,AJ21,AN21),SUM(LARGE((X21,AD21,AF21,AH21,AJ21,AN21),{1;2;3;4;5}))))+U21</f>
        <v>969</v>
      </c>
      <c r="O21" s="413"/>
      <c r="P21" s="405">
        <f t="array" ref="P21">IF(S21="n",((IF(COUNT(V21,W21,AA21,AB21,AC21,AE21,AG21,AI21,AM21,AO21)&lt;7,SUM(V21,W21,AA21,AB21,AC21,AE21,AG21,AI21,AM21,AO21),SUM(LARGE((V21,W21,AA21,AB21,AC21,AE21,AG21,AI21,AM21,AO21),{1;2;3;4;5;6;7}))))+(IF(COUNT(Y21,AD21,AF21,AH21,AK21,AN21)&lt;5,SUM(Y21,AD21,AF21,AH21,AK21,AN21),SUM(LARGE((Y21,AD21,AF21,AH21,AK21,AN21),{1;2;3;4;5}))))+U21),0)</f>
        <v>0</v>
      </c>
      <c r="Q21" s="661"/>
      <c r="R21" s="405">
        <f t="array" ref="R21">IF(T21="j",((IF(COUNT(V21,W21,AA21,AB21,AC21,AE21,AG21,AI21,AM21,AO21)&lt;7,SUM(V21,W21,AA21,AB21,AC21,AE21,AG21,AI21,AM21,AO21),SUM(LARGE((V21,W21,AA21,AB21,AC21,AE21,AG21,AI21,AM21,AO21),{1;2;3;4;5;6;7}))))+(IF(COUNT(Z21,AD21,AF21,AH21,AJ21,AN21)&lt;5,SUM(Z21,AD21,AF21,AH21,AJ21,AN21),SUM(LARGE((Z21,AD21,AF21,AH21,AJ21,AN21),{1;2;3;4;5}))))+U21),0)</f>
        <v>0</v>
      </c>
      <c r="S21" s="64"/>
      <c r="T21" s="64"/>
      <c r="U21" s="173">
        <v>1</v>
      </c>
      <c r="V21" s="141" t="s">
        <v>397</v>
      </c>
      <c r="W21" s="15">
        <v>84</v>
      </c>
      <c r="X21" s="15">
        <v>84</v>
      </c>
      <c r="Y21" s="613"/>
      <c r="Z21" s="610"/>
      <c r="AA21" s="141" t="s">
        <v>397</v>
      </c>
      <c r="AB21" s="141" t="s">
        <v>397</v>
      </c>
      <c r="AC21" s="15">
        <v>74</v>
      </c>
      <c r="AD21" s="141" t="s">
        <v>397</v>
      </c>
      <c r="AE21" s="15"/>
      <c r="AF21" s="15">
        <v>173</v>
      </c>
      <c r="AG21" s="15">
        <v>64</v>
      </c>
      <c r="AH21" s="15"/>
      <c r="AI21" s="15"/>
      <c r="AJ21" s="15">
        <v>96</v>
      </c>
      <c r="AK21" s="613"/>
      <c r="AL21" s="15"/>
      <c r="AM21" s="15">
        <v>115</v>
      </c>
      <c r="AN21" s="15">
        <v>173</v>
      </c>
      <c r="AO21" s="15">
        <v>105</v>
      </c>
      <c r="AP21" s="33">
        <f t="shared" si="7"/>
        <v>9</v>
      </c>
      <c r="AQ21" s="440">
        <f t="shared" si="8"/>
        <v>4</v>
      </c>
      <c r="AR21" s="441">
        <f t="shared" si="9"/>
        <v>3</v>
      </c>
      <c r="AS21" s="34">
        <f t="shared" si="10"/>
        <v>2</v>
      </c>
      <c r="AT21" s="4">
        <f t="shared" si="11"/>
        <v>3</v>
      </c>
      <c r="AU21" s="285">
        <f t="shared" si="12"/>
        <v>1</v>
      </c>
    </row>
    <row r="22" spans="1:47" x14ac:dyDescent="0.2">
      <c r="A22" s="59">
        <v>12</v>
      </c>
      <c r="B22" s="438">
        <f t="shared" si="0"/>
        <v>12</v>
      </c>
      <c r="C22" s="432">
        <f t="shared" si="1"/>
        <v>10914</v>
      </c>
      <c r="D22" s="61" t="s">
        <v>327</v>
      </c>
      <c r="E22" s="438" t="str">
        <f t="shared" si="2"/>
        <v/>
      </c>
      <c r="F22" s="431">
        <f t="shared" si="3"/>
        <v>0</v>
      </c>
      <c r="G22" s="660" t="s">
        <v>327</v>
      </c>
      <c r="H22" s="438" t="str">
        <f t="shared" si="4"/>
        <v/>
      </c>
      <c r="I22" s="658">
        <f t="shared" si="5"/>
        <v>0</v>
      </c>
      <c r="J22" s="154">
        <f t="shared" si="6"/>
        <v>14</v>
      </c>
      <c r="K22" s="139">
        <v>14</v>
      </c>
      <c r="L22" s="601" t="s">
        <v>40</v>
      </c>
      <c r="M22" s="139">
        <v>914</v>
      </c>
      <c r="N22" s="446">
        <f t="array" ref="N22">(IF(COUNT(V22,W22,AA22,AB22,AC22,AE22,AG22,AI22,AM22,AO22)&lt;7,SUM(V22,W22,AA22,AB22,AC22,AE22,AG22,AI22,AM22,AO22),SUM(LARGE((V22,W22,AA22,AB22,AC22,AE22,AG22,AI22,AM22,AO22),{1;2;3;4;5;6;7}))))+(IF(COUNT(X22,AD22,AF22,AH22,AJ22,AN22)&lt;5,SUM(X22,AD22,AF22,AH22,AJ22,AN22),SUM(LARGE((X22,AD22,AF22,AH22,AJ22,AN22),{1;2;3;4;5}))))+U22</f>
        <v>914</v>
      </c>
      <c r="O22" s="413"/>
      <c r="P22" s="405">
        <f t="array" ref="P22">IF(S22="n",((IF(COUNT(V22,W22,AA22,AB22,AC22,AE22,AG22,AI22,AM22,AO22)&lt;7,SUM(V22,W22,AA22,AB22,AC22,AE22,AG22,AI22,AM22,AO22),SUM(LARGE((V22,W22,AA22,AB22,AC22,AE22,AG22,AI22,AM22,AO22),{1;2;3;4;5;6;7}))))+(IF(COUNT(Y22,AD22,AF22,AH22,AK22,AN22)&lt;5,SUM(Y22,AD22,AF22,AH22,AK22,AN22),SUM(LARGE((Y22,AD22,AF22,AH22,AK22,AN22),{1;2;3;4;5}))))+U22),0)</f>
        <v>0</v>
      </c>
      <c r="Q22" s="661"/>
      <c r="R22" s="405">
        <f t="array" ref="R22">IF(T22="j",((IF(COUNT(V22,W22,AA22,AB22,AC22,AE22,AG22,AI22,AM22,AO22)&lt;7,SUM(V22,W22,AA22,AB22,AC22,AE22,AG22,AI22,AM22,AO22),SUM(LARGE((V22,W22,AA22,AB22,AC22,AE22,AG22,AI22,AM22,AO22),{1;2;3;4;5;6;7}))))+(IF(COUNT(Z22,AD22,AF22,AH22,AJ22,AN22)&lt;5,SUM(Z22,AD22,AF22,AH22,AJ22,AN22),SUM(LARGE((Z22,AD22,AF22,AH22,AJ22,AN22),{1;2;3;4;5}))))+U22),0)</f>
        <v>0</v>
      </c>
      <c r="S22" s="64"/>
      <c r="T22" s="64"/>
      <c r="U22" s="173">
        <v>40</v>
      </c>
      <c r="V22" s="15">
        <v>105</v>
      </c>
      <c r="W22" s="15">
        <v>64</v>
      </c>
      <c r="X22" s="15">
        <v>90</v>
      </c>
      <c r="Y22" s="613"/>
      <c r="Z22" s="610"/>
      <c r="AA22" s="15">
        <v>115</v>
      </c>
      <c r="AB22" s="15">
        <v>105</v>
      </c>
      <c r="AC22" s="15">
        <v>69</v>
      </c>
      <c r="AD22" s="141" t="s">
        <v>397</v>
      </c>
      <c r="AE22" s="141" t="s">
        <v>397</v>
      </c>
      <c r="AF22" s="15"/>
      <c r="AG22" s="141" t="s">
        <v>397</v>
      </c>
      <c r="AH22" s="15"/>
      <c r="AI22" s="141" t="s">
        <v>397</v>
      </c>
      <c r="AJ22" s="15">
        <v>90</v>
      </c>
      <c r="AK22" s="613"/>
      <c r="AL22" s="15"/>
      <c r="AM22" s="15"/>
      <c r="AN22" s="15">
        <v>146</v>
      </c>
      <c r="AO22" s="15">
        <v>90</v>
      </c>
      <c r="AP22" s="33">
        <f t="shared" si="7"/>
        <v>9</v>
      </c>
      <c r="AQ22" s="440">
        <f t="shared" si="8"/>
        <v>4</v>
      </c>
      <c r="AR22" s="441">
        <f t="shared" si="9"/>
        <v>1</v>
      </c>
      <c r="AS22" s="34">
        <f t="shared" si="10"/>
        <v>0</v>
      </c>
      <c r="AT22" s="4">
        <f t="shared" si="11"/>
        <v>3</v>
      </c>
      <c r="AU22" s="285">
        <f t="shared" si="12"/>
        <v>1</v>
      </c>
    </row>
    <row r="23" spans="1:47" x14ac:dyDescent="0.2">
      <c r="A23" s="59">
        <v>13</v>
      </c>
      <c r="B23" s="438">
        <f t="shared" si="0"/>
        <v>13</v>
      </c>
      <c r="C23" s="432">
        <f t="shared" si="1"/>
        <v>10906</v>
      </c>
      <c r="D23" s="61" t="s">
        <v>327</v>
      </c>
      <c r="E23" s="438" t="str">
        <f t="shared" si="2"/>
        <v/>
      </c>
      <c r="F23" s="431">
        <f t="shared" si="3"/>
        <v>0</v>
      </c>
      <c r="G23" s="660">
        <v>1</v>
      </c>
      <c r="H23" s="438">
        <f t="shared" si="4"/>
        <v>1</v>
      </c>
      <c r="I23" s="658">
        <f t="shared" si="5"/>
        <v>11022</v>
      </c>
      <c r="J23" s="154">
        <f t="shared" si="6"/>
        <v>15</v>
      </c>
      <c r="K23" s="139">
        <v>15</v>
      </c>
      <c r="L23" s="71" t="s">
        <v>49</v>
      </c>
      <c r="M23" s="251">
        <v>906</v>
      </c>
      <c r="N23" s="446">
        <f t="array" ref="N23">(IF(COUNT(V23,W23,AA23,AB23,AC23,AE23,AG23,AI23,AM23,AO23)&lt;7,SUM(V23,W23,AA23,AB23,AC23,AE23,AG23,AI23,AM23,AO23),SUM(LARGE((V23,W23,AA23,AB23,AC23,AE23,AG23,AI23,AM23,AO23),{1;2;3;4;5;6;7}))))+(IF(COUNT(X23,AD23,AF23,AH23,AJ23,AN23)&lt;5,SUM(X23,AD23,AF23,AH23,AJ23,AN23),SUM(LARGE((X23,AD23,AF23,AH23,AJ23,AN23),{1;2;3;4;5}))))+U23</f>
        <v>906</v>
      </c>
      <c r="O23" s="413"/>
      <c r="P23" s="405">
        <f t="array" ref="P23">IF(S23="n",((IF(COUNT(V23,W23,AA23,AB23,AC23,AE23,AG23,AI23,AM23,AO23)&lt;7,SUM(V23,W23,AA23,AB23,AC23,AE23,AG23,AI23,AM23,AO23),SUM(LARGE((V23,W23,AA23,AB23,AC23,AE23,AG23,AI23,AM23,AO23),{1;2;3;4;5;6;7}))))+(IF(COUNT(Y23,AD23,AF23,AH23,AK23,AN23)&lt;5,SUM(Y23,AD23,AF23,AH23,AK23,AN23),SUM(LARGE((Y23,AD23,AF23,AH23,AK23,AN23),{1;2;3;4;5}))))+U23),0)</f>
        <v>0</v>
      </c>
      <c r="Q23" s="661">
        <v>1022</v>
      </c>
      <c r="R23" s="405">
        <f t="array" ref="R23">IF(T23="j",((IF(COUNT(V23,W23,AA23,AB23,AC23,AE23,AG23,AI23,AM23,AO23)&lt;7,SUM(V23,W23,AA23,AB23,AC23,AE23,AG23,AI23,AM23,AO23),SUM(LARGE((V23,W23,AA23,AB23,AC23,AE23,AG23,AI23,AM23,AO23),{1;2;3;4;5;6;7}))))+(IF(COUNT(Z23,AD23,AF23,AH23,AJ23,AN23)&lt;5,SUM(Z23,AD23,AF23,AH23,AJ23,AN23),SUM(LARGE((Z23,AD23,AF23,AH23,AJ23,AN23),{1;2;3;4;5}))))+U23),0)</f>
        <v>1022</v>
      </c>
      <c r="S23" s="64"/>
      <c r="T23" s="64" t="s">
        <v>50</v>
      </c>
      <c r="U23" s="173">
        <v>1</v>
      </c>
      <c r="V23" s="15">
        <v>64</v>
      </c>
      <c r="W23" s="15">
        <v>79</v>
      </c>
      <c r="X23" s="62">
        <v>42</v>
      </c>
      <c r="Y23" s="613"/>
      <c r="Z23" s="610">
        <v>158</v>
      </c>
      <c r="AA23" s="15">
        <v>64</v>
      </c>
      <c r="AB23" s="15">
        <v>69</v>
      </c>
      <c r="AC23" s="15">
        <v>79</v>
      </c>
      <c r="AD23" s="15">
        <v>96</v>
      </c>
      <c r="AE23" s="15">
        <v>60</v>
      </c>
      <c r="AF23" s="141" t="s">
        <v>397</v>
      </c>
      <c r="AG23" s="575">
        <v>40</v>
      </c>
      <c r="AH23" s="15">
        <v>69</v>
      </c>
      <c r="AI23" s="15">
        <v>74</v>
      </c>
      <c r="AJ23" s="15">
        <v>51</v>
      </c>
      <c r="AK23" s="613"/>
      <c r="AL23" s="15"/>
      <c r="AM23" s="575">
        <v>56</v>
      </c>
      <c r="AN23" s="15">
        <v>158</v>
      </c>
      <c r="AO23" s="575">
        <v>46</v>
      </c>
      <c r="AP23" s="33">
        <f t="shared" si="7"/>
        <v>15</v>
      </c>
      <c r="AQ23" s="440">
        <f t="shared" si="8"/>
        <v>2</v>
      </c>
      <c r="AR23" s="441">
        <f t="shared" si="9"/>
        <v>0</v>
      </c>
      <c r="AS23" s="34">
        <f t="shared" si="10"/>
        <v>0</v>
      </c>
      <c r="AT23" s="4">
        <f t="shared" si="11"/>
        <v>0</v>
      </c>
      <c r="AU23" s="285">
        <f t="shared" si="12"/>
        <v>1</v>
      </c>
    </row>
    <row r="24" spans="1:47" x14ac:dyDescent="0.2">
      <c r="A24" s="59">
        <v>14</v>
      </c>
      <c r="B24" s="438">
        <f t="shared" si="0"/>
        <v>13</v>
      </c>
      <c r="C24" s="432">
        <f t="shared" si="1"/>
        <v>10906</v>
      </c>
      <c r="D24" s="61" t="s">
        <v>327</v>
      </c>
      <c r="E24" s="438" t="str">
        <f t="shared" si="2"/>
        <v/>
      </c>
      <c r="F24" s="431">
        <f t="shared" si="3"/>
        <v>0</v>
      </c>
      <c r="G24" s="660" t="s">
        <v>327</v>
      </c>
      <c r="H24" s="438" t="str">
        <f t="shared" si="4"/>
        <v/>
      </c>
      <c r="I24" s="658">
        <f t="shared" si="5"/>
        <v>0</v>
      </c>
      <c r="J24" s="154">
        <f t="shared" si="6"/>
        <v>15</v>
      </c>
      <c r="K24" s="139">
        <v>16</v>
      </c>
      <c r="L24" s="67" t="s">
        <v>60</v>
      </c>
      <c r="M24" s="251">
        <v>906</v>
      </c>
      <c r="N24" s="446">
        <f t="array" ref="N24">(IF(COUNT(V24,W24,AA24,AB24,AC24,AE24,AG24,AI24,AM24,AO24)&lt;7,SUM(V24,W24,AA24,AB24,AC24,AE24,AG24,AI24,AM24,AO24),SUM(LARGE((V24,W24,AA24,AB24,AC24,AE24,AG24,AI24,AM24,AO24),{1;2;3;4;5;6;7}))))+(IF(COUNT(X24,AD24,AF24,AH24,AJ24,AN24)&lt;5,SUM(X24,AD24,AF24,AH24,AJ24,AN24),SUM(LARGE((X24,AD24,AF24,AH24,AJ24,AN24),{1;2;3;4;5}))))+U24</f>
        <v>906</v>
      </c>
      <c r="O24" s="413"/>
      <c r="P24" s="405">
        <f t="array" ref="P24">IF(S24="n",((IF(COUNT(V24,W24,AA24,AB24,AC24,AE24,AG24,AI24,AM24,AO24)&lt;7,SUM(V24,W24,AA24,AB24,AC24,AE24,AG24,AI24,AM24,AO24),SUM(LARGE((V24,W24,AA24,AB24,AC24,AE24,AG24,AI24,AM24,AO24),{1;2;3;4;5;6;7}))))+(IF(COUNT(Y24,AD24,AF24,AH24,AK24,AN24)&lt;5,SUM(Y24,AD24,AF24,AH24,AK24,AN24),SUM(LARGE((Y24,AD24,AF24,AH24,AK24,AN24),{1;2;3;4;5}))))+U24),0)</f>
        <v>0</v>
      </c>
      <c r="Q24" s="661"/>
      <c r="R24" s="405">
        <f t="array" ref="R24">IF(T24="j",((IF(COUNT(V24,W24,AA24,AB24,AC24,AE24,AG24,AI24,AM24,AO24)&lt;7,SUM(V24,W24,AA24,AB24,AC24,AE24,AG24,AI24,AM24,AO24),SUM(LARGE((V24,W24,AA24,AB24,AC24,AE24,AG24,AI24,AM24,AO24),{1;2;3;4;5;6;7}))))+(IF(COUNT(Z24,AD24,AF24,AH24,AJ24,AN24)&lt;5,SUM(Z24,AD24,AF24,AH24,AJ24,AN24),SUM(LARGE((Z24,AD24,AF24,AH24,AJ24,AN24),{1;2;3;4;5}))))+U24),0)</f>
        <v>0</v>
      </c>
      <c r="S24" s="64"/>
      <c r="T24" s="64"/>
      <c r="U24" s="173">
        <v>64</v>
      </c>
      <c r="V24" s="15">
        <v>79</v>
      </c>
      <c r="W24" s="141" t="s">
        <v>397</v>
      </c>
      <c r="X24" s="141" t="s">
        <v>397</v>
      </c>
      <c r="Y24" s="614"/>
      <c r="Z24" s="611"/>
      <c r="AA24" s="15">
        <v>90</v>
      </c>
      <c r="AB24" s="141" t="s">
        <v>397</v>
      </c>
      <c r="AC24" s="15">
        <v>84</v>
      </c>
      <c r="AD24" s="32">
        <v>135</v>
      </c>
      <c r="AE24" s="15">
        <v>46</v>
      </c>
      <c r="AF24" s="15"/>
      <c r="AG24" s="141" t="s">
        <v>397</v>
      </c>
      <c r="AH24" s="15">
        <v>96</v>
      </c>
      <c r="AI24" s="15">
        <v>97</v>
      </c>
      <c r="AJ24" s="15"/>
      <c r="AK24" s="613"/>
      <c r="AL24" s="15"/>
      <c r="AM24" s="15">
        <v>25</v>
      </c>
      <c r="AN24" s="15">
        <v>126</v>
      </c>
      <c r="AO24" s="15">
        <v>64</v>
      </c>
      <c r="AP24" s="33">
        <f t="shared" si="7"/>
        <v>10</v>
      </c>
      <c r="AQ24" s="440">
        <f t="shared" si="8"/>
        <v>1</v>
      </c>
      <c r="AR24" s="441">
        <f t="shared" si="9"/>
        <v>0</v>
      </c>
      <c r="AS24" s="34">
        <f t="shared" si="10"/>
        <v>0</v>
      </c>
      <c r="AT24" s="4">
        <f t="shared" si="11"/>
        <v>3</v>
      </c>
      <c r="AU24" s="285">
        <f t="shared" si="12"/>
        <v>1</v>
      </c>
    </row>
    <row r="25" spans="1:47" x14ac:dyDescent="0.2">
      <c r="A25" s="59">
        <v>15</v>
      </c>
      <c r="B25" s="438">
        <f t="shared" si="0"/>
        <v>15</v>
      </c>
      <c r="C25" s="432">
        <f t="shared" si="1"/>
        <v>10861</v>
      </c>
      <c r="D25" s="61" t="s">
        <v>327</v>
      </c>
      <c r="E25" s="438" t="str">
        <f t="shared" si="2"/>
        <v/>
      </c>
      <c r="F25" s="431">
        <f t="shared" si="3"/>
        <v>0</v>
      </c>
      <c r="G25" s="660">
        <v>2</v>
      </c>
      <c r="H25" s="438">
        <f t="shared" si="4"/>
        <v>2</v>
      </c>
      <c r="I25" s="658">
        <f t="shared" si="5"/>
        <v>10918</v>
      </c>
      <c r="J25" s="154">
        <f t="shared" si="6"/>
        <v>17</v>
      </c>
      <c r="K25" s="139">
        <v>17</v>
      </c>
      <c r="L25" s="166" t="s">
        <v>345</v>
      </c>
      <c r="M25" s="139">
        <v>861</v>
      </c>
      <c r="N25" s="446">
        <f t="array" ref="N25">(IF(COUNT(V25,W25,AA25,AB25,AC25,AE25,AG25,AI25,AM25,AO25)&lt;7,SUM(V25,W25,AA25,AB25,AC25,AE25,AG25,AI25,AM25,AO25),SUM(LARGE((V25,W25,AA25,AB25,AC25,AE25,AG25,AI25,AM25,AO25),{1;2;3;4;5;6;7}))))+(IF(COUNT(X25,AD25,AF25,AH25,AJ25,AN25)&lt;5,SUM(X25,AD25,AF25,AH25,AJ25,AN25),SUM(LARGE((X25,AD25,AF25,AH25,AJ25,AN25),{1;2;3;4;5}))))+U25</f>
        <v>861</v>
      </c>
      <c r="O25" s="413"/>
      <c r="P25" s="405">
        <f t="array" ref="P25">IF(S25="n",((IF(COUNT(V25,W25,AA25,AB25,AC25,AE25,AG25,AI25,AM25,AO25)&lt;7,SUM(V25,W25,AA25,AB25,AC25,AE25,AG25,AI25,AM25,AO25),SUM(LARGE((V25,W25,AA25,AB25,AC25,AE25,AG25,AI25,AM25,AO25),{1;2;3;4;5;6;7}))))+(IF(COUNT(Y25,AD25,AF25,AH25,AK25,AN25)&lt;5,SUM(Y25,AD25,AF25,AH25,AK25,AN25),SUM(LARGE((Y25,AD25,AF25,AH25,AK25,AN25),{1;2;3;4;5}))))+U25),0)</f>
        <v>0</v>
      </c>
      <c r="Q25" s="661">
        <v>918</v>
      </c>
      <c r="R25" s="405">
        <f t="array" ref="R25">IF(T25="j",((IF(COUNT(V25,W25,AA25,AB25,AC25,AE25,AG25,AI25,AM25,AO25)&lt;7,SUM(V25,W25,AA25,AB25,AC25,AE25,AG25,AI25,AM25,AO25),SUM(LARGE((V25,W25,AA25,AB25,AC25,AE25,AG25,AI25,AM25,AO25),{1;2;3;4;5;6;7}))))+(IF(COUNT(Z25,AD25,AF25,AH25,AJ25,AN25)&lt;5,SUM(Z25,AD25,AF25,AH25,AJ25,AN25),SUM(LARGE((Z25,AD25,AF25,AH25,AJ25,AN25),{1;2;3;4;5}))))+U25),0)</f>
        <v>918</v>
      </c>
      <c r="S25" s="64"/>
      <c r="T25" s="64" t="s">
        <v>50</v>
      </c>
      <c r="U25" s="173"/>
      <c r="V25" s="15">
        <v>74</v>
      </c>
      <c r="W25" s="141" t="s">
        <v>397</v>
      </c>
      <c r="X25" s="575">
        <v>27</v>
      </c>
      <c r="Y25" s="613"/>
      <c r="Z25" s="610">
        <v>135</v>
      </c>
      <c r="AA25" s="141" t="s">
        <v>397</v>
      </c>
      <c r="AB25" s="575">
        <v>16</v>
      </c>
      <c r="AC25" s="15">
        <v>43</v>
      </c>
      <c r="AD25" s="15">
        <v>90</v>
      </c>
      <c r="AE25" s="15">
        <v>52</v>
      </c>
      <c r="AF25" s="15">
        <v>78</v>
      </c>
      <c r="AG25" s="15">
        <v>43</v>
      </c>
      <c r="AH25" s="15">
        <v>84</v>
      </c>
      <c r="AI25" s="15">
        <v>64</v>
      </c>
      <c r="AJ25" s="15">
        <v>78</v>
      </c>
      <c r="AK25" s="613"/>
      <c r="AL25" s="15"/>
      <c r="AM25" s="15">
        <v>90</v>
      </c>
      <c r="AN25" s="15">
        <v>119</v>
      </c>
      <c r="AO25" s="15">
        <v>46</v>
      </c>
      <c r="AP25" s="33">
        <f t="shared" si="7"/>
        <v>14</v>
      </c>
      <c r="AQ25" s="440">
        <f t="shared" si="8"/>
        <v>0</v>
      </c>
      <c r="AR25" s="441">
        <f t="shared" si="9"/>
        <v>0</v>
      </c>
      <c r="AS25" s="34">
        <f t="shared" si="10"/>
        <v>0</v>
      </c>
      <c r="AT25" s="582">
        <f t="shared" si="11"/>
        <v>2</v>
      </c>
      <c r="AU25" s="581">
        <f t="shared" si="12"/>
        <v>0</v>
      </c>
    </row>
    <row r="26" spans="1:47" x14ac:dyDescent="0.2">
      <c r="A26" s="60">
        <v>16</v>
      </c>
      <c r="B26" s="438">
        <f t="shared" si="0"/>
        <v>16</v>
      </c>
      <c r="C26" s="432">
        <f t="shared" si="1"/>
        <v>10843</v>
      </c>
      <c r="D26" s="61" t="s">
        <v>327</v>
      </c>
      <c r="E26" s="438" t="str">
        <f t="shared" si="2"/>
        <v/>
      </c>
      <c r="F26" s="431">
        <f t="shared" si="3"/>
        <v>0</v>
      </c>
      <c r="G26" s="660" t="s">
        <v>327</v>
      </c>
      <c r="H26" s="438" t="str">
        <f t="shared" si="4"/>
        <v/>
      </c>
      <c r="I26" s="658">
        <f t="shared" si="5"/>
        <v>0</v>
      </c>
      <c r="J26" s="154">
        <f t="shared" si="6"/>
        <v>18</v>
      </c>
      <c r="K26" s="139">
        <v>18</v>
      </c>
      <c r="L26" s="601" t="s">
        <v>61</v>
      </c>
      <c r="M26" s="139">
        <v>843</v>
      </c>
      <c r="N26" s="446">
        <f t="array" ref="N26">(IF(COUNT(V26,W26,AA26,AB26,AC26,AE26,AG26,AI26,AM26,AO26)&lt;7,SUM(V26,W26,AA26,AB26,AC26,AE26,AG26,AI26,AM26,AO26),SUM(LARGE((V26,W26,AA26,AB26,AC26,AE26,AG26,AI26,AM26,AO26),{1;2;3;4;5;6;7}))))+(IF(COUNT(X26,AD26,AF26,AH26,AJ26,AN26)&lt;5,SUM(X26,AD26,AF26,AH26,AJ26,AN26),SUM(LARGE((X26,AD26,AF26,AH26,AJ26,AN26),{1;2;3;4;5}))))+U26</f>
        <v>843</v>
      </c>
      <c r="O26" s="413"/>
      <c r="P26" s="405">
        <f t="array" ref="P26">IF(S26="n",((IF(COUNT(V26,W26,AA26,AB26,AC26,AE26,AG26,AI26,AM26,AO26)&lt;7,SUM(V26,W26,AA26,AB26,AC26,AE26,AG26,AI26,AM26,AO26),SUM(LARGE((V26,W26,AA26,AB26,AC26,AE26,AG26,AI26,AM26,AO26),{1;2;3;4;5;6;7}))))+(IF(COUNT(Y26,AD26,AF26,AH26,AK26,AN26)&lt;5,SUM(Y26,AD26,AF26,AH26,AK26,AN26),SUM(LARGE((Y26,AD26,AF26,AH26,AK26,AN26),{1;2;3;4;5}))))+U26),0)</f>
        <v>0</v>
      </c>
      <c r="Q26" s="661"/>
      <c r="R26" s="405">
        <f t="array" ref="R26">IF(T26="j",((IF(COUNT(V26,W26,AA26,AB26,AC26,AE26,AG26,AI26,AM26,AO26)&lt;7,SUM(V26,W26,AA26,AB26,AC26,AE26,AG26,AI26,AM26,AO26),SUM(LARGE((V26,W26,AA26,AB26,AC26,AE26,AG26,AI26,AM26,AO26),{1;2;3;4;5;6;7}))))+(IF(COUNT(Z26,AD26,AF26,AH26,AJ26,AN26)&lt;5,SUM(Z26,AD26,AF26,AH26,AJ26,AN26),SUM(LARGE((Z26,AD26,AF26,AH26,AJ26,AN26),{1;2;3;4;5}))))+U26),0)</f>
        <v>0</v>
      </c>
      <c r="S26" s="64"/>
      <c r="T26" s="64"/>
      <c r="U26" s="173">
        <v>115</v>
      </c>
      <c r="V26" s="141" t="s">
        <v>397</v>
      </c>
      <c r="W26" s="141" t="s">
        <v>397</v>
      </c>
      <c r="X26" s="15">
        <v>96</v>
      </c>
      <c r="Y26" s="613"/>
      <c r="Z26" s="610"/>
      <c r="AA26" s="15">
        <v>97</v>
      </c>
      <c r="AB26" s="141" t="s">
        <v>397</v>
      </c>
      <c r="AC26" s="15"/>
      <c r="AD26" s="141" t="s">
        <v>397</v>
      </c>
      <c r="AE26" s="15"/>
      <c r="AF26" s="15">
        <v>104</v>
      </c>
      <c r="AG26" s="15">
        <v>79</v>
      </c>
      <c r="AH26" s="430">
        <v>119</v>
      </c>
      <c r="AI26" s="15">
        <v>69</v>
      </c>
      <c r="AJ26" s="15"/>
      <c r="AK26" s="613"/>
      <c r="AL26" s="15"/>
      <c r="AM26" s="15"/>
      <c r="AN26" s="15">
        <v>90</v>
      </c>
      <c r="AO26" s="15">
        <v>74</v>
      </c>
      <c r="AP26" s="33">
        <f t="shared" si="7"/>
        <v>8</v>
      </c>
      <c r="AQ26" s="440">
        <f t="shared" si="8"/>
        <v>1</v>
      </c>
      <c r="AR26" s="441">
        <f t="shared" si="9"/>
        <v>0</v>
      </c>
      <c r="AS26" s="34">
        <f t="shared" si="10"/>
        <v>0</v>
      </c>
      <c r="AT26" s="4">
        <f t="shared" si="11"/>
        <v>3</v>
      </c>
      <c r="AU26" s="285">
        <f t="shared" si="12"/>
        <v>1</v>
      </c>
    </row>
    <row r="27" spans="1:47" x14ac:dyDescent="0.2">
      <c r="A27" s="59" t="s">
        <v>327</v>
      </c>
      <c r="B27" s="438" t="str">
        <f t="shared" si="0"/>
        <v/>
      </c>
      <c r="C27" s="432">
        <f t="shared" si="1"/>
        <v>0</v>
      </c>
      <c r="D27" s="61">
        <v>4</v>
      </c>
      <c r="E27" s="438">
        <f t="shared" si="2"/>
        <v>4</v>
      </c>
      <c r="F27" s="431">
        <f t="shared" si="3"/>
        <v>10905</v>
      </c>
      <c r="G27" s="660" t="s">
        <v>327</v>
      </c>
      <c r="H27" s="438" t="str">
        <f t="shared" si="4"/>
        <v/>
      </c>
      <c r="I27" s="658">
        <f t="shared" si="5"/>
        <v>0</v>
      </c>
      <c r="J27" s="154">
        <f t="shared" si="6"/>
        <v>19</v>
      </c>
      <c r="K27" s="139">
        <v>19</v>
      </c>
      <c r="L27" s="65" t="s">
        <v>37</v>
      </c>
      <c r="M27" s="139">
        <v>837</v>
      </c>
      <c r="N27" s="446">
        <f t="array" ref="N27">(IF(COUNT(V27,W27,AA27,AB27,AC27,AE27,AG27,AI27,AM27,AO27)&lt;7,SUM(V27,W27,AA27,AB27,AC27,AE27,AG27,AI27,AM27,AO27),SUM(LARGE((V27,W27,AA27,AB27,AC27,AE27,AG27,AI27,AM27,AO27),{1;2;3;4;5;6;7}))))+(IF(COUNT(X27,AD27,AF27,AH27,AJ27,AN27)&lt;5,SUM(X27,AD27,AF27,AH27,AJ27,AN27),SUM(LARGE((X27,AD27,AF27,AH27,AJ27,AN27),{1;2;3;4;5}))))+U27</f>
        <v>837</v>
      </c>
      <c r="O27" s="413">
        <v>905</v>
      </c>
      <c r="P27" s="405">
        <f t="array" ref="P27">IF(S27="n",((IF(COUNT(V27,W27,AA27,AB27,AC27,AE27,AG27,AI27,AM27,AO27)&lt;7,SUM(V27,W27,AA27,AB27,AC27,AE27,AG27,AI27,AM27,AO27),SUM(LARGE((V27,W27,AA27,AB27,AC27,AE27,AG27,AI27,AM27,AO27),{1;2;3;4;5;6;7}))))+(IF(COUNT(Y27,AD27,AF27,AH27,AK27,AN27)&lt;5,SUM(Y27,AD27,AF27,AH27,AK27,AN27),SUM(LARGE((Y27,AD27,AF27,AH27,AK27,AN27),{1;2;3;4;5}))))+U27),0)</f>
        <v>905</v>
      </c>
      <c r="Q27" s="661"/>
      <c r="R27" s="405">
        <f t="array" ref="R27">IF(T27="j",((IF(COUNT(V27,W27,AA27,AB27,AC27,AE27,AG27,AI27,AM27,AO27)&lt;7,SUM(V27,W27,AA27,AB27,AC27,AE27,AG27,AI27,AM27,AO27),SUM(LARGE((V27,W27,AA27,AB27,AC27,AE27,AG27,AI27,AM27,AO27),{1;2;3;4;5;6;7}))))+(IF(COUNT(Z27,AD27,AF27,AH27,AJ27,AN27)&lt;5,SUM(Z27,AD27,AF27,AH27,AJ27,AN27),SUM(LARGE((Z27,AD27,AF27,AH27,AJ27,AN27),{1;2;3;4;5}))))+U27),0)</f>
        <v>0</v>
      </c>
      <c r="S27" s="64" t="s">
        <v>35</v>
      </c>
      <c r="T27" s="64"/>
      <c r="U27" s="173">
        <v>43</v>
      </c>
      <c r="V27" s="15">
        <v>84</v>
      </c>
      <c r="W27" s="141" t="s">
        <v>397</v>
      </c>
      <c r="X27" s="15">
        <v>105</v>
      </c>
      <c r="Y27" s="613">
        <v>173</v>
      </c>
      <c r="Z27" s="610"/>
      <c r="AA27" s="141" t="s">
        <v>397</v>
      </c>
      <c r="AB27" s="15">
        <v>115</v>
      </c>
      <c r="AC27" s="15">
        <v>97</v>
      </c>
      <c r="AD27" s="141" t="s">
        <v>397</v>
      </c>
      <c r="AE27" s="141" t="s">
        <v>397</v>
      </c>
      <c r="AF27" s="15"/>
      <c r="AG27" s="15"/>
      <c r="AH27" s="15">
        <v>158</v>
      </c>
      <c r="AI27" s="15">
        <v>79</v>
      </c>
      <c r="AJ27" s="15"/>
      <c r="AK27" s="613"/>
      <c r="AL27" s="15"/>
      <c r="AM27" s="15"/>
      <c r="AN27" s="15">
        <v>96</v>
      </c>
      <c r="AO27" s="15">
        <v>60</v>
      </c>
      <c r="AP27" s="33">
        <f t="shared" si="7"/>
        <v>8</v>
      </c>
      <c r="AQ27" s="440">
        <f t="shared" si="8"/>
        <v>4</v>
      </c>
      <c r="AR27" s="441">
        <f t="shared" si="9"/>
        <v>2</v>
      </c>
      <c r="AS27" s="34">
        <f t="shared" si="10"/>
        <v>1</v>
      </c>
      <c r="AT27" s="4">
        <f t="shared" si="11"/>
        <v>3</v>
      </c>
      <c r="AU27" s="285">
        <f t="shared" si="12"/>
        <v>1</v>
      </c>
    </row>
    <row r="28" spans="1:47" x14ac:dyDescent="0.2">
      <c r="A28" s="59">
        <v>17</v>
      </c>
      <c r="B28" s="438">
        <f t="shared" si="0"/>
        <v>17</v>
      </c>
      <c r="C28" s="432">
        <f t="shared" si="1"/>
        <v>10810</v>
      </c>
      <c r="D28" s="61" t="s">
        <v>327</v>
      </c>
      <c r="E28" s="438" t="str">
        <f t="shared" si="2"/>
        <v/>
      </c>
      <c r="F28" s="431">
        <f t="shared" si="3"/>
        <v>0</v>
      </c>
      <c r="G28" s="660" t="s">
        <v>327</v>
      </c>
      <c r="H28" s="438" t="str">
        <f t="shared" si="4"/>
        <v/>
      </c>
      <c r="I28" s="658">
        <f t="shared" si="5"/>
        <v>0</v>
      </c>
      <c r="J28" s="154">
        <f t="shared" si="6"/>
        <v>20</v>
      </c>
      <c r="K28" s="139">
        <v>20</v>
      </c>
      <c r="L28" s="67" t="s">
        <v>436</v>
      </c>
      <c r="M28" s="251">
        <v>810</v>
      </c>
      <c r="N28" s="446">
        <f t="array" ref="N28">(IF(COUNT(V28,W28,AA28,AB28,AC28,AE28,AG28,AI28,AM28,AO28)&lt;7,SUM(V28,W28,AA28,AB28,AC28,AE28,AG28,AI28,AM28,AO28),SUM(LARGE((V28,W28,AA28,AB28,AC28,AE28,AG28,AI28,AM28,AO28),{1;2;3;4;5;6;7}))))+(IF(COUNT(X28,AD28,AF28,AH28,AJ28,AN28)&lt;5,SUM(X28,AD28,AF28,AH28,AJ28,AN28),SUM(LARGE((X28,AD28,AF28,AH28,AJ28,AN28),{1;2;3;4;5}))))+U28</f>
        <v>810</v>
      </c>
      <c r="O28" s="413"/>
      <c r="P28" s="405">
        <f t="array" ref="P28">IF(S28="n",((IF(COUNT(V28,W28,AA28,AB28,AC28,AE28,AG28,AI28,AM28,AO28)&lt;7,SUM(V28,W28,AA28,AB28,AC28,AE28,AG28,AI28,AM28,AO28),SUM(LARGE((V28,W28,AA28,AB28,AC28,AE28,AG28,AI28,AM28,AO28),{1;2;3;4;5;6;7}))))+(IF(COUNT(Y28,AD28,AF28,AH28,AK28,AN28)&lt;5,SUM(Y28,AD28,AF28,AH28,AK28,AN28),SUM(LARGE((Y28,AD28,AF28,AH28,AK28,AN28),{1;2;3;4;5}))))+U28),0)</f>
        <v>0</v>
      </c>
      <c r="Q28" s="661"/>
      <c r="R28" s="405">
        <f t="array" ref="R28">IF(T28="j",((IF(COUNT(V28,W28,AA28,AB28,AC28,AE28,AG28,AI28,AM28,AO28)&lt;7,SUM(V28,W28,AA28,AB28,AC28,AE28,AG28,AI28,AM28,AO28),SUM(LARGE((V28,W28,AA28,AB28,AC28,AE28,AG28,AI28,AM28,AO28),{1;2;3;4;5;6;7}))))+(IF(COUNT(Z28,AD28,AF28,AH28,AJ28,AN28)&lt;5,SUM(Z28,AD28,AF28,AH28,AJ28,AN28),SUM(LARGE((Z28,AD28,AF28,AH28,AJ28,AN28),{1;2;3;4;5}))))+U28),0)</f>
        <v>0</v>
      </c>
      <c r="S28" s="64"/>
      <c r="T28" s="64"/>
      <c r="U28" s="173"/>
      <c r="V28" s="141" t="s">
        <v>397</v>
      </c>
      <c r="W28" s="141" t="s">
        <v>397</v>
      </c>
      <c r="X28" s="141" t="s">
        <v>397</v>
      </c>
      <c r="Y28" s="614"/>
      <c r="Z28" s="611"/>
      <c r="AA28" s="15">
        <v>105</v>
      </c>
      <c r="AB28" s="15">
        <v>60</v>
      </c>
      <c r="AC28" s="15">
        <v>115</v>
      </c>
      <c r="AD28" s="15">
        <v>126</v>
      </c>
      <c r="AE28" s="15">
        <v>105</v>
      </c>
      <c r="AF28" s="15">
        <v>135</v>
      </c>
      <c r="AG28" s="141" t="s">
        <v>397</v>
      </c>
      <c r="AH28" s="15">
        <v>104</v>
      </c>
      <c r="AI28" s="15">
        <v>60</v>
      </c>
      <c r="AJ28" s="15"/>
      <c r="AK28" s="613"/>
      <c r="AL28" s="15"/>
      <c r="AM28" s="15"/>
      <c r="AN28" s="15"/>
      <c r="AO28" s="15"/>
      <c r="AP28" s="33">
        <f t="shared" si="7"/>
        <v>8</v>
      </c>
      <c r="AQ28" s="440">
        <f t="shared" si="8"/>
        <v>3</v>
      </c>
      <c r="AR28" s="441">
        <f t="shared" si="9"/>
        <v>1</v>
      </c>
      <c r="AS28" s="34">
        <f t="shared" si="10"/>
        <v>0</v>
      </c>
      <c r="AT28" s="4">
        <f t="shared" si="11"/>
        <v>3</v>
      </c>
      <c r="AU28" s="285">
        <f t="shared" si="12"/>
        <v>1</v>
      </c>
    </row>
    <row r="29" spans="1:47" x14ac:dyDescent="0.2">
      <c r="A29" s="59" t="s">
        <v>327</v>
      </c>
      <c r="B29" s="438" t="str">
        <f t="shared" si="0"/>
        <v/>
      </c>
      <c r="C29" s="432">
        <f t="shared" si="1"/>
        <v>0</v>
      </c>
      <c r="D29" s="61">
        <v>8</v>
      </c>
      <c r="E29" s="438">
        <f t="shared" si="2"/>
        <v>8</v>
      </c>
      <c r="F29" s="431">
        <f t="shared" si="3"/>
        <v>10810</v>
      </c>
      <c r="G29" s="660" t="s">
        <v>327</v>
      </c>
      <c r="H29" s="438" t="str">
        <f t="shared" si="4"/>
        <v/>
      </c>
      <c r="I29" s="658">
        <f t="shared" si="5"/>
        <v>0</v>
      </c>
      <c r="J29" s="154">
        <f t="shared" si="6"/>
        <v>20</v>
      </c>
      <c r="K29" s="139">
        <v>20</v>
      </c>
      <c r="L29" s="68" t="s">
        <v>435</v>
      </c>
      <c r="M29" s="251">
        <v>810</v>
      </c>
      <c r="N29" s="446">
        <f t="array" ref="N29">(IF(COUNT(V29,W29,AA29,AB29,AC29,AE29,AG29,AI29,AM29,AO29)&lt;7,SUM(V29,W29,AA29,AB29,AC29,AE29,AG29,AI29,AM29,AO29),SUM(LARGE((V29,W29,AA29,AB29,AC29,AE29,AG29,AI29,AM29,AO29),{1;2;3;4;5;6;7}))))+(IF(COUNT(X29,AD29,AF29,AH29,AJ29,AN29)&lt;5,SUM(X29,AD29,AF29,AH29,AJ29,AN29),SUM(LARGE((X29,AD29,AF29,AH29,AJ29,AN29),{1;2;3;4;5}))))+U29</f>
        <v>810</v>
      </c>
      <c r="O29" s="413">
        <v>810</v>
      </c>
      <c r="P29" s="405">
        <f t="array" ref="P29">IF(S29="n",((IF(COUNT(V29,W29,AA29,AB29,AC29,AE29,AG29,AI29,AM29,AO29)&lt;7,SUM(V29,W29,AA29,AB29,AC29,AE29,AG29,AI29,AM29,AO29),SUM(LARGE((V29,W29,AA29,AB29,AC29,AE29,AG29,AI29,AM29,AO29),{1;2;3;4;5;6;7}))))+(IF(COUNT(Y29,AD29,AF29,AH29,AK29,AN29)&lt;5,SUM(Y29,AD29,AF29,AH29,AK29,AN29),SUM(LARGE((Y29,AD29,AF29,AH29,AK29,AN29),{1;2;3;4;5}))))+U29),0)</f>
        <v>810</v>
      </c>
      <c r="Q29" s="661"/>
      <c r="R29" s="405">
        <f t="array" ref="R29">IF(T29="j",((IF(COUNT(V29,W29,AA29,AB29,AC29,AE29,AG29,AI29,AM29,AO29)&lt;7,SUM(V29,W29,AA29,AB29,AC29,AE29,AG29,AI29,AM29,AO29),SUM(LARGE((V29,W29,AA29,AB29,AC29,AE29,AG29,AI29,AM29,AO29),{1;2;3;4;5;6;7}))))+(IF(COUNT(Z29,AD29,AF29,AH29,AJ29,AN29)&lt;5,SUM(Z29,AD29,AF29,AH29,AJ29,AN29),SUM(LARGE((Z29,AD29,AF29,AH29,AJ29,AN29),{1;2;3;4;5}))))+U29),0)</f>
        <v>0</v>
      </c>
      <c r="S29" s="64" t="s">
        <v>35</v>
      </c>
      <c r="T29" s="64"/>
      <c r="U29" s="173"/>
      <c r="V29" s="141" t="s">
        <v>397</v>
      </c>
      <c r="W29" s="141" t="s">
        <v>397</v>
      </c>
      <c r="X29" s="141" t="s">
        <v>397</v>
      </c>
      <c r="Y29" s="614"/>
      <c r="Z29" s="611"/>
      <c r="AA29" s="15">
        <v>105</v>
      </c>
      <c r="AB29" s="15">
        <v>60</v>
      </c>
      <c r="AC29" s="15">
        <v>115</v>
      </c>
      <c r="AD29" s="15">
        <v>126</v>
      </c>
      <c r="AE29" s="15">
        <v>105</v>
      </c>
      <c r="AF29" s="15">
        <v>135</v>
      </c>
      <c r="AG29" s="141" t="s">
        <v>397</v>
      </c>
      <c r="AH29" s="15">
        <v>104</v>
      </c>
      <c r="AI29" s="15">
        <v>60</v>
      </c>
      <c r="AJ29" s="15"/>
      <c r="AK29" s="613"/>
      <c r="AL29" s="15"/>
      <c r="AM29" s="15"/>
      <c r="AN29" s="15"/>
      <c r="AO29" s="15"/>
      <c r="AP29" s="33">
        <f t="shared" si="7"/>
        <v>8</v>
      </c>
      <c r="AQ29" s="440">
        <f t="shared" si="8"/>
        <v>3</v>
      </c>
      <c r="AR29" s="441">
        <f t="shared" si="9"/>
        <v>1</v>
      </c>
      <c r="AS29" s="34">
        <f t="shared" si="10"/>
        <v>0</v>
      </c>
      <c r="AT29" s="4">
        <f t="shared" si="11"/>
        <v>3</v>
      </c>
      <c r="AU29" s="285">
        <f t="shared" si="12"/>
        <v>1</v>
      </c>
    </row>
    <row r="30" spans="1:47" x14ac:dyDescent="0.2">
      <c r="A30" s="59" t="s">
        <v>327</v>
      </c>
      <c r="B30" s="438" t="str">
        <f t="shared" si="0"/>
        <v/>
      </c>
      <c r="C30" s="432">
        <f t="shared" si="1"/>
        <v>0</v>
      </c>
      <c r="D30" s="61">
        <v>6</v>
      </c>
      <c r="E30" s="438">
        <f t="shared" si="2"/>
        <v>6</v>
      </c>
      <c r="F30" s="431">
        <f t="shared" si="3"/>
        <v>10851</v>
      </c>
      <c r="G30" s="660" t="s">
        <v>327</v>
      </c>
      <c r="H30" s="438" t="str">
        <f t="shared" si="4"/>
        <v/>
      </c>
      <c r="I30" s="658">
        <f t="shared" si="5"/>
        <v>0</v>
      </c>
      <c r="J30" s="154">
        <f t="shared" si="6"/>
        <v>22</v>
      </c>
      <c r="K30" s="139">
        <v>22</v>
      </c>
      <c r="L30" s="65" t="s">
        <v>48</v>
      </c>
      <c r="M30" s="139">
        <v>786</v>
      </c>
      <c r="N30" s="446">
        <f t="array" ref="N30">(IF(COUNT(V30,W30,AA30,AB30,AC30,AE30,AG30,AI30,AM30,AO30)&lt;7,SUM(V30,W30,AA30,AB30,AC30,AE30,AG30,AI30,AM30,AO30),SUM(LARGE((V30,W30,AA30,AB30,AC30,AE30,AG30,AI30,AM30,AO30),{1;2;3;4;5;6;7}))))+(IF(COUNT(X30,AD30,AF30,AH30,AJ30,AN30)&lt;5,SUM(X30,AD30,AF30,AH30,AJ30,AN30),SUM(LARGE((X30,AD30,AF30,AH30,AJ30,AN30),{1;2;3;4;5}))))+U30</f>
        <v>786</v>
      </c>
      <c r="O30" s="413">
        <v>851</v>
      </c>
      <c r="P30" s="405">
        <f t="array" ref="P30">IF(S30="n",((IF(COUNT(V30,W30,AA30,AB30,AC30,AE30,AG30,AI30,AM30,AO30)&lt;7,SUM(V30,W30,AA30,AB30,AC30,AE30,AG30,AI30,AM30,AO30),SUM(LARGE((V30,W30,AA30,AB30,AC30,AE30,AG30,AI30,AM30,AO30),{1;2;3;4;5;6;7}))))+(IF(COUNT(Y30,AD30,AF30,AH30,AK30,AN30)&lt;5,SUM(Y30,AD30,AF30,AH30,AK30,AN30),SUM(LARGE((Y30,AD30,AF30,AH30,AK30,AN30),{1;2;3;4;5}))))+U30),0)</f>
        <v>851</v>
      </c>
      <c r="Q30" s="661"/>
      <c r="R30" s="405">
        <f t="array" ref="R30">IF(T30="j",((IF(COUNT(V30,W30,AA30,AB30,AC30,AE30,AG30,AI30,AM30,AO30)&lt;7,SUM(V30,W30,AA30,AB30,AC30,AE30,AG30,AI30,AM30,AO30),SUM(LARGE((V30,W30,AA30,AB30,AC30,AE30,AG30,AI30,AM30,AO30),{1;2;3;4;5;6;7}))))+(IF(COUNT(Z30,AD30,AF30,AH30,AJ30,AN30)&lt;5,SUM(Z30,AD30,AF30,AH30,AJ30,AN30),SUM(LARGE((Z30,AD30,AF30,AH30,AJ30,AN30),{1;2;3;4;5}))))+U30),0)</f>
        <v>0</v>
      </c>
      <c r="S30" s="64" t="s">
        <v>35</v>
      </c>
      <c r="T30" s="64"/>
      <c r="U30" s="173">
        <v>14</v>
      </c>
      <c r="V30" s="15">
        <v>84</v>
      </c>
      <c r="W30" s="15">
        <v>74</v>
      </c>
      <c r="X30" s="141" t="s">
        <v>397</v>
      </c>
      <c r="Y30" s="614"/>
      <c r="Z30" s="611"/>
      <c r="AA30" s="141" t="s">
        <v>397</v>
      </c>
      <c r="AB30" s="15">
        <v>90</v>
      </c>
      <c r="AC30" s="15">
        <v>97</v>
      </c>
      <c r="AD30" s="32"/>
      <c r="AE30" s="141" t="s">
        <v>397</v>
      </c>
      <c r="AF30" s="15"/>
      <c r="AG30" s="141" t="s">
        <v>397</v>
      </c>
      <c r="AH30" s="15">
        <v>90</v>
      </c>
      <c r="AI30" s="15">
        <v>79</v>
      </c>
      <c r="AJ30" s="15">
        <v>93</v>
      </c>
      <c r="AK30" s="613">
        <v>158</v>
      </c>
      <c r="AL30" s="15"/>
      <c r="AM30" s="15"/>
      <c r="AN30" s="15">
        <v>96</v>
      </c>
      <c r="AO30" s="15">
        <v>69</v>
      </c>
      <c r="AP30" s="33">
        <f t="shared" si="7"/>
        <v>9</v>
      </c>
      <c r="AQ30" s="440">
        <f t="shared" si="8"/>
        <v>2</v>
      </c>
      <c r="AR30" s="441">
        <f t="shared" si="9"/>
        <v>0</v>
      </c>
      <c r="AS30" s="34">
        <f t="shared" si="10"/>
        <v>0</v>
      </c>
      <c r="AT30" s="4">
        <f t="shared" si="11"/>
        <v>3</v>
      </c>
      <c r="AU30" s="285">
        <f t="shared" si="12"/>
        <v>1</v>
      </c>
    </row>
    <row r="31" spans="1:47" x14ac:dyDescent="0.2">
      <c r="A31" s="59" t="s">
        <v>327</v>
      </c>
      <c r="B31" s="438" t="str">
        <f t="shared" si="0"/>
        <v/>
      </c>
      <c r="C31" s="432">
        <f t="shared" si="1"/>
        <v>0</v>
      </c>
      <c r="D31" s="61">
        <v>3</v>
      </c>
      <c r="E31" s="438">
        <f t="shared" si="2"/>
        <v>3</v>
      </c>
      <c r="F31" s="431">
        <f t="shared" si="3"/>
        <v>10906</v>
      </c>
      <c r="G31" s="660" t="s">
        <v>327</v>
      </c>
      <c r="H31" s="438" t="str">
        <f t="shared" si="4"/>
        <v/>
      </c>
      <c r="I31" s="658">
        <f t="shared" si="5"/>
        <v>0</v>
      </c>
      <c r="J31" s="154">
        <f t="shared" si="6"/>
        <v>23</v>
      </c>
      <c r="K31" s="139">
        <v>23</v>
      </c>
      <c r="L31" s="65" t="s">
        <v>56</v>
      </c>
      <c r="M31" s="139">
        <v>783</v>
      </c>
      <c r="N31" s="446">
        <f t="array" ref="N31">(IF(COUNT(V31,W31,AA31,AB31,AC31,AE31,AG31,AI31,AM31,AO31)&lt;7,SUM(V31,W31,AA31,AB31,AC31,AE31,AG31,AI31,AM31,AO31),SUM(LARGE((V31,W31,AA31,AB31,AC31,AE31,AG31,AI31,AM31,AO31),{1;2;3;4;5;6;7}))))+(IF(COUNT(X31,AD31,AF31,AH31,AJ31,AN31)&lt;5,SUM(X31,AD31,AF31,AH31,AJ31,AN31),SUM(LARGE((X31,AD31,AF31,AH31,AJ31,AN31),{1;2;3;4;5}))))+U31</f>
        <v>783</v>
      </c>
      <c r="O31" s="413">
        <v>906</v>
      </c>
      <c r="P31" s="405">
        <f t="array" ref="P31">IF(S31="n",((IF(COUNT(V31,W31,AA31,AB31,AC31,AE31,AG31,AI31,AM31,AO31)&lt;7,SUM(V31,W31,AA31,AB31,AC31,AE31,AG31,AI31,AM31,AO31),SUM(LARGE((V31,W31,AA31,AB31,AC31,AE31,AG31,AI31,AM31,AO31),{1;2;3;4;5;6;7}))))+(IF(COUNT(Y31,AD31,AF31,AH31,AK31,AN31)&lt;5,SUM(Y31,AD31,AF31,AH31,AK31,AN31),SUM(LARGE((Y31,AD31,AF31,AH31,AK31,AN31),{1;2;3;4;5}))))+U31),0)</f>
        <v>906</v>
      </c>
      <c r="Q31" s="661"/>
      <c r="R31" s="405">
        <f t="array" ref="R31">IF(T31="j",((IF(COUNT(V31,W31,AA31,AB31,AC31,AE31,AG31,AI31,AM31,AO31)&lt;7,SUM(V31,W31,AA31,AB31,AC31,AE31,AG31,AI31,AM31,AO31),SUM(LARGE((V31,W31,AA31,AB31,AC31,AE31,AG31,AI31,AM31,AO31),{1;2;3;4;5;6;7}))))+(IF(COUNT(Z31,AD31,AF31,AH31,AJ31,AN31)&lt;5,SUM(Z31,AD31,AF31,AH31,AJ31,AN31),SUM(LARGE((Z31,AD31,AF31,AH31,AJ31,AN31),{1;2;3;4;5}))))+U31),0)</f>
        <v>0</v>
      </c>
      <c r="S31" s="64" t="s">
        <v>35</v>
      </c>
      <c r="T31" s="64"/>
      <c r="U31" s="173">
        <v>1</v>
      </c>
      <c r="V31" s="15">
        <v>97</v>
      </c>
      <c r="W31" s="15">
        <v>56</v>
      </c>
      <c r="X31" s="15">
        <v>57</v>
      </c>
      <c r="Y31" s="613">
        <v>119</v>
      </c>
      <c r="Z31" s="610"/>
      <c r="AA31" s="15">
        <v>69</v>
      </c>
      <c r="AB31" s="15">
        <v>52</v>
      </c>
      <c r="AC31" s="575">
        <v>40</v>
      </c>
      <c r="AD31" s="141" t="s">
        <v>397</v>
      </c>
      <c r="AE31" s="141" t="s">
        <v>397</v>
      </c>
      <c r="AF31" s="15">
        <v>84</v>
      </c>
      <c r="AG31" s="15">
        <v>43</v>
      </c>
      <c r="AH31" s="15">
        <v>60</v>
      </c>
      <c r="AI31" s="15">
        <v>52</v>
      </c>
      <c r="AJ31" s="15">
        <v>50</v>
      </c>
      <c r="AK31" s="613">
        <v>111</v>
      </c>
      <c r="AL31" s="15"/>
      <c r="AM31" s="15">
        <v>43</v>
      </c>
      <c r="AN31" s="15">
        <v>119</v>
      </c>
      <c r="AO31" s="575">
        <v>40</v>
      </c>
      <c r="AP31" s="33">
        <f t="shared" si="7"/>
        <v>14</v>
      </c>
      <c r="AQ31" s="440">
        <f t="shared" si="8"/>
        <v>1</v>
      </c>
      <c r="AR31" s="441">
        <f t="shared" si="9"/>
        <v>0</v>
      </c>
      <c r="AS31" s="34">
        <f t="shared" si="10"/>
        <v>0</v>
      </c>
      <c r="AT31" s="4">
        <f t="shared" si="11"/>
        <v>1</v>
      </c>
      <c r="AU31" s="285">
        <f t="shared" si="12"/>
        <v>1</v>
      </c>
    </row>
    <row r="32" spans="1:47" x14ac:dyDescent="0.2">
      <c r="A32" s="59" t="s">
        <v>327</v>
      </c>
      <c r="B32" s="438" t="str">
        <f t="shared" si="0"/>
        <v/>
      </c>
      <c r="C32" s="432">
        <f t="shared" si="1"/>
        <v>0</v>
      </c>
      <c r="D32" s="61">
        <v>7</v>
      </c>
      <c r="E32" s="438">
        <f t="shared" si="2"/>
        <v>7</v>
      </c>
      <c r="F32" s="431">
        <f t="shared" si="3"/>
        <v>10811</v>
      </c>
      <c r="G32" s="660" t="s">
        <v>327</v>
      </c>
      <c r="H32" s="438" t="str">
        <f t="shared" si="4"/>
        <v/>
      </c>
      <c r="I32" s="658">
        <f t="shared" si="5"/>
        <v>0</v>
      </c>
      <c r="J32" s="154">
        <f t="shared" si="6"/>
        <v>24</v>
      </c>
      <c r="K32" s="139">
        <v>24</v>
      </c>
      <c r="L32" s="65" t="s">
        <v>54</v>
      </c>
      <c r="M32" s="139">
        <v>750</v>
      </c>
      <c r="N32" s="446">
        <f t="array" ref="N32">(IF(COUNT(V32,W32,AA32,AB32,AC32,AE32,AG32,AI32,AM32,AO32)&lt;7,SUM(V32,W32,AA32,AB32,AC32,AE32,AG32,AI32,AM32,AO32),SUM(LARGE((V32,W32,AA32,AB32,AC32,AE32,AG32,AI32,AM32,AO32),{1;2;3;4;5;6;7}))))+(IF(COUNT(X32,AD32,AF32,AH32,AJ32,AN32)&lt;5,SUM(X32,AD32,AF32,AH32,AJ32,AN32),SUM(LARGE((X32,AD32,AF32,AH32,AJ32,AN32),{1;2;3;4;5}))))+U32</f>
        <v>750</v>
      </c>
      <c r="O32" s="413">
        <v>811</v>
      </c>
      <c r="P32" s="405">
        <f t="array" ref="P32">IF(S32="n",((IF(COUNT(V32,W32,AA32,AB32,AC32,AE32,AG32,AI32,AM32,AO32)&lt;7,SUM(V32,W32,AA32,AB32,AC32,AE32,AG32,AI32,AM32,AO32),SUM(LARGE((V32,W32,AA32,AB32,AC32,AE32,AG32,AI32,AM32,AO32),{1;2;3;4;5;6;7}))))+(IF(COUNT(Y32,AD32,AF32,AH32,AK32,AN32)&lt;5,SUM(Y32,AD32,AF32,AH32,AK32,AN32),SUM(LARGE((Y32,AD32,AF32,AH32,AK32,AN32),{1;2;3;4;5}))))+U32),0)</f>
        <v>811</v>
      </c>
      <c r="Q32" s="661"/>
      <c r="R32" s="405">
        <f t="array" ref="R32">IF(T32="j",((IF(COUNT(V32,W32,AA32,AB32,AC32,AE32,AG32,AI32,AM32,AO32)&lt;7,SUM(V32,W32,AA32,AB32,AC32,AE32,AG32,AI32,AM32,AO32),SUM(LARGE((V32,W32,AA32,AB32,AC32,AE32,AG32,AI32,AM32,AO32),{1;2;3;4;5;6;7}))))+(IF(COUNT(Z32,AD32,AF32,AH32,AJ32,AN32)&lt;5,SUM(Z32,AD32,AF32,AH32,AJ32,AN32),SUM(LARGE((Z32,AD32,AF32,AH32,AJ32,AN32),{1;2;3;4;5}))))+U32),0)</f>
        <v>0</v>
      </c>
      <c r="S32" s="64" t="s">
        <v>35</v>
      </c>
      <c r="T32" s="64"/>
      <c r="U32" s="173">
        <v>90</v>
      </c>
      <c r="V32" s="141" t="s">
        <v>397</v>
      </c>
      <c r="W32" s="141" t="s">
        <v>397</v>
      </c>
      <c r="X32" s="15">
        <v>50</v>
      </c>
      <c r="Y32" s="613">
        <v>111</v>
      </c>
      <c r="Z32" s="610"/>
      <c r="AA32" s="15">
        <v>60</v>
      </c>
      <c r="AB32" s="141" t="s">
        <v>397</v>
      </c>
      <c r="AC32" s="15"/>
      <c r="AD32" s="141" t="s">
        <v>397</v>
      </c>
      <c r="AE32" s="15"/>
      <c r="AF32" s="15">
        <v>104</v>
      </c>
      <c r="AG32" s="15">
        <v>79</v>
      </c>
      <c r="AH32" s="15">
        <v>119</v>
      </c>
      <c r="AI32" s="15">
        <v>84</v>
      </c>
      <c r="AJ32" s="15"/>
      <c r="AK32" s="613"/>
      <c r="AL32" s="15"/>
      <c r="AM32" s="15"/>
      <c r="AN32" s="15">
        <v>90</v>
      </c>
      <c r="AO32" s="15">
        <v>74</v>
      </c>
      <c r="AP32" s="33">
        <f t="shared" si="7"/>
        <v>8</v>
      </c>
      <c r="AQ32" s="440">
        <f t="shared" si="8"/>
        <v>0</v>
      </c>
      <c r="AR32" s="441">
        <f t="shared" si="9"/>
        <v>0</v>
      </c>
      <c r="AS32" s="34">
        <f t="shared" si="10"/>
        <v>0</v>
      </c>
      <c r="AT32" s="4">
        <f t="shared" si="11"/>
        <v>3</v>
      </c>
      <c r="AU32" s="285">
        <f t="shared" si="12"/>
        <v>1</v>
      </c>
    </row>
    <row r="33" spans="1:47" x14ac:dyDescent="0.2">
      <c r="A33" s="59" t="s">
        <v>327</v>
      </c>
      <c r="B33" s="438" t="str">
        <f t="shared" si="0"/>
        <v/>
      </c>
      <c r="C33" s="432">
        <f t="shared" si="1"/>
        <v>0</v>
      </c>
      <c r="D33" s="61">
        <v>5</v>
      </c>
      <c r="E33" s="438">
        <f t="shared" si="2"/>
        <v>5</v>
      </c>
      <c r="F33" s="431">
        <f t="shared" si="3"/>
        <v>10871</v>
      </c>
      <c r="G33" s="660" t="s">
        <v>327</v>
      </c>
      <c r="H33" s="438" t="str">
        <f t="shared" si="4"/>
        <v/>
      </c>
      <c r="I33" s="658">
        <f t="shared" si="5"/>
        <v>0</v>
      </c>
      <c r="J33" s="154">
        <f t="shared" si="6"/>
        <v>25</v>
      </c>
      <c r="K33" s="139">
        <v>25</v>
      </c>
      <c r="L33" s="69" t="s">
        <v>63</v>
      </c>
      <c r="M33" s="139">
        <v>748</v>
      </c>
      <c r="N33" s="446">
        <f t="array" ref="N33">(IF(COUNT(V33,W33,AA33,AB33,AC33,AE33,AG33,AI33,AM33,AO33)&lt;7,SUM(V33,W33,AA33,AB33,AC33,AE33,AG33,AI33,AM33,AO33),SUM(LARGE((V33,W33,AA33,AB33,AC33,AE33,AG33,AI33,AM33,AO33),{1;2;3;4;5;6;7}))))+(IF(COUNT(X33,AD33,AF33,AH33,AJ33,AN33)&lt;5,SUM(X33,AD33,AF33,AH33,AJ33,AN33),SUM(LARGE((X33,AD33,AF33,AH33,AJ33,AN33),{1;2;3;4;5}))))+U33</f>
        <v>748</v>
      </c>
      <c r="O33" s="413">
        <v>871</v>
      </c>
      <c r="P33" s="405">
        <f t="array" ref="P33">IF(S33="n",((IF(COUNT(V33,W33,AA33,AB33,AC33,AE33,AG33,AI33,AM33,AO33)&lt;7,SUM(V33,W33,AA33,AB33,AC33,AE33,AG33,AI33,AM33,AO33),SUM(LARGE((V33,W33,AA33,AB33,AC33,AE33,AG33,AI33,AM33,AO33),{1;2;3;4;5;6;7}))))+(IF(COUNT(Y33,AD33,AF33,AH33,AK33,AN33)&lt;5,SUM(Y33,AD33,AF33,AH33,AK33,AN33),SUM(LARGE((Y33,AD33,AF33,AH33,AK33,AN33),{1;2;3;4;5}))))+U33),0)</f>
        <v>871</v>
      </c>
      <c r="Q33" s="661"/>
      <c r="R33" s="405">
        <f t="array" ref="R33">IF(T33="j",((IF(COUNT(V33,W33,AA33,AB33,AC33,AE33,AG33,AI33,AM33,AO33)&lt;7,SUM(V33,W33,AA33,AB33,AC33,AE33,AG33,AI33,AM33,AO33),SUM(LARGE((V33,W33,AA33,AB33,AC33,AE33,AG33,AI33,AM33,AO33),{1;2;3;4;5;6;7}))))+(IF(COUNT(Z33,AD33,AF33,AH33,AJ33,AN33)&lt;5,SUM(Z33,AD33,AF33,AH33,AJ33,AN33),SUM(LARGE((Z33,AD33,AF33,AH33,AJ33,AN33),{1;2;3;4;5}))))+U33),0)</f>
        <v>0</v>
      </c>
      <c r="S33" s="64" t="s">
        <v>35</v>
      </c>
      <c r="T33" s="64"/>
      <c r="U33" s="173">
        <v>8</v>
      </c>
      <c r="V33" s="15">
        <v>97</v>
      </c>
      <c r="W33" s="15">
        <v>97</v>
      </c>
      <c r="X33" s="15">
        <v>74</v>
      </c>
      <c r="Y33" s="613">
        <v>135</v>
      </c>
      <c r="Z33" s="610"/>
      <c r="AA33" s="15">
        <v>69</v>
      </c>
      <c r="AB33" s="15">
        <v>19</v>
      </c>
      <c r="AC33" s="15">
        <v>40</v>
      </c>
      <c r="AD33" s="15">
        <v>158</v>
      </c>
      <c r="AE33" s="15">
        <v>69</v>
      </c>
      <c r="AF33" s="141" t="s">
        <v>397</v>
      </c>
      <c r="AG33" s="141" t="s">
        <v>397</v>
      </c>
      <c r="AH33" s="15"/>
      <c r="AI33" s="141" t="s">
        <v>397</v>
      </c>
      <c r="AJ33" s="15">
        <v>57</v>
      </c>
      <c r="AK33" s="613">
        <v>119</v>
      </c>
      <c r="AL33" s="15"/>
      <c r="AM33" s="15">
        <v>60</v>
      </c>
      <c r="AN33" s="15"/>
      <c r="AO33" s="141" t="s">
        <v>397</v>
      </c>
      <c r="AP33" s="33">
        <f t="shared" si="7"/>
        <v>10</v>
      </c>
      <c r="AQ33" s="440">
        <f t="shared" si="8"/>
        <v>3</v>
      </c>
      <c r="AR33" s="441">
        <f t="shared" si="9"/>
        <v>0</v>
      </c>
      <c r="AS33" s="34">
        <f t="shared" si="10"/>
        <v>0</v>
      </c>
      <c r="AT33" s="4">
        <f t="shared" si="11"/>
        <v>3</v>
      </c>
      <c r="AU33" s="285">
        <f t="shared" si="12"/>
        <v>1</v>
      </c>
    </row>
    <row r="34" spans="1:47" x14ac:dyDescent="0.2">
      <c r="A34" s="59" t="s">
        <v>327</v>
      </c>
      <c r="B34" s="438" t="str">
        <f t="shared" si="0"/>
        <v/>
      </c>
      <c r="C34" s="432">
        <f t="shared" si="1"/>
        <v>0</v>
      </c>
      <c r="D34" s="61">
        <v>9</v>
      </c>
      <c r="E34" s="438">
        <f t="shared" si="2"/>
        <v>9</v>
      </c>
      <c r="F34" s="431">
        <f t="shared" si="3"/>
        <v>10729</v>
      </c>
      <c r="G34" s="660" t="s">
        <v>327</v>
      </c>
      <c r="H34" s="438" t="str">
        <f t="shared" si="4"/>
        <v/>
      </c>
      <c r="I34" s="658">
        <f t="shared" si="5"/>
        <v>0</v>
      </c>
      <c r="J34" s="154">
        <f t="shared" si="6"/>
        <v>26</v>
      </c>
      <c r="K34" s="139">
        <v>26</v>
      </c>
      <c r="L34" s="65" t="s">
        <v>59</v>
      </c>
      <c r="M34" s="139">
        <v>729</v>
      </c>
      <c r="N34" s="446">
        <f t="array" ref="N34">(IF(COUNT(V34,W34,AA34,AB34,AC34,AE34,AG34,AI34,AM34,AO34)&lt;7,SUM(V34,W34,AA34,AB34,AC34,AE34,AG34,AI34,AM34,AO34),SUM(LARGE((V34,W34,AA34,AB34,AC34,AE34,AG34,AI34,AM34,AO34),{1;2;3;4;5;6;7}))))+(IF(COUNT(X34,AD34,AF34,AH34,AJ34,AN34)&lt;5,SUM(X34,AD34,AF34,AH34,AJ34,AN34),SUM(LARGE((X34,AD34,AF34,AH34,AJ34,AN34),{1;2;3;4;5}))))+U34</f>
        <v>729</v>
      </c>
      <c r="O34" s="413">
        <v>729</v>
      </c>
      <c r="P34" s="405">
        <f t="array" ref="P34">IF(S34="n",((IF(COUNT(V34,W34,AA34,AB34,AC34,AE34,AG34,AI34,AM34,AO34)&lt;7,SUM(V34,W34,AA34,AB34,AC34,AE34,AG34,AI34,AM34,AO34),SUM(LARGE((V34,W34,AA34,AB34,AC34,AE34,AG34,AI34,AM34,AO34),{1;2;3;4;5;6;7}))))+(IF(COUNT(Y34,AD34,AF34,AH34,AK34,AN34)&lt;5,SUM(Y34,AD34,AF34,AH34,AK34,AN34),SUM(LARGE((Y34,AD34,AF34,AH34,AK34,AN34),{1;2;3;4;5}))))+U34),0)</f>
        <v>729</v>
      </c>
      <c r="Q34" s="661"/>
      <c r="R34" s="405">
        <f t="array" ref="R34">IF(T34="j",((IF(COUNT(V34,W34,AA34,AB34,AC34,AE34,AG34,AI34,AM34,AO34)&lt;7,SUM(V34,W34,AA34,AB34,AC34,AE34,AG34,AI34,AM34,AO34),SUM(LARGE((V34,W34,AA34,AB34,AC34,AE34,AG34,AI34,AM34,AO34),{1;2;3;4;5;6;7}))))+(IF(COUNT(Z34,AD34,AF34,AH34,AJ34,AN34)&lt;5,SUM(Z34,AD34,AF34,AH34,AJ34,AN34),SUM(LARGE((Z34,AD34,AF34,AH34,AJ34,AN34),{1;2;3;4;5}))))+U34),0)</f>
        <v>0</v>
      </c>
      <c r="S34" s="64" t="s">
        <v>35</v>
      </c>
      <c r="T34" s="64"/>
      <c r="U34" s="173">
        <v>22</v>
      </c>
      <c r="V34" s="15">
        <v>90</v>
      </c>
      <c r="W34" s="15">
        <v>105</v>
      </c>
      <c r="X34" s="141" t="s">
        <v>397</v>
      </c>
      <c r="Y34" s="614"/>
      <c r="Z34" s="611"/>
      <c r="AA34" s="141" t="s">
        <v>397</v>
      </c>
      <c r="AB34" s="15">
        <v>25</v>
      </c>
      <c r="AC34" s="15">
        <v>56</v>
      </c>
      <c r="AD34" s="32">
        <v>119</v>
      </c>
      <c r="AE34" s="15">
        <v>43</v>
      </c>
      <c r="AF34" s="15">
        <v>90</v>
      </c>
      <c r="AG34" s="15">
        <v>105</v>
      </c>
      <c r="AH34" s="15"/>
      <c r="AI34" s="141" t="s">
        <v>397</v>
      </c>
      <c r="AJ34" s="15"/>
      <c r="AK34" s="613"/>
      <c r="AL34" s="15"/>
      <c r="AM34" s="15">
        <v>74</v>
      </c>
      <c r="AN34" s="15"/>
      <c r="AO34" s="141" t="s">
        <v>397</v>
      </c>
      <c r="AP34" s="33">
        <f t="shared" si="7"/>
        <v>9</v>
      </c>
      <c r="AQ34" s="440">
        <f t="shared" si="8"/>
        <v>2</v>
      </c>
      <c r="AR34" s="441">
        <f t="shared" si="9"/>
        <v>0</v>
      </c>
      <c r="AS34" s="34">
        <f t="shared" si="10"/>
        <v>0</v>
      </c>
      <c r="AT34" s="4">
        <f t="shared" si="11"/>
        <v>3</v>
      </c>
      <c r="AU34" s="285">
        <f t="shared" si="12"/>
        <v>1</v>
      </c>
    </row>
    <row r="35" spans="1:47" x14ac:dyDescent="0.2">
      <c r="A35" s="59">
        <v>18</v>
      </c>
      <c r="B35" s="438">
        <f t="shared" si="0"/>
        <v>18</v>
      </c>
      <c r="C35" s="432">
        <f t="shared" si="1"/>
        <v>10715</v>
      </c>
      <c r="D35" s="61" t="s">
        <v>327</v>
      </c>
      <c r="E35" s="438" t="str">
        <f t="shared" si="2"/>
        <v/>
      </c>
      <c r="F35" s="431">
        <f t="shared" si="3"/>
        <v>0</v>
      </c>
      <c r="G35" s="660" t="s">
        <v>327</v>
      </c>
      <c r="H35" s="438" t="str">
        <f t="shared" si="4"/>
        <v/>
      </c>
      <c r="I35" s="658">
        <f t="shared" si="5"/>
        <v>0</v>
      </c>
      <c r="J35" s="154">
        <f t="shared" si="6"/>
        <v>27</v>
      </c>
      <c r="K35" s="139">
        <v>27</v>
      </c>
      <c r="L35" s="601" t="s">
        <v>77</v>
      </c>
      <c r="M35" s="139">
        <v>715</v>
      </c>
      <c r="N35" s="446">
        <f t="array" ref="N35">(IF(COUNT(V35,W35,AA35,AB35,AC35,AE35,AG35,AI35,AM35,AO35)&lt;7,SUM(V35,W35,AA35,AB35,AC35,AE35,AG35,AI35,AM35,AO35),SUM(LARGE((V35,W35,AA35,AB35,AC35,AE35,AG35,AI35,AM35,AO35),{1;2;3;4;5;6;7}))))+(IF(COUNT(X35,AD35,AF35,AH35,AJ35,AN35)&lt;5,SUM(X35,AD35,AF35,AH35,AJ35,AN35),SUM(LARGE((X35,AD35,AF35,AH35,AJ35,AN35),{1;2;3;4;5}))))+U35</f>
        <v>715</v>
      </c>
      <c r="O35" s="413"/>
      <c r="P35" s="405">
        <f t="array" ref="P35">IF(S35="n",((IF(COUNT(V35,W35,AA35,AB35,AC35,AE35,AG35,AI35,AM35,AO35)&lt;7,SUM(V35,W35,AA35,AB35,AC35,AE35,AG35,AI35,AM35,AO35),SUM(LARGE((V35,W35,AA35,AB35,AC35,AE35,AG35,AI35,AM35,AO35),{1;2;3;4;5;6;7}))))+(IF(COUNT(Y35,AD35,AF35,AH35,AK35,AN35)&lt;5,SUM(Y35,AD35,AF35,AH35,AK35,AN35),SUM(LARGE((Y35,AD35,AF35,AH35,AK35,AN35),{1;2;3;4;5}))))+U35),0)</f>
        <v>0</v>
      </c>
      <c r="Q35" s="661"/>
      <c r="R35" s="405">
        <f t="array" ref="R35">IF(T35="j",((IF(COUNT(V35,W35,AA35,AB35,AC35,AE35,AG35,AI35,AM35,AO35)&lt;7,SUM(V35,W35,AA35,AB35,AC35,AE35,AG35,AI35,AM35,AO35),SUM(LARGE((V35,W35,AA35,AB35,AC35,AE35,AG35,AI35,AM35,AO35),{1;2;3;4;5;6;7}))))+(IF(COUNT(Z35,AD35,AF35,AH35,AJ35,AN35)&lt;5,SUM(Z35,AD35,AF35,AH35,AJ35,AN35),SUM(LARGE((Z35,AD35,AF35,AH35,AJ35,AN35),{1;2;3;4;5}))))+U35),0)</f>
        <v>0</v>
      </c>
      <c r="S35" s="64"/>
      <c r="T35" s="64"/>
      <c r="U35" s="173">
        <v>74</v>
      </c>
      <c r="V35" s="15">
        <v>90</v>
      </c>
      <c r="W35" s="15">
        <v>90</v>
      </c>
      <c r="X35" s="141" t="s">
        <v>397</v>
      </c>
      <c r="Y35" s="614"/>
      <c r="Z35" s="611"/>
      <c r="AA35" s="141" t="s">
        <v>397</v>
      </c>
      <c r="AB35" s="15">
        <v>84</v>
      </c>
      <c r="AC35" s="141" t="s">
        <v>397</v>
      </c>
      <c r="AD35" s="32">
        <v>119</v>
      </c>
      <c r="AE35" s="15">
        <v>74</v>
      </c>
      <c r="AF35" s="15"/>
      <c r="AG35" s="141" t="s">
        <v>397</v>
      </c>
      <c r="AH35" s="15"/>
      <c r="AI35" s="15"/>
      <c r="AJ35" s="15"/>
      <c r="AK35" s="613"/>
      <c r="AL35" s="15"/>
      <c r="AM35" s="15">
        <v>49</v>
      </c>
      <c r="AN35" s="15">
        <v>135</v>
      </c>
      <c r="AO35" s="15"/>
      <c r="AP35" s="33">
        <f t="shared" si="7"/>
        <v>7</v>
      </c>
      <c r="AQ35" s="440">
        <f t="shared" si="8"/>
        <v>0</v>
      </c>
      <c r="AR35" s="441">
        <f t="shared" si="9"/>
        <v>0</v>
      </c>
      <c r="AS35" s="34">
        <f t="shared" si="10"/>
        <v>0</v>
      </c>
      <c r="AT35" s="4">
        <f t="shared" si="11"/>
        <v>3</v>
      </c>
      <c r="AU35" s="285">
        <f t="shared" si="12"/>
        <v>1</v>
      </c>
    </row>
    <row r="36" spans="1:47" x14ac:dyDescent="0.2">
      <c r="A36" s="59" t="s">
        <v>327</v>
      </c>
      <c r="B36" s="438" t="str">
        <f t="shared" si="0"/>
        <v/>
      </c>
      <c r="C36" s="432">
        <f t="shared" si="1"/>
        <v>0</v>
      </c>
      <c r="D36" s="61">
        <v>10</v>
      </c>
      <c r="E36" s="438">
        <f t="shared" si="2"/>
        <v>10</v>
      </c>
      <c r="F36" s="431">
        <f t="shared" si="3"/>
        <v>10689</v>
      </c>
      <c r="G36" s="660" t="s">
        <v>327</v>
      </c>
      <c r="H36" s="438" t="str">
        <f t="shared" si="4"/>
        <v/>
      </c>
      <c r="I36" s="658">
        <f t="shared" si="5"/>
        <v>0</v>
      </c>
      <c r="J36" s="154">
        <f t="shared" si="6"/>
        <v>28</v>
      </c>
      <c r="K36" s="139">
        <v>28</v>
      </c>
      <c r="L36" s="65" t="s">
        <v>43</v>
      </c>
      <c r="M36" s="139">
        <v>689</v>
      </c>
      <c r="N36" s="446">
        <f t="array" ref="N36">(IF(COUNT(V36,W36,AA36,AB36,AC36,AE36,AG36,AI36,AM36,AO36)&lt;7,SUM(V36,W36,AA36,AB36,AC36,AE36,AG36,AI36,AM36,AO36),SUM(LARGE((V36,W36,AA36,AB36,AC36,AE36,AG36,AI36,AM36,AO36),{1;2;3;4;5;6;7}))))+(IF(COUNT(X36,AD36,AF36,AH36,AJ36,AN36)&lt;5,SUM(X36,AD36,AF36,AH36,AJ36,AN36),SUM(LARGE((X36,AD36,AF36,AH36,AJ36,AN36),{1;2;3;4;5}))))+U36</f>
        <v>689</v>
      </c>
      <c r="O36" s="413">
        <v>689</v>
      </c>
      <c r="P36" s="405">
        <f t="array" ref="P36">IF(S36="n",((IF(COUNT(V36,W36,AA36,AB36,AC36,AE36,AG36,AI36,AM36,AO36)&lt;7,SUM(V36,W36,AA36,AB36,AC36,AE36,AG36,AI36,AM36,AO36),SUM(LARGE((V36,W36,AA36,AB36,AC36,AE36,AG36,AI36,AM36,AO36),{1;2;3;4;5;6;7}))))+(IF(COUNT(Y36,AD36,AF36,AH36,AK36,AN36)&lt;5,SUM(Y36,AD36,AF36,AH36,AK36,AN36),SUM(LARGE((Y36,AD36,AF36,AH36,AK36,AN36),{1;2;3;4;5}))))+U36),0)</f>
        <v>689</v>
      </c>
      <c r="Q36" s="661"/>
      <c r="R36" s="405">
        <f t="array" ref="R36">IF(T36="j",((IF(COUNT(V36,W36,AA36,AB36,AC36,AE36,AG36,AI36,AM36,AO36)&lt;7,SUM(V36,W36,AA36,AB36,AC36,AE36,AG36,AI36,AM36,AO36),SUM(LARGE((V36,W36,AA36,AB36,AC36,AE36,AG36,AI36,AM36,AO36),{1;2;3;4;5;6;7}))))+(IF(COUNT(Z36,AD36,AF36,AH36,AJ36,AN36)&lt;5,SUM(Z36,AD36,AF36,AH36,AJ36,AN36),SUM(LARGE((Z36,AD36,AF36,AH36,AJ36,AN36),{1;2;3;4;5}))))+U36),0)</f>
        <v>0</v>
      </c>
      <c r="S36" s="64" t="s">
        <v>35</v>
      </c>
      <c r="T36" s="64"/>
      <c r="U36" s="173">
        <v>10</v>
      </c>
      <c r="V36" s="15">
        <v>84</v>
      </c>
      <c r="W36" s="15">
        <v>74</v>
      </c>
      <c r="X36" s="141" t="s">
        <v>397</v>
      </c>
      <c r="Y36" s="614"/>
      <c r="Z36" s="611"/>
      <c r="AA36" s="141" t="s">
        <v>397</v>
      </c>
      <c r="AB36" s="15">
        <v>90</v>
      </c>
      <c r="AC36" s="15">
        <v>97</v>
      </c>
      <c r="AD36" s="15"/>
      <c r="AE36" s="141" t="s">
        <v>397</v>
      </c>
      <c r="AF36" s="15"/>
      <c r="AG36" s="141" t="s">
        <v>397</v>
      </c>
      <c r="AH36" s="15">
        <v>90</v>
      </c>
      <c r="AI36" s="15">
        <v>79</v>
      </c>
      <c r="AJ36" s="15"/>
      <c r="AK36" s="613"/>
      <c r="AL36" s="15"/>
      <c r="AM36" s="15"/>
      <c r="AN36" s="15">
        <v>96</v>
      </c>
      <c r="AO36" s="15">
        <v>69</v>
      </c>
      <c r="AP36" s="33">
        <f t="shared" si="7"/>
        <v>8</v>
      </c>
      <c r="AQ36" s="440">
        <f t="shared" si="8"/>
        <v>1</v>
      </c>
      <c r="AR36" s="441">
        <f t="shared" si="9"/>
        <v>0</v>
      </c>
      <c r="AS36" s="34">
        <f t="shared" si="10"/>
        <v>0</v>
      </c>
      <c r="AT36" s="4">
        <f t="shared" si="11"/>
        <v>3</v>
      </c>
      <c r="AU36" s="285">
        <f t="shared" si="12"/>
        <v>1</v>
      </c>
    </row>
    <row r="37" spans="1:47" x14ac:dyDescent="0.2">
      <c r="A37" s="59" t="s">
        <v>327</v>
      </c>
      <c r="B37" s="438" t="str">
        <f t="shared" si="0"/>
        <v/>
      </c>
      <c r="C37" s="432">
        <f t="shared" si="1"/>
        <v>0</v>
      </c>
      <c r="D37" s="61">
        <v>11</v>
      </c>
      <c r="E37" s="438">
        <f t="shared" si="2"/>
        <v>11</v>
      </c>
      <c r="F37" s="431">
        <f t="shared" si="3"/>
        <v>10663</v>
      </c>
      <c r="G37" s="660" t="s">
        <v>327</v>
      </c>
      <c r="H37" s="438" t="str">
        <f t="shared" si="4"/>
        <v/>
      </c>
      <c r="I37" s="658">
        <f t="shared" si="5"/>
        <v>0</v>
      </c>
      <c r="J37" s="154">
        <f t="shared" si="6"/>
        <v>29</v>
      </c>
      <c r="K37" s="139">
        <v>29</v>
      </c>
      <c r="L37" s="65" t="s">
        <v>67</v>
      </c>
      <c r="M37" s="139">
        <v>663</v>
      </c>
      <c r="N37" s="446">
        <f t="array" ref="N37">(IF(COUNT(V37,W37,AA37,AB37,AC37,AE37,AG37,AI37,AM37,AO37)&lt;7,SUM(V37,W37,AA37,AB37,AC37,AE37,AG37,AI37,AM37,AO37),SUM(LARGE((V37,W37,AA37,AB37,AC37,AE37,AG37,AI37,AM37,AO37),{1;2;3;4;5;6;7}))))+(IF(COUNT(X37,AD37,AF37,AH37,AJ37,AN37)&lt;5,SUM(X37,AD37,AF37,AH37,AJ37,AN37),SUM(LARGE((X37,AD37,AF37,AH37,AJ37,AN37),{1;2;3;4;5}))))+U37</f>
        <v>663</v>
      </c>
      <c r="O37" s="413">
        <v>663</v>
      </c>
      <c r="P37" s="405">
        <f t="array" ref="P37">IF(S37="n",((IF(COUNT(V37,W37,AA37,AB37,AC37,AE37,AG37,AI37,AM37,AO37)&lt;7,SUM(V37,W37,AA37,AB37,AC37,AE37,AG37,AI37,AM37,AO37),SUM(LARGE((V37,W37,AA37,AB37,AC37,AE37,AG37,AI37,AM37,AO37),{1;2;3;4;5;6;7}))))+(IF(COUNT(Y37,AD37,AF37,AH37,AK37,AN37)&lt;5,SUM(Y37,AD37,AF37,AH37,AK37,AN37),SUM(LARGE((Y37,AD37,AF37,AH37,AK37,AN37),{1;2;3;4;5}))))+U37),0)</f>
        <v>663</v>
      </c>
      <c r="Q37" s="661"/>
      <c r="R37" s="405">
        <f t="array" ref="R37">IF(T37="j",((IF(COUNT(V37,W37,AA37,AB37,AC37,AE37,AG37,AI37,AM37,AO37)&lt;7,SUM(V37,W37,AA37,AB37,AC37,AE37,AG37,AI37,AM37,AO37),SUM(LARGE((V37,W37,AA37,AB37,AC37,AE37,AG37,AI37,AM37,AO37),{1;2;3;4;5;6;7}))))+(IF(COUNT(Z37,AD37,AF37,AH37,AJ37,AN37)&lt;5,SUM(Z37,AD37,AF37,AH37,AJ37,AN37),SUM(LARGE((Z37,AD37,AF37,AH37,AJ37,AN37),{1;2;3;4;5}))))+U37),0)</f>
        <v>0</v>
      </c>
      <c r="S37" s="64" t="s">
        <v>35</v>
      </c>
      <c r="T37" s="64"/>
      <c r="U37" s="173">
        <v>37</v>
      </c>
      <c r="V37" s="15">
        <v>90</v>
      </c>
      <c r="W37" s="15">
        <v>105</v>
      </c>
      <c r="X37" s="141" t="s">
        <v>397</v>
      </c>
      <c r="Y37" s="614"/>
      <c r="Z37" s="611"/>
      <c r="AA37" s="15">
        <v>60</v>
      </c>
      <c r="AB37" s="15">
        <v>25</v>
      </c>
      <c r="AC37" s="141" t="s">
        <v>397</v>
      </c>
      <c r="AD37" s="32">
        <v>119</v>
      </c>
      <c r="AE37" s="15">
        <v>43</v>
      </c>
      <c r="AF37" s="15"/>
      <c r="AG37" s="141" t="s">
        <v>397</v>
      </c>
      <c r="AH37" s="15"/>
      <c r="AI37" s="141" t="s">
        <v>397</v>
      </c>
      <c r="AJ37" s="15"/>
      <c r="AK37" s="613"/>
      <c r="AL37" s="15"/>
      <c r="AM37" s="15">
        <v>49</v>
      </c>
      <c r="AN37" s="15">
        <v>135</v>
      </c>
      <c r="AO37" s="15"/>
      <c r="AP37" s="33">
        <f t="shared" si="7"/>
        <v>8</v>
      </c>
      <c r="AQ37" s="440">
        <f t="shared" si="8"/>
        <v>1</v>
      </c>
      <c r="AR37" s="441">
        <f t="shared" si="9"/>
        <v>0</v>
      </c>
      <c r="AS37" s="34">
        <f t="shared" si="10"/>
        <v>0</v>
      </c>
      <c r="AT37" s="4">
        <f t="shared" si="11"/>
        <v>3</v>
      </c>
      <c r="AU37" s="285">
        <f t="shared" si="12"/>
        <v>1</v>
      </c>
    </row>
    <row r="38" spans="1:47" x14ac:dyDescent="0.2">
      <c r="A38" s="59">
        <v>19</v>
      </c>
      <c r="B38" s="438">
        <f t="shared" si="0"/>
        <v>19</v>
      </c>
      <c r="C38" s="432">
        <f t="shared" si="1"/>
        <v>10655</v>
      </c>
      <c r="D38" s="61" t="s">
        <v>327</v>
      </c>
      <c r="E38" s="438" t="str">
        <f t="shared" si="2"/>
        <v/>
      </c>
      <c r="F38" s="431">
        <f t="shared" si="3"/>
        <v>0</v>
      </c>
      <c r="G38" s="660" t="s">
        <v>327</v>
      </c>
      <c r="H38" s="438" t="str">
        <f t="shared" si="4"/>
        <v/>
      </c>
      <c r="I38" s="658">
        <f t="shared" si="5"/>
        <v>0</v>
      </c>
      <c r="J38" s="154">
        <f t="shared" si="6"/>
        <v>30</v>
      </c>
      <c r="K38" s="139">
        <v>30</v>
      </c>
      <c r="L38" s="601" t="s">
        <v>80</v>
      </c>
      <c r="M38" s="139">
        <v>655</v>
      </c>
      <c r="N38" s="446">
        <f t="array" ref="N38">(IF(COUNT(V38,W38,AA38,AB38,AC38,AE38,AG38,AI38,AM38,AO38)&lt;7,SUM(V38,W38,AA38,AB38,AC38,AE38,AG38,AI38,AM38,AO38),SUM(LARGE((V38,W38,AA38,AB38,AC38,AE38,AG38,AI38,AM38,AO38),{1;2;3;4;5;6;7}))))+(IF(COUNT(X38,AD38,AF38,AH38,AJ38,AN38)&lt;5,SUM(X38,AD38,AF38,AH38,AJ38,AN38),SUM(LARGE((X38,AD38,AF38,AH38,AJ38,AN38),{1;2;3;4;5}))))+U38</f>
        <v>655</v>
      </c>
      <c r="O38" s="413"/>
      <c r="P38" s="405">
        <f t="array" ref="P38">IF(S38="n",((IF(COUNT(V38,W38,AA38,AB38,AC38,AE38,AG38,AI38,AM38,AO38)&lt;7,SUM(V38,W38,AA38,AB38,AC38,AE38,AG38,AI38,AM38,AO38),SUM(LARGE((V38,W38,AA38,AB38,AC38,AE38,AG38,AI38,AM38,AO38),{1;2;3;4;5;6;7}))))+(IF(COUNT(Y38,AD38,AF38,AH38,AK38,AN38)&lt;5,SUM(Y38,AD38,AF38,AH38,AK38,AN38),SUM(LARGE((Y38,AD38,AF38,AH38,AK38,AN38),{1;2;3;4;5}))))+U38),0)</f>
        <v>0</v>
      </c>
      <c r="Q38" s="661"/>
      <c r="R38" s="405">
        <f t="array" ref="R38">IF(T38="j",((IF(COUNT(V38,W38,AA38,AB38,AC38,AE38,AG38,AI38,AM38,AO38)&lt;7,SUM(V38,W38,AA38,AB38,AC38,AE38,AG38,AI38,AM38,AO38),SUM(LARGE((V38,W38,AA38,AB38,AC38,AE38,AG38,AI38,AM38,AO38),{1;2;3;4;5;6;7}))))+(IF(COUNT(Z38,AD38,AF38,AH38,AJ38,AN38)&lt;5,SUM(Z38,AD38,AF38,AH38,AJ38,AN38),SUM(LARGE((Z38,AD38,AF38,AH38,AJ38,AN38),{1;2;3;4;5}))))+U38),0)</f>
        <v>0</v>
      </c>
      <c r="S38" s="64"/>
      <c r="T38" s="64"/>
      <c r="U38" s="173">
        <v>1</v>
      </c>
      <c r="V38" s="141" t="s">
        <v>397</v>
      </c>
      <c r="W38" s="141" t="s">
        <v>397</v>
      </c>
      <c r="X38" s="15">
        <v>51</v>
      </c>
      <c r="Y38" s="613"/>
      <c r="Z38" s="610"/>
      <c r="AA38" s="15">
        <v>84</v>
      </c>
      <c r="AB38" s="141" t="s">
        <v>397</v>
      </c>
      <c r="AC38" s="15">
        <v>105</v>
      </c>
      <c r="AD38" s="141" t="s">
        <v>397</v>
      </c>
      <c r="AE38" s="15">
        <v>79</v>
      </c>
      <c r="AF38" s="15"/>
      <c r="AG38" s="15"/>
      <c r="AH38" s="15">
        <v>146</v>
      </c>
      <c r="AI38" s="15">
        <v>105</v>
      </c>
      <c r="AJ38" s="15">
        <v>84</v>
      </c>
      <c r="AK38" s="613"/>
      <c r="AL38" s="15"/>
      <c r="AM38" s="15"/>
      <c r="AN38" s="15"/>
      <c r="AO38" s="15"/>
      <c r="AP38" s="33">
        <f t="shared" si="7"/>
        <v>7</v>
      </c>
      <c r="AQ38" s="440">
        <f t="shared" si="8"/>
        <v>3</v>
      </c>
      <c r="AR38" s="441">
        <f t="shared" si="9"/>
        <v>0</v>
      </c>
      <c r="AS38" s="34">
        <f t="shared" si="10"/>
        <v>0</v>
      </c>
      <c r="AT38" s="4">
        <f t="shared" si="11"/>
        <v>3</v>
      </c>
      <c r="AU38" s="285">
        <f t="shared" si="12"/>
        <v>1</v>
      </c>
    </row>
    <row r="39" spans="1:47" x14ac:dyDescent="0.2">
      <c r="A39" s="59">
        <v>20</v>
      </c>
      <c r="B39" s="438">
        <f t="shared" si="0"/>
        <v>20</v>
      </c>
      <c r="C39" s="432">
        <f t="shared" si="1"/>
        <v>10620</v>
      </c>
      <c r="D39" s="61" t="s">
        <v>327</v>
      </c>
      <c r="E39" s="438" t="str">
        <f t="shared" si="2"/>
        <v/>
      </c>
      <c r="F39" s="431">
        <f t="shared" si="3"/>
        <v>0</v>
      </c>
      <c r="G39" s="660" t="s">
        <v>327</v>
      </c>
      <c r="H39" s="438" t="str">
        <f t="shared" si="4"/>
        <v/>
      </c>
      <c r="I39" s="658">
        <f t="shared" si="5"/>
        <v>0</v>
      </c>
      <c r="J39" s="154">
        <f t="shared" si="6"/>
        <v>31</v>
      </c>
      <c r="K39" s="139">
        <v>31</v>
      </c>
      <c r="L39" s="55" t="s">
        <v>304</v>
      </c>
      <c r="M39" s="139">
        <v>620</v>
      </c>
      <c r="N39" s="446">
        <f t="array" ref="N39">(IF(COUNT(V39,W39,AA39,AB39,AC39,AE39,AG39,AI39,AM39,AO39)&lt;7,SUM(V39,W39,AA39,AB39,AC39,AE39,AG39,AI39,AM39,AO39),SUM(LARGE((V39,W39,AA39,AB39,AC39,AE39,AG39,AI39,AM39,AO39),{1;2;3;4;5;6;7}))))+(IF(COUNT(X39,AD39,AF39,AH39,AJ39,AN39)&lt;5,SUM(X39,AD39,AF39,AH39,AJ39,AN39),SUM(LARGE((X39,AD39,AF39,AH39,AJ39,AN39),{1;2;3;4;5}))))+U39</f>
        <v>620</v>
      </c>
      <c r="O39" s="413"/>
      <c r="P39" s="405">
        <f t="array" ref="P39">IF(S39="n",((IF(COUNT(V39,W39,AA39,AB39,AC39,AE39,AG39,AI39,AM39,AO39)&lt;7,SUM(V39,W39,AA39,AB39,AC39,AE39,AG39,AI39,AM39,AO39),SUM(LARGE((V39,W39,AA39,AB39,AC39,AE39,AG39,AI39,AM39,AO39),{1;2;3;4;5;6;7}))))+(IF(COUNT(Y39,AD39,AF39,AH39,AK39,AN39)&lt;5,SUM(Y39,AD39,AF39,AH39,AK39,AN39),SUM(LARGE((Y39,AD39,AF39,AH39,AK39,AN39),{1;2;3;4;5}))))+U39),0)</f>
        <v>0</v>
      </c>
      <c r="Q39" s="661"/>
      <c r="R39" s="405">
        <f t="array" ref="R39">IF(T39="j",((IF(COUNT(V39,W39,AA39,AB39,AC39,AE39,AG39,AI39,AM39,AO39)&lt;7,SUM(V39,W39,AA39,AB39,AC39,AE39,AG39,AI39,AM39,AO39),SUM(LARGE((V39,W39,AA39,AB39,AC39,AE39,AG39,AI39,AM39,AO39),{1;2;3;4;5;6;7}))))+(IF(COUNT(Z39,AD39,AF39,AH39,AJ39,AN39)&lt;5,SUM(Z39,AD39,AF39,AH39,AJ39,AN39),SUM(LARGE((Z39,AD39,AF39,AH39,AJ39,AN39),{1;2;3;4;5}))))+U39),0)</f>
        <v>0</v>
      </c>
      <c r="S39" s="64"/>
      <c r="T39" s="64"/>
      <c r="U39" s="173">
        <v>5</v>
      </c>
      <c r="V39" s="141" t="s">
        <v>397</v>
      </c>
      <c r="W39" s="15">
        <v>97</v>
      </c>
      <c r="X39" s="141" t="s">
        <v>397</v>
      </c>
      <c r="Y39" s="614"/>
      <c r="Z39" s="611"/>
      <c r="AA39" s="141" t="s">
        <v>397</v>
      </c>
      <c r="AB39" s="15">
        <v>37</v>
      </c>
      <c r="AC39" s="15">
        <v>105</v>
      </c>
      <c r="AD39" s="15"/>
      <c r="AE39" s="15">
        <v>79</v>
      </c>
      <c r="AF39" s="15"/>
      <c r="AG39" s="141" t="s">
        <v>397</v>
      </c>
      <c r="AH39" s="15">
        <v>158</v>
      </c>
      <c r="AI39" s="15">
        <v>105</v>
      </c>
      <c r="AJ39" s="15"/>
      <c r="AK39" s="613"/>
      <c r="AL39" s="15"/>
      <c r="AM39" s="15">
        <v>34</v>
      </c>
      <c r="AN39" s="15"/>
      <c r="AO39" s="15"/>
      <c r="AP39" s="33">
        <f t="shared" si="7"/>
        <v>7</v>
      </c>
      <c r="AQ39" s="440">
        <f t="shared" si="8"/>
        <v>4</v>
      </c>
      <c r="AR39" s="441">
        <f t="shared" si="9"/>
        <v>0</v>
      </c>
      <c r="AS39" s="34">
        <f t="shared" si="10"/>
        <v>0</v>
      </c>
      <c r="AT39" s="4">
        <f t="shared" si="11"/>
        <v>3</v>
      </c>
      <c r="AU39" s="285">
        <f t="shared" si="12"/>
        <v>1</v>
      </c>
    </row>
    <row r="40" spans="1:47" x14ac:dyDescent="0.2">
      <c r="A40" s="59">
        <v>21</v>
      </c>
      <c r="B40" s="438">
        <f t="shared" si="0"/>
        <v>21</v>
      </c>
      <c r="C40" s="432">
        <f t="shared" si="1"/>
        <v>10600</v>
      </c>
      <c r="D40" s="61" t="s">
        <v>327</v>
      </c>
      <c r="E40" s="438" t="str">
        <f t="shared" si="2"/>
        <v/>
      </c>
      <c r="F40" s="431">
        <f t="shared" si="3"/>
        <v>0</v>
      </c>
      <c r="G40" s="660" t="s">
        <v>327</v>
      </c>
      <c r="H40" s="438" t="str">
        <f t="shared" si="4"/>
        <v/>
      </c>
      <c r="I40" s="658">
        <f t="shared" si="5"/>
        <v>0</v>
      </c>
      <c r="J40" s="154">
        <f t="shared" si="6"/>
        <v>32</v>
      </c>
      <c r="K40" s="139">
        <v>32</v>
      </c>
      <c r="L40" s="67" t="s">
        <v>64</v>
      </c>
      <c r="M40" s="251">
        <v>600</v>
      </c>
      <c r="N40" s="446">
        <f t="array" ref="N40">(IF(COUNT(V40,W40,AA40,AB40,AC40,AE40,AG40,AI40,AM40,AO40)&lt;7,SUM(V40,W40,AA40,AB40,AC40,AE40,AG40,AI40,AM40,AO40),SUM(LARGE((V40,W40,AA40,AB40,AC40,AE40,AG40,AI40,AM40,AO40),{1;2;3;4;5;6;7}))))+(IF(COUNT(X40,AD40,AF40,AH40,AJ40,AN40)&lt;5,SUM(X40,AD40,AF40,AH40,AJ40,AN40),SUM(LARGE((X40,AD40,AF40,AH40,AJ40,AN40),{1;2;3;4;5}))))+U40</f>
        <v>600</v>
      </c>
      <c r="O40" s="413"/>
      <c r="P40" s="405">
        <f t="array" ref="P40">IF(S40="n",((IF(COUNT(V40,W40,AA40,AB40,AC40,AE40,AG40,AI40,AM40,AO40)&lt;7,SUM(V40,W40,AA40,AB40,AC40,AE40,AG40,AI40,AM40,AO40),SUM(LARGE((V40,W40,AA40,AB40,AC40,AE40,AG40,AI40,AM40,AO40),{1;2;3;4;5;6;7}))))+(IF(COUNT(Y40,AD40,AF40,AH40,AK40,AN40)&lt;5,SUM(Y40,AD40,AF40,AH40,AK40,AN40),SUM(LARGE((Y40,AD40,AF40,AH40,AK40,AN40),{1;2;3;4;5}))))+U40),0)</f>
        <v>0</v>
      </c>
      <c r="Q40" s="661"/>
      <c r="R40" s="405">
        <f t="array" ref="R40">IF(T40="j",((IF(COUNT(V40,W40,AA40,AB40,AC40,AE40,AG40,AI40,AM40,AO40)&lt;7,SUM(V40,W40,AA40,AB40,AC40,AE40,AG40,AI40,AM40,AO40),SUM(LARGE((V40,W40,AA40,AB40,AC40,AE40,AG40,AI40,AM40,AO40),{1;2;3;4;5;6;7}))))+(IF(COUNT(Z40,AD40,AF40,AH40,AJ40,AN40)&lt;5,SUM(Z40,AD40,AF40,AH40,AJ40,AN40),SUM(LARGE((Z40,AD40,AF40,AH40,AJ40,AN40),{1;2;3;4;5}))))+U40),0)</f>
        <v>0</v>
      </c>
      <c r="S40" s="64"/>
      <c r="T40" s="64"/>
      <c r="U40" s="173">
        <v>1</v>
      </c>
      <c r="V40" s="15">
        <v>64</v>
      </c>
      <c r="W40" s="141" t="s">
        <v>397</v>
      </c>
      <c r="X40" s="15">
        <v>111</v>
      </c>
      <c r="Y40" s="613"/>
      <c r="Z40" s="610"/>
      <c r="AA40" s="15">
        <v>64</v>
      </c>
      <c r="AB40" s="15">
        <v>105</v>
      </c>
      <c r="AC40" s="141" t="s">
        <v>397</v>
      </c>
      <c r="AD40" s="141" t="s">
        <v>397</v>
      </c>
      <c r="AE40" s="141" t="s">
        <v>397</v>
      </c>
      <c r="AF40" s="15"/>
      <c r="AG40" s="15"/>
      <c r="AH40" s="15"/>
      <c r="AI40" s="15"/>
      <c r="AJ40" s="15"/>
      <c r="AK40" s="613"/>
      <c r="AL40" s="15"/>
      <c r="AM40" s="15"/>
      <c r="AN40" s="15">
        <v>158</v>
      </c>
      <c r="AO40" s="15">
        <v>97</v>
      </c>
      <c r="AP40" s="33">
        <f t="shared" si="7"/>
        <v>6</v>
      </c>
      <c r="AQ40" s="440">
        <f t="shared" si="8"/>
        <v>3</v>
      </c>
      <c r="AR40" s="441">
        <f t="shared" si="9"/>
        <v>0</v>
      </c>
      <c r="AS40" s="34">
        <f t="shared" si="10"/>
        <v>0</v>
      </c>
      <c r="AT40" s="4">
        <f t="shared" si="11"/>
        <v>3</v>
      </c>
      <c r="AU40" s="285">
        <f t="shared" si="12"/>
        <v>1</v>
      </c>
    </row>
    <row r="41" spans="1:47" x14ac:dyDescent="0.2">
      <c r="A41" s="59">
        <v>22</v>
      </c>
      <c r="B41" s="438">
        <f t="shared" si="0"/>
        <v>22</v>
      </c>
      <c r="C41" s="432">
        <f t="shared" si="1"/>
        <v>10527</v>
      </c>
      <c r="D41" s="61" t="s">
        <v>327</v>
      </c>
      <c r="E41" s="438" t="str">
        <f t="shared" si="2"/>
        <v/>
      </c>
      <c r="F41" s="431">
        <f t="shared" si="3"/>
        <v>0</v>
      </c>
      <c r="G41" s="660">
        <v>3</v>
      </c>
      <c r="H41" s="438">
        <f t="shared" si="4"/>
        <v>3</v>
      </c>
      <c r="I41" s="658">
        <f t="shared" si="5"/>
        <v>10640</v>
      </c>
      <c r="J41" s="154">
        <f t="shared" si="6"/>
        <v>33</v>
      </c>
      <c r="K41" s="139">
        <v>33</v>
      </c>
      <c r="L41" s="152" t="s">
        <v>90</v>
      </c>
      <c r="M41" s="139">
        <v>527</v>
      </c>
      <c r="N41" s="446">
        <f t="array" ref="N41">(IF(COUNT(V41,W41,AA41,AB41,AC41,AE41,AG41,AI41,AM41,AO41)&lt;7,SUM(V41,W41,AA41,AB41,AC41,AE41,AG41,AI41,AM41,AO41),SUM(LARGE((V41,W41,AA41,AB41,AC41,AE41,AG41,AI41,AM41,AO41),{1;2;3;4;5;6;7}))))+(IF(COUNT(X41,AD41,AF41,AH41,AJ41,AN41)&lt;5,SUM(X41,AD41,AF41,AH41,AJ41,AN41),SUM(LARGE((X41,AD41,AF41,AH41,AJ41,AN41),{1;2;3;4;5}))))+U41</f>
        <v>527</v>
      </c>
      <c r="O41" s="413"/>
      <c r="P41" s="405">
        <f t="array" ref="P41">IF(S41="n",((IF(COUNT(V41,W41,AA41,AB41,AC41,AE41,AG41,AI41,AM41,AO41)&lt;7,SUM(V41,W41,AA41,AB41,AC41,AE41,AG41,AI41,AM41,AO41),SUM(LARGE((V41,W41,AA41,AB41,AC41,AE41,AG41,AI41,AM41,AO41),{1;2;3;4;5;6;7}))))+(IF(COUNT(Y41,AD41,AF41,AH41,AK41,AN41)&lt;5,SUM(Y41,AD41,AF41,AH41,AK41,AN41),SUM(LARGE((Y41,AD41,AF41,AH41,AK41,AN41),{1;2;3;4;5}))))+U41),0)</f>
        <v>0</v>
      </c>
      <c r="Q41" s="661">
        <v>640</v>
      </c>
      <c r="R41" s="405">
        <f t="array" ref="R41">IF(T41="j",((IF(COUNT(V41,W41,AA41,AB41,AC41,AE41,AG41,AI41,AM41,AO41)&lt;7,SUM(V41,W41,AA41,AB41,AC41,AE41,AG41,AI41,AM41,AO41),SUM(LARGE((V41,W41,AA41,AB41,AC41,AE41,AG41,AI41,AM41,AO41),{1;2;3;4;5;6;7}))))+(IF(COUNT(Z41,AD41,AF41,AH41,AJ41,AN41)&lt;5,SUM(Z41,AD41,AF41,AH41,AJ41,AN41),SUM(LARGE((Z41,AD41,AF41,AH41,AJ41,AN41),{1;2;3;4;5}))))+U41),0)</f>
        <v>640</v>
      </c>
      <c r="S41" s="64"/>
      <c r="T41" s="64" t="s">
        <v>50</v>
      </c>
      <c r="U41" s="173">
        <v>1</v>
      </c>
      <c r="V41" s="141" t="s">
        <v>397</v>
      </c>
      <c r="W41" s="15">
        <v>52</v>
      </c>
      <c r="X41" s="208">
        <v>33</v>
      </c>
      <c r="Y41" s="613"/>
      <c r="Z41" s="610">
        <v>146</v>
      </c>
      <c r="AA41" s="141" t="s">
        <v>397</v>
      </c>
      <c r="AB41" s="141" t="s">
        <v>397</v>
      </c>
      <c r="AC41" s="15"/>
      <c r="AD41" s="15">
        <v>104</v>
      </c>
      <c r="AE41" s="15">
        <v>97</v>
      </c>
      <c r="AF41" s="141" t="s">
        <v>397</v>
      </c>
      <c r="AG41" s="15"/>
      <c r="AH41" s="15"/>
      <c r="AI41" s="15"/>
      <c r="AJ41" s="15">
        <v>56</v>
      </c>
      <c r="AK41" s="613"/>
      <c r="AL41" s="15"/>
      <c r="AM41" s="15">
        <v>49</v>
      </c>
      <c r="AN41" s="15">
        <v>135</v>
      </c>
      <c r="AO41" s="15"/>
      <c r="AP41" s="33">
        <f t="shared" si="7"/>
        <v>7</v>
      </c>
      <c r="AQ41" s="440">
        <f t="shared" si="8"/>
        <v>2</v>
      </c>
      <c r="AR41" s="441">
        <f t="shared" si="9"/>
        <v>0</v>
      </c>
      <c r="AS41" s="34">
        <f t="shared" si="10"/>
        <v>0</v>
      </c>
      <c r="AT41" s="4">
        <f t="shared" si="11"/>
        <v>3</v>
      </c>
      <c r="AU41" s="285">
        <f t="shared" si="12"/>
        <v>1</v>
      </c>
    </row>
    <row r="42" spans="1:47" x14ac:dyDescent="0.2">
      <c r="A42" s="59">
        <v>23</v>
      </c>
      <c r="B42" s="438">
        <f t="shared" si="0"/>
        <v>23</v>
      </c>
      <c r="C42" s="432">
        <f t="shared" si="1"/>
        <v>10454</v>
      </c>
      <c r="D42" s="61" t="s">
        <v>327</v>
      </c>
      <c r="E42" s="438" t="str">
        <f t="shared" si="2"/>
        <v/>
      </c>
      <c r="F42" s="431">
        <f t="shared" si="3"/>
        <v>0</v>
      </c>
      <c r="G42" s="660" t="s">
        <v>327</v>
      </c>
      <c r="H42" s="438" t="str">
        <f t="shared" si="4"/>
        <v/>
      </c>
      <c r="I42" s="658">
        <f t="shared" si="5"/>
        <v>0</v>
      </c>
      <c r="J42" s="154">
        <f t="shared" si="6"/>
        <v>34</v>
      </c>
      <c r="K42" s="139">
        <v>34</v>
      </c>
      <c r="L42" s="601" t="s">
        <v>519</v>
      </c>
      <c r="M42" s="139">
        <v>454</v>
      </c>
      <c r="N42" s="446">
        <f t="array" ref="N42">(IF(COUNT(V42,W42,AA42,AB42,AC42,AE42,AG42,AI42,AM42,AO42)&lt;7,SUM(V42,W42,AA42,AB42,AC42,AE42,AG42,AI42,AM42,AO42),SUM(LARGE((V42,W42,AA42,AB42,AC42,AE42,AG42,AI42,AM42,AO42),{1;2;3;4;5;6;7}))))+(IF(COUNT(X42,AD42,AF42,AH42,AJ42,AN42)&lt;5,SUM(X42,AD42,AF42,AH42,AJ42,AN42),SUM(LARGE((X42,AD42,AF42,AH42,AJ42,AN42),{1;2;3;4;5}))))+U42</f>
        <v>454</v>
      </c>
      <c r="O42" s="413"/>
      <c r="P42" s="405">
        <f t="array" ref="P42">IF(S42="n",((IF(COUNT(V42,W42,AA42,AB42,AC42,AE42,AG42,AI42,AM42,AO42)&lt;7,SUM(V42,W42,AA42,AB42,AC42,AE42,AG42,AI42,AM42,AO42),SUM(LARGE((V42,W42,AA42,AB42,AC42,AE42,AG42,AI42,AM42,AO42),{1;2;3;4;5;6;7}))))+(IF(COUNT(Y42,AD42,AF42,AH42,AK42,AN42)&lt;5,SUM(Y42,AD42,AF42,AH42,AK42,AN42),SUM(LARGE((Y42,AD42,AF42,AH42,AK42,AN42),{1;2;3;4;5}))))+U42),0)</f>
        <v>0</v>
      </c>
      <c r="Q42" s="661"/>
      <c r="R42" s="405">
        <f t="array" ref="R42">IF(T42="j",((IF(COUNT(V42,W42,AA42,AB42,AC42,AE42,AG42,AI42,AM42,AO42)&lt;7,SUM(V42,W42,AA42,AB42,AC42,AE42,AG42,AI42,AM42,AO42),SUM(LARGE((V42,W42,AA42,AB42,AC42,AE42,AG42,AI42,AM42,AO42),{1;2;3;4;5;6;7}))))+(IF(COUNT(Z42,AD42,AF42,AH42,AJ42,AN42)&lt;5,SUM(Z42,AD42,AF42,AH42,AJ42,AN42),SUM(LARGE((Z42,AD42,AF42,AH42,AJ42,AN42),{1;2;3;4;5}))))+U42),0)</f>
        <v>0</v>
      </c>
      <c r="S42" s="64"/>
      <c r="T42" s="64"/>
      <c r="U42" s="173"/>
      <c r="V42" s="141" t="s">
        <v>397</v>
      </c>
      <c r="W42" s="141" t="s">
        <v>397</v>
      </c>
      <c r="X42" s="141" t="s">
        <v>397</v>
      </c>
      <c r="Y42" s="614"/>
      <c r="Z42" s="611"/>
      <c r="AA42" s="141" t="s">
        <v>397</v>
      </c>
      <c r="AB42" s="15">
        <v>40</v>
      </c>
      <c r="AC42" s="15"/>
      <c r="AD42" s="15"/>
      <c r="AE42" s="15"/>
      <c r="AF42" s="15"/>
      <c r="AG42" s="15"/>
      <c r="AH42" s="15">
        <v>173</v>
      </c>
      <c r="AI42" s="15">
        <v>115</v>
      </c>
      <c r="AJ42" s="15">
        <v>126</v>
      </c>
      <c r="AK42" s="613"/>
      <c r="AL42" s="15"/>
      <c r="AM42" s="15"/>
      <c r="AN42" s="15"/>
      <c r="AO42" s="15"/>
      <c r="AP42" s="33">
        <f t="shared" si="7"/>
        <v>4</v>
      </c>
      <c r="AQ42" s="440">
        <f t="shared" si="8"/>
        <v>2</v>
      </c>
      <c r="AR42" s="441">
        <f t="shared" si="9"/>
        <v>2</v>
      </c>
      <c r="AS42" s="34">
        <f t="shared" si="10"/>
        <v>1</v>
      </c>
      <c r="AT42" s="4">
        <f t="shared" si="11"/>
        <v>3</v>
      </c>
      <c r="AU42" s="285">
        <f t="shared" si="12"/>
        <v>1</v>
      </c>
    </row>
    <row r="43" spans="1:47" x14ac:dyDescent="0.2">
      <c r="A43" s="59">
        <v>24</v>
      </c>
      <c r="B43" s="438">
        <f t="shared" si="0"/>
        <v>24</v>
      </c>
      <c r="C43" s="432">
        <f t="shared" si="1"/>
        <v>10449</v>
      </c>
      <c r="D43" s="61" t="s">
        <v>327</v>
      </c>
      <c r="E43" s="438" t="str">
        <f t="shared" si="2"/>
        <v/>
      </c>
      <c r="F43" s="431">
        <f t="shared" si="3"/>
        <v>0</v>
      </c>
      <c r="G43" s="660" t="s">
        <v>327</v>
      </c>
      <c r="H43" s="438" t="str">
        <f t="shared" si="4"/>
        <v/>
      </c>
      <c r="I43" s="658">
        <f t="shared" si="5"/>
        <v>0</v>
      </c>
      <c r="J43" s="154">
        <f t="shared" si="6"/>
        <v>35</v>
      </c>
      <c r="K43" s="139">
        <v>35</v>
      </c>
      <c r="L43" s="601" t="s">
        <v>422</v>
      </c>
      <c r="M43" s="139">
        <v>449</v>
      </c>
      <c r="N43" s="446">
        <f t="array" ref="N43">(IF(COUNT(V43,W43,AA43,AB43,AC43,AE43,AG43,AI43,AM43,AO43)&lt;7,SUM(V43,W43,AA43,AB43,AC43,AE43,AG43,AI43,AM43,AO43),SUM(LARGE((V43,W43,AA43,AB43,AC43,AE43,AG43,AI43,AM43,AO43),{1;2;3;4;5;6;7}))))+(IF(COUNT(X43,AD43,AF43,AH43,AJ43,AN43)&lt;5,SUM(X43,AD43,AF43,AH43,AJ43,AN43),SUM(LARGE((X43,AD43,AF43,AH43,AJ43,AN43),{1;2;3;4;5}))))+U43</f>
        <v>449</v>
      </c>
      <c r="O43" s="413"/>
      <c r="P43" s="405">
        <f t="array" ref="P43">IF(S43="n",((IF(COUNT(V43,W43,AA43,AB43,AC43,AE43,AG43,AI43,AM43,AO43)&lt;7,SUM(V43,W43,AA43,AB43,AC43,AE43,AG43,AI43,AM43,AO43),SUM(LARGE((V43,W43,AA43,AB43,AC43,AE43,AG43,AI43,AM43,AO43),{1;2;3;4;5;6;7}))))+(IF(COUNT(Y43,AD43,AF43,AH43,AK43,AN43)&lt;5,SUM(Y43,AD43,AF43,AH43,AK43,AN43),SUM(LARGE((Y43,AD43,AF43,AH43,AK43,AN43),{1;2;3;4;5}))))+U43),0)</f>
        <v>0</v>
      </c>
      <c r="Q43" s="661"/>
      <c r="R43" s="405">
        <f t="array" ref="R43">IF(T43="j",((IF(COUNT(V43,W43,AA43,AB43,AC43,AE43,AG43,AI43,AM43,AO43)&lt;7,SUM(V43,W43,AA43,AB43,AC43,AE43,AG43,AI43,AM43,AO43),SUM(LARGE((V43,W43,AA43,AB43,AC43,AE43,AG43,AI43,AM43,AO43),{1;2;3;4;5;6;7}))))+(IF(COUNT(Z43,AD43,AF43,AH43,AJ43,AN43)&lt;5,SUM(Z43,AD43,AF43,AH43,AJ43,AN43),SUM(LARGE((Z43,AD43,AF43,AH43,AJ43,AN43),{1;2;3;4;5}))))+U43),0)</f>
        <v>0</v>
      </c>
      <c r="S43" s="64"/>
      <c r="T43" s="64"/>
      <c r="U43" s="173"/>
      <c r="V43" s="141" t="s">
        <v>397</v>
      </c>
      <c r="W43" s="141" t="s">
        <v>397</v>
      </c>
      <c r="X43" s="15">
        <v>158</v>
      </c>
      <c r="Y43" s="613"/>
      <c r="Z43" s="610"/>
      <c r="AA43" s="141" t="s">
        <v>397</v>
      </c>
      <c r="AB43" s="15"/>
      <c r="AC43" s="15"/>
      <c r="AD43" s="141" t="s">
        <v>397</v>
      </c>
      <c r="AE43" s="15"/>
      <c r="AF43" s="15">
        <v>158</v>
      </c>
      <c r="AG43" s="15">
        <v>69</v>
      </c>
      <c r="AH43" s="15"/>
      <c r="AI43" s="15"/>
      <c r="AJ43" s="15"/>
      <c r="AK43" s="613"/>
      <c r="AL43" s="15"/>
      <c r="AM43" s="15">
        <v>64</v>
      </c>
      <c r="AN43" s="15"/>
      <c r="AO43" s="15"/>
      <c r="AP43" s="33">
        <f t="shared" si="7"/>
        <v>4</v>
      </c>
      <c r="AQ43" s="440">
        <f t="shared" si="8"/>
        <v>2</v>
      </c>
      <c r="AR43" s="441">
        <f t="shared" si="9"/>
        <v>0</v>
      </c>
      <c r="AS43" s="34">
        <f t="shared" si="10"/>
        <v>0</v>
      </c>
      <c r="AT43" s="4">
        <f t="shared" si="11"/>
        <v>3</v>
      </c>
      <c r="AU43" s="285">
        <f t="shared" si="12"/>
        <v>1</v>
      </c>
    </row>
    <row r="44" spans="1:47" x14ac:dyDescent="0.2">
      <c r="A44" s="59">
        <v>25</v>
      </c>
      <c r="B44" s="438">
        <f t="shared" si="0"/>
        <v>25</v>
      </c>
      <c r="C44" s="432">
        <f t="shared" si="1"/>
        <v>10434</v>
      </c>
      <c r="D44" s="61" t="s">
        <v>327</v>
      </c>
      <c r="E44" s="438" t="str">
        <f t="shared" si="2"/>
        <v/>
      </c>
      <c r="F44" s="431">
        <f t="shared" si="3"/>
        <v>0</v>
      </c>
      <c r="G44" s="660">
        <v>4</v>
      </c>
      <c r="H44" s="438">
        <f t="shared" si="4"/>
        <v>4</v>
      </c>
      <c r="I44" s="658">
        <f t="shared" si="5"/>
        <v>10554</v>
      </c>
      <c r="J44" s="154">
        <f t="shared" si="6"/>
        <v>36</v>
      </c>
      <c r="K44" s="139">
        <v>36</v>
      </c>
      <c r="L44" s="166" t="s">
        <v>427</v>
      </c>
      <c r="M44" s="139">
        <v>434</v>
      </c>
      <c r="N44" s="446">
        <f t="array" ref="N44">(IF(COUNT(V44,W44,AA44,AB44,AC44,AE44,AG44,AI44,AM44,AO44)&lt;7,SUM(V44,W44,AA44,AB44,AC44,AE44,AG44,AI44,AM44,AO44),SUM(LARGE((V44,W44,AA44,AB44,AC44,AE44,AG44,AI44,AM44,AO44),{1;2;3;4;5;6;7}))))+(IF(COUNT(X44,AD44,AF44,AH44,AJ44,AN44)&lt;5,SUM(X44,AD44,AF44,AH44,AJ44,AN44),SUM(LARGE((X44,AD44,AF44,AH44,AJ44,AN44),{1;2;3;4;5}))))+U44</f>
        <v>434</v>
      </c>
      <c r="O44" s="413"/>
      <c r="P44" s="405">
        <f t="array" ref="P44">IF(S44="n",((IF(COUNT(V44,W44,AA44,AB44,AC44,AE44,AG44,AI44,AM44,AO44)&lt;7,SUM(V44,W44,AA44,AB44,AC44,AE44,AG44,AI44,AM44,AO44),SUM(LARGE((V44,W44,AA44,AB44,AC44,AE44,AG44,AI44,AM44,AO44),{1;2;3;4;5;6;7}))))+(IF(COUNT(Y44,AD44,AF44,AH44,AK44,AN44)&lt;5,SUM(Y44,AD44,AF44,AH44,AK44,AN44),SUM(LARGE((Y44,AD44,AF44,AH44,AK44,AN44),{1;2;3;4;5}))))+U44),0)</f>
        <v>0</v>
      </c>
      <c r="Q44" s="661">
        <v>554</v>
      </c>
      <c r="R44" s="405">
        <f t="array" ref="R44">IF(T44="j",((IF(COUNT(V44,W44,AA44,AB44,AC44,AE44,AG44,AI44,AM44,AO44)&lt;7,SUM(V44,W44,AA44,AB44,AC44,AE44,AG44,AI44,AM44,AO44),SUM(LARGE((V44,W44,AA44,AB44,AC44,AE44,AG44,AI44,AM44,AO44),{1;2;3;4;5;6;7}))))+(IF(COUNT(Z44,AD44,AF44,AH44,AJ44,AN44)&lt;5,SUM(Z44,AD44,AF44,AH44,AJ44,AN44),SUM(LARGE((Z44,AD44,AF44,AH44,AJ44,AN44),{1;2;3;4;5}))))+U44),0)</f>
        <v>554</v>
      </c>
      <c r="S44" s="64"/>
      <c r="T44" s="64" t="s">
        <v>50</v>
      </c>
      <c r="U44" s="173"/>
      <c r="V44" s="141" t="s">
        <v>397</v>
      </c>
      <c r="W44" s="141" t="s">
        <v>397</v>
      </c>
      <c r="X44" s="207">
        <v>53</v>
      </c>
      <c r="Y44" s="615"/>
      <c r="Z44" s="612">
        <v>173</v>
      </c>
      <c r="AA44" s="15">
        <v>97</v>
      </c>
      <c r="AB44" s="141" t="s">
        <v>397</v>
      </c>
      <c r="AC44" s="15"/>
      <c r="AD44" s="141" t="s">
        <v>397</v>
      </c>
      <c r="AE44" s="15"/>
      <c r="AF44" s="15">
        <v>119</v>
      </c>
      <c r="AG44" s="15">
        <v>40</v>
      </c>
      <c r="AH44" s="15">
        <v>56</v>
      </c>
      <c r="AI44" s="15">
        <v>69</v>
      </c>
      <c r="AJ44" s="15"/>
      <c r="AK44" s="613"/>
      <c r="AL44" s="15"/>
      <c r="AM44" s="15"/>
      <c r="AN44" s="15"/>
      <c r="AO44" s="15"/>
      <c r="AP44" s="33">
        <f t="shared" si="7"/>
        <v>6</v>
      </c>
      <c r="AQ44" s="440">
        <f t="shared" si="8"/>
        <v>2</v>
      </c>
      <c r="AR44" s="441">
        <f t="shared" si="9"/>
        <v>1</v>
      </c>
      <c r="AS44" s="34">
        <f t="shared" si="10"/>
        <v>1</v>
      </c>
      <c r="AT44" s="4">
        <f t="shared" si="11"/>
        <v>3</v>
      </c>
      <c r="AU44" s="285">
        <f t="shared" si="12"/>
        <v>1</v>
      </c>
    </row>
    <row r="45" spans="1:47" x14ac:dyDescent="0.2">
      <c r="A45" s="59">
        <v>26</v>
      </c>
      <c r="B45" s="438">
        <f t="shared" si="0"/>
        <v>26</v>
      </c>
      <c r="C45" s="432">
        <f t="shared" si="1"/>
        <v>10427</v>
      </c>
      <c r="D45" s="61" t="s">
        <v>327</v>
      </c>
      <c r="E45" s="438" t="str">
        <f t="shared" si="2"/>
        <v/>
      </c>
      <c r="F45" s="431">
        <f t="shared" si="3"/>
        <v>0</v>
      </c>
      <c r="G45" s="660" t="s">
        <v>327</v>
      </c>
      <c r="H45" s="438" t="str">
        <f t="shared" si="4"/>
        <v/>
      </c>
      <c r="I45" s="658">
        <f t="shared" si="5"/>
        <v>0</v>
      </c>
      <c r="J45" s="154">
        <f t="shared" si="6"/>
        <v>37</v>
      </c>
      <c r="K45" s="139">
        <v>37</v>
      </c>
      <c r="L45" s="601" t="s">
        <v>84</v>
      </c>
      <c r="M45" s="139">
        <v>427</v>
      </c>
      <c r="N45" s="446">
        <f t="array" ref="N45">(IF(COUNT(V45,W45,AA45,AB45,AC45,AE45,AG45,AI45,AM45,AO45)&lt;7,SUM(V45,W45,AA45,AB45,AC45,AE45,AG45,AI45,AM45,AO45),SUM(LARGE((V45,W45,AA45,AB45,AC45,AE45,AG45,AI45,AM45,AO45),{1;2;3;4;5;6;7}))))+(IF(COUNT(X45,AD45,AF45,AH45,AJ45,AN45)&lt;5,SUM(X45,AD45,AF45,AH45,AJ45,AN45),SUM(LARGE((X45,AD45,AF45,AH45,AJ45,AN45),{1;2;3;4;5}))))+U45</f>
        <v>427</v>
      </c>
      <c r="O45" s="413"/>
      <c r="P45" s="405">
        <f t="array" ref="P45">IF(S45="n",((IF(COUNT(V45,W45,AA45,AB45,AC45,AE45,AG45,AI45,AM45,AO45)&lt;7,SUM(V45,W45,AA45,AB45,AC45,AE45,AG45,AI45,AM45,AO45),SUM(LARGE((V45,W45,AA45,AB45,AC45,AE45,AG45,AI45,AM45,AO45),{1;2;3;4;5;6;7}))))+(IF(COUNT(Y45,AD45,AF45,AH45,AK45,AN45)&lt;5,SUM(Y45,AD45,AF45,AH45,AK45,AN45),SUM(LARGE((Y45,AD45,AF45,AH45,AK45,AN45),{1;2;3;4;5}))))+U45),0)</f>
        <v>0</v>
      </c>
      <c r="Q45" s="661"/>
      <c r="R45" s="405">
        <f t="array" ref="R45">IF(T45="j",((IF(COUNT(V45,W45,AA45,AB45,AC45,AE45,AG45,AI45,AM45,AO45)&lt;7,SUM(V45,W45,AA45,AB45,AC45,AE45,AG45,AI45,AM45,AO45),SUM(LARGE((V45,W45,AA45,AB45,AC45,AE45,AG45,AI45,AM45,AO45),{1;2;3;4;5;6;7}))))+(IF(COUNT(Z45,AD45,AF45,AH45,AJ45,AN45)&lt;5,SUM(Z45,AD45,AF45,AH45,AJ45,AN45),SUM(LARGE((Z45,AD45,AF45,AH45,AJ45,AN45),{1;2;3;4;5}))))+U45),0)</f>
        <v>0</v>
      </c>
      <c r="S45" s="64"/>
      <c r="T45" s="64"/>
      <c r="U45" s="173">
        <v>1</v>
      </c>
      <c r="V45" s="141" t="s">
        <v>397</v>
      </c>
      <c r="W45" s="15">
        <v>52</v>
      </c>
      <c r="X45" s="15">
        <v>69</v>
      </c>
      <c r="Y45" s="613"/>
      <c r="Z45" s="610"/>
      <c r="AA45" s="141" t="s">
        <v>397</v>
      </c>
      <c r="AB45" s="141" t="s">
        <v>397</v>
      </c>
      <c r="AC45" s="15"/>
      <c r="AD45" s="15">
        <v>104</v>
      </c>
      <c r="AE45" s="15">
        <v>97</v>
      </c>
      <c r="AF45" s="141" t="s">
        <v>397</v>
      </c>
      <c r="AG45" s="15"/>
      <c r="AH45" s="15"/>
      <c r="AI45" s="15"/>
      <c r="AJ45" s="15">
        <v>104</v>
      </c>
      <c r="AK45" s="613"/>
      <c r="AL45" s="15"/>
      <c r="AM45" s="15"/>
      <c r="AN45" s="15"/>
      <c r="AO45" s="15"/>
      <c r="AP45" s="33">
        <f t="shared" si="7"/>
        <v>5</v>
      </c>
      <c r="AQ45" s="440">
        <f t="shared" si="8"/>
        <v>1</v>
      </c>
      <c r="AR45" s="441">
        <f t="shared" si="9"/>
        <v>0</v>
      </c>
      <c r="AS45" s="34">
        <f t="shared" si="10"/>
        <v>0</v>
      </c>
      <c r="AT45" s="4">
        <f t="shared" si="11"/>
        <v>3</v>
      </c>
      <c r="AU45" s="285">
        <f t="shared" si="12"/>
        <v>1</v>
      </c>
    </row>
    <row r="46" spans="1:47" x14ac:dyDescent="0.2">
      <c r="A46" s="59">
        <v>27</v>
      </c>
      <c r="B46" s="438">
        <f t="shared" si="0"/>
        <v>27</v>
      </c>
      <c r="C46" s="432">
        <f t="shared" si="1"/>
        <v>10425.5</v>
      </c>
      <c r="D46" s="61" t="s">
        <v>327</v>
      </c>
      <c r="E46" s="438" t="str">
        <f t="shared" si="2"/>
        <v/>
      </c>
      <c r="F46" s="431">
        <f t="shared" si="3"/>
        <v>0</v>
      </c>
      <c r="G46" s="660" t="s">
        <v>327</v>
      </c>
      <c r="H46" s="438" t="str">
        <f t="shared" si="4"/>
        <v/>
      </c>
      <c r="I46" s="658">
        <f t="shared" si="5"/>
        <v>0</v>
      </c>
      <c r="J46" s="154">
        <f t="shared" si="6"/>
        <v>38</v>
      </c>
      <c r="K46" s="139">
        <v>38</v>
      </c>
      <c r="L46" s="601" t="s">
        <v>69</v>
      </c>
      <c r="M46" s="139">
        <v>425.5</v>
      </c>
      <c r="N46" s="446">
        <f t="array" ref="N46">(IF(COUNT(V46,W46,AA46,AB46,AC46,AE46,AG46,AI46,AM46,AO46)&lt;7,SUM(V46,W46,AA46,AB46,AC46,AE46,AG46,AI46,AM46,AO46),SUM(LARGE((V46,W46,AA46,AB46,AC46,AE46,AG46,AI46,AM46,AO46),{1;2;3;4;5;6;7}))))+(IF(COUNT(X46,AD46,AF46,AH46,AJ46,AN46)&lt;5,SUM(X46,AD46,AF46,AH46,AJ46,AN46),SUM(LARGE((X46,AD46,AF46,AH46,AJ46,AN46),{1;2;3;4;5}))))+U46</f>
        <v>425.5</v>
      </c>
      <c r="O46" s="413"/>
      <c r="P46" s="405">
        <f t="array" ref="P46">IF(S46="n",((IF(COUNT(V46,W46,AA46,AB46,AC46,AE46,AG46,AI46,AM46,AO46)&lt;7,SUM(V46,W46,AA46,AB46,AC46,AE46,AG46,AI46,AM46,AO46),SUM(LARGE((V46,W46,AA46,AB46,AC46,AE46,AG46,AI46,AM46,AO46),{1;2;3;4;5;6;7}))))+(IF(COUNT(Y46,AD46,AF46,AH46,AK46,AN46)&lt;5,SUM(Y46,AD46,AF46,AH46,AK46,AN46),SUM(LARGE((Y46,AD46,AF46,AH46,AK46,AN46),{1;2;3;4;5}))))+U46),0)</f>
        <v>0</v>
      </c>
      <c r="Q46" s="661"/>
      <c r="R46" s="405">
        <f t="array" ref="R46">IF(T46="j",((IF(COUNT(V46,W46,AA46,AB46,AC46,AE46,AG46,AI46,AM46,AO46)&lt;7,SUM(V46,W46,AA46,AB46,AC46,AE46,AG46,AI46,AM46,AO46),SUM(LARGE((V46,W46,AA46,AB46,AC46,AE46,AG46,AI46,AM46,AO46),{1;2;3;4;5;6;7}))))+(IF(COUNT(Z46,AD46,AF46,AH46,AJ46,AN46)&lt;5,SUM(Z46,AD46,AF46,AH46,AJ46,AN46),SUM(LARGE((Z46,AD46,AF46,AH46,AJ46,AN46),{1;2;3;4;5}))))+U46),0)</f>
        <v>0</v>
      </c>
      <c r="S46" s="64"/>
      <c r="T46" s="64"/>
      <c r="U46" s="174">
        <v>17.5</v>
      </c>
      <c r="V46" s="15">
        <v>115</v>
      </c>
      <c r="W46" s="141" t="s">
        <v>397</v>
      </c>
      <c r="X46" s="15">
        <v>29</v>
      </c>
      <c r="Y46" s="613"/>
      <c r="Z46" s="610"/>
      <c r="AA46" s="141" t="s">
        <v>397</v>
      </c>
      <c r="AB46" s="15">
        <v>97</v>
      </c>
      <c r="AC46" s="15">
        <v>69</v>
      </c>
      <c r="AD46" s="141" t="s">
        <v>397</v>
      </c>
      <c r="AE46" s="15">
        <v>64</v>
      </c>
      <c r="AF46" s="15"/>
      <c r="AG46" s="141" t="s">
        <v>397</v>
      </c>
      <c r="AH46" s="15"/>
      <c r="AI46" s="15"/>
      <c r="AJ46" s="15"/>
      <c r="AK46" s="613"/>
      <c r="AL46" s="15"/>
      <c r="AM46" s="15">
        <v>34</v>
      </c>
      <c r="AN46" s="15"/>
      <c r="AO46" s="15"/>
      <c r="AP46" s="33">
        <f t="shared" si="7"/>
        <v>6</v>
      </c>
      <c r="AQ46" s="440">
        <f t="shared" si="8"/>
        <v>2</v>
      </c>
      <c r="AR46" s="441">
        <f t="shared" si="9"/>
        <v>1</v>
      </c>
      <c r="AS46" s="34">
        <f t="shared" si="10"/>
        <v>0</v>
      </c>
      <c r="AT46" s="4">
        <f t="shared" si="11"/>
        <v>3</v>
      </c>
      <c r="AU46" s="285">
        <f t="shared" si="12"/>
        <v>1</v>
      </c>
    </row>
    <row r="47" spans="1:47" x14ac:dyDescent="0.2">
      <c r="A47" s="59" t="s">
        <v>327</v>
      </c>
      <c r="B47" s="438" t="str">
        <f t="shared" si="0"/>
        <v/>
      </c>
      <c r="C47" s="432">
        <f t="shared" si="1"/>
        <v>0</v>
      </c>
      <c r="D47" s="61">
        <v>12</v>
      </c>
      <c r="E47" s="438">
        <f t="shared" si="2"/>
        <v>12</v>
      </c>
      <c r="F47" s="431">
        <f t="shared" si="3"/>
        <v>10509</v>
      </c>
      <c r="G47" s="660" t="s">
        <v>327</v>
      </c>
      <c r="H47" s="438" t="str">
        <f t="shared" si="4"/>
        <v/>
      </c>
      <c r="I47" s="658">
        <f t="shared" si="5"/>
        <v>0</v>
      </c>
      <c r="J47" s="154">
        <f t="shared" si="6"/>
        <v>39</v>
      </c>
      <c r="K47" s="139">
        <v>39</v>
      </c>
      <c r="L47" s="65" t="s">
        <v>70</v>
      </c>
      <c r="M47" s="139">
        <v>383</v>
      </c>
      <c r="N47" s="446">
        <f t="array" ref="N47">(IF(COUNT(V47,W47,AA47,AB47,AC47,AE47,AG47,AI47,AM47,AO47)&lt;7,SUM(V47,W47,AA47,AB47,AC47,AE47,AG47,AI47,AM47,AO47),SUM(LARGE((V47,W47,AA47,AB47,AC47,AE47,AG47,AI47,AM47,AO47),{1;2;3;4;5;6;7}))))+(IF(COUNT(X47,AD47,AF47,AH47,AJ47,AN47)&lt;5,SUM(X47,AD47,AF47,AH47,AJ47,AN47),SUM(LARGE((X47,AD47,AF47,AH47,AJ47,AN47),{1;2;3;4;5}))))+U47</f>
        <v>383</v>
      </c>
      <c r="O47" s="413">
        <v>509</v>
      </c>
      <c r="P47" s="405">
        <f t="array" ref="P47">IF(S47="n",((IF(COUNT(V47,W47,AA47,AB47,AC47,AE47,AG47,AI47,AM47,AO47)&lt;7,SUM(V47,W47,AA47,AB47,AC47,AE47,AG47,AI47,AM47,AO47),SUM(LARGE((V47,W47,AA47,AB47,AC47,AE47,AG47,AI47,AM47,AO47),{1;2;3;4;5;6;7}))))+(IF(COUNT(Y47,AD47,AF47,AH47,AK47,AN47)&lt;5,SUM(Y47,AD47,AF47,AH47,AK47,AN47),SUM(LARGE((Y47,AD47,AF47,AH47,AK47,AN47),{1;2;3;4;5}))))+U47),0)</f>
        <v>509</v>
      </c>
      <c r="Q47" s="661"/>
      <c r="R47" s="405">
        <f t="array" ref="R47">IF(T47="j",((IF(COUNT(V47,W47,AA47,AB47,AC47,AE47,AG47,AI47,AM47,AO47)&lt;7,SUM(V47,W47,AA47,AB47,AC47,AE47,AG47,AI47,AM47,AO47),SUM(LARGE((V47,W47,AA47,AB47,AC47,AE47,AG47,AI47,AM47,AO47),{1;2;3;4;5;6;7}))))+(IF(COUNT(Z47,AD47,AF47,AH47,AJ47,AN47)&lt;5,SUM(Z47,AD47,AF47,AH47,AJ47,AN47),SUM(LARGE((Z47,AD47,AF47,AH47,AJ47,AN47),{1;2;3;4;5}))))+U47),0)</f>
        <v>0</v>
      </c>
      <c r="S47" s="64" t="s">
        <v>35</v>
      </c>
      <c r="T47" s="64"/>
      <c r="U47" s="173">
        <v>60</v>
      </c>
      <c r="V47" s="141" t="s">
        <v>397</v>
      </c>
      <c r="W47" s="141" t="s">
        <v>397</v>
      </c>
      <c r="X47" s="15">
        <v>83</v>
      </c>
      <c r="Y47" s="613">
        <v>146</v>
      </c>
      <c r="Z47" s="610"/>
      <c r="AA47" s="15">
        <v>60</v>
      </c>
      <c r="AB47" s="141" t="s">
        <v>397</v>
      </c>
      <c r="AC47" s="15"/>
      <c r="AD47" s="141" t="s">
        <v>397</v>
      </c>
      <c r="AE47" s="15"/>
      <c r="AF47" s="15"/>
      <c r="AG47" s="15"/>
      <c r="AH47" s="15">
        <v>60</v>
      </c>
      <c r="AI47" s="15"/>
      <c r="AJ47" s="15">
        <v>83</v>
      </c>
      <c r="AK47" s="613">
        <v>146</v>
      </c>
      <c r="AL47" s="15"/>
      <c r="AM47" s="15">
        <v>37</v>
      </c>
      <c r="AN47" s="15"/>
      <c r="AO47" s="15"/>
      <c r="AP47" s="33">
        <f t="shared" si="7"/>
        <v>5</v>
      </c>
      <c r="AQ47" s="440">
        <f t="shared" si="8"/>
        <v>2</v>
      </c>
      <c r="AR47" s="441">
        <f t="shared" si="9"/>
        <v>0</v>
      </c>
      <c r="AS47" s="34">
        <f t="shared" si="10"/>
        <v>0</v>
      </c>
      <c r="AT47" s="4">
        <f t="shared" si="11"/>
        <v>3</v>
      </c>
      <c r="AU47" s="285">
        <f t="shared" si="12"/>
        <v>1</v>
      </c>
    </row>
    <row r="48" spans="1:47" x14ac:dyDescent="0.2">
      <c r="A48" s="59" t="s">
        <v>327</v>
      </c>
      <c r="B48" s="438" t="str">
        <f t="shared" si="0"/>
        <v/>
      </c>
      <c r="C48" s="432">
        <f t="shared" si="1"/>
        <v>0</v>
      </c>
      <c r="D48" s="61">
        <v>13</v>
      </c>
      <c r="E48" s="438">
        <f t="shared" si="2"/>
        <v>13</v>
      </c>
      <c r="F48" s="431">
        <f t="shared" si="3"/>
        <v>10421</v>
      </c>
      <c r="G48" s="660" t="s">
        <v>327</v>
      </c>
      <c r="H48" s="438" t="str">
        <f t="shared" si="4"/>
        <v/>
      </c>
      <c r="I48" s="658">
        <f t="shared" si="5"/>
        <v>0</v>
      </c>
      <c r="J48" s="154">
        <f t="shared" si="6"/>
        <v>40</v>
      </c>
      <c r="K48" s="139">
        <v>40</v>
      </c>
      <c r="L48" s="65" t="s">
        <v>39</v>
      </c>
      <c r="M48" s="139">
        <v>360</v>
      </c>
      <c r="N48" s="446">
        <f t="array" ref="N48">(IF(COUNT(V48,W48,AA48,AB48,AC48,AE48,AG48,AI48,AM48,AO48)&lt;7,SUM(V48,W48,AA48,AB48,AC48,AE48,AG48,AI48,AM48,AO48),SUM(LARGE((V48,W48,AA48,AB48,AC48,AE48,AG48,AI48,AM48,AO48),{1;2;3;4;5;6;7}))))+(IF(COUNT(X48,AD48,AF48,AH48,AJ48,AN48)&lt;5,SUM(X48,AD48,AF48,AH48,AJ48,AN48),SUM(LARGE((X48,AD48,AF48,AH48,AJ48,AN48),{1;2;3;4;5}))))+U48</f>
        <v>360</v>
      </c>
      <c r="O48" s="413">
        <v>421</v>
      </c>
      <c r="P48" s="405">
        <f t="array" ref="P48">IF(S48="n",((IF(COUNT(V48,W48,AA48,AB48,AC48,AE48,AG48,AI48,AM48,AO48)&lt;7,SUM(V48,W48,AA48,AB48,AC48,AE48,AG48,AI48,AM48,AO48),SUM(LARGE((V48,W48,AA48,AB48,AC48,AE48,AG48,AI48,AM48,AO48),{1;2;3;4;5;6;7}))))+(IF(COUNT(Y48,AD48,AF48,AH48,AK48,AN48)&lt;5,SUM(Y48,AD48,AF48,AH48,AK48,AN48),SUM(LARGE((Y48,AD48,AF48,AH48,AK48,AN48),{1;2;3;4;5}))))+U48),0)</f>
        <v>421</v>
      </c>
      <c r="Q48" s="661"/>
      <c r="R48" s="405">
        <f t="array" ref="R48">IF(T48="j",((IF(COUNT(V48,W48,AA48,AB48,AC48,AE48,AG48,AI48,AM48,AO48)&lt;7,SUM(V48,W48,AA48,AB48,AC48,AE48,AG48,AI48,AM48,AO48),SUM(LARGE((V48,W48,AA48,AB48,AC48,AE48,AG48,AI48,AM48,AO48),{1;2;3;4;5;6;7}))))+(IF(COUNT(Z48,AD48,AF48,AH48,AJ48,AN48)&lt;5,SUM(Z48,AD48,AF48,AH48,AJ48,AN48),SUM(LARGE((Z48,AD48,AF48,AH48,AJ48,AN48),{1;2;3;4;5}))))+U48),0)</f>
        <v>0</v>
      </c>
      <c r="S48" s="64" t="s">
        <v>35</v>
      </c>
      <c r="T48" s="64"/>
      <c r="U48" s="173">
        <v>1</v>
      </c>
      <c r="V48" s="141" t="s">
        <v>397</v>
      </c>
      <c r="W48" s="141" t="s">
        <v>397</v>
      </c>
      <c r="X48" s="141" t="s">
        <v>397</v>
      </c>
      <c r="Y48" s="614"/>
      <c r="Z48" s="611"/>
      <c r="AA48" s="141" t="s">
        <v>397</v>
      </c>
      <c r="AB48" s="15"/>
      <c r="AC48" s="15"/>
      <c r="AD48" s="15">
        <v>111</v>
      </c>
      <c r="AE48" s="15">
        <v>84</v>
      </c>
      <c r="AF48" s="15"/>
      <c r="AG48" s="15"/>
      <c r="AH48" s="15"/>
      <c r="AI48" s="15"/>
      <c r="AJ48" s="15">
        <v>74</v>
      </c>
      <c r="AK48" s="613">
        <v>135</v>
      </c>
      <c r="AL48" s="15"/>
      <c r="AM48" s="15">
        <v>90</v>
      </c>
      <c r="AN48" s="15"/>
      <c r="AO48" s="15"/>
      <c r="AP48" s="33">
        <f t="shared" si="7"/>
        <v>4</v>
      </c>
      <c r="AQ48" s="440">
        <f t="shared" si="8"/>
        <v>0</v>
      </c>
      <c r="AR48" s="441">
        <f t="shared" si="9"/>
        <v>0</v>
      </c>
      <c r="AS48" s="34">
        <f t="shared" si="10"/>
        <v>0</v>
      </c>
      <c r="AT48" s="4">
        <f t="shared" si="11"/>
        <v>3</v>
      </c>
      <c r="AU48" s="285">
        <f t="shared" si="12"/>
        <v>1</v>
      </c>
    </row>
    <row r="49" spans="1:47" x14ac:dyDescent="0.2">
      <c r="A49" s="59">
        <v>28</v>
      </c>
      <c r="B49" s="438">
        <f t="shared" si="0"/>
        <v>28</v>
      </c>
      <c r="C49" s="432">
        <f t="shared" si="1"/>
        <v>10350</v>
      </c>
      <c r="D49" s="61" t="s">
        <v>327</v>
      </c>
      <c r="E49" s="438" t="str">
        <f t="shared" si="2"/>
        <v/>
      </c>
      <c r="F49" s="431">
        <f t="shared" si="3"/>
        <v>0</v>
      </c>
      <c r="G49" s="660" t="s">
        <v>327</v>
      </c>
      <c r="H49" s="438" t="str">
        <f t="shared" si="4"/>
        <v/>
      </c>
      <c r="I49" s="658">
        <f t="shared" si="5"/>
        <v>0</v>
      </c>
      <c r="J49" s="154">
        <f t="shared" si="6"/>
        <v>41</v>
      </c>
      <c r="K49" s="139">
        <v>41</v>
      </c>
      <c r="L49" s="601" t="s">
        <v>72</v>
      </c>
      <c r="M49" s="139">
        <v>350</v>
      </c>
      <c r="N49" s="446">
        <f t="array" ref="N49">(IF(COUNT(V49,W49,AA49,AB49,AC49,AE49,AG49,AI49,AM49,AO49)&lt;7,SUM(V49,W49,AA49,AB49,AC49,AE49,AG49,AI49,AM49,AO49),SUM(LARGE((V49,W49,AA49,AB49,AC49,AE49,AG49,AI49,AM49,AO49),{1;2;3;4;5;6;7}))))+(IF(COUNT(X49,AD49,AF49,AH49,AJ49,AN49)&lt;5,SUM(X49,AD49,AF49,AH49,AJ49,AN49),SUM(LARGE((X49,AD49,AF49,AH49,AJ49,AN49),{1;2;3;4;5}))))+U49</f>
        <v>350</v>
      </c>
      <c r="O49" s="413"/>
      <c r="P49" s="405">
        <f t="array" ref="P49">IF(S49="n",((IF(COUNT(V49,W49,AA49,AB49,AC49,AE49,AG49,AI49,AM49,AO49)&lt;7,SUM(V49,W49,AA49,AB49,AC49,AE49,AG49,AI49,AM49,AO49),SUM(LARGE((V49,W49,AA49,AB49,AC49,AE49,AG49,AI49,AM49,AO49),{1;2;3;4;5;6;7}))))+(IF(COUNT(Y49,AD49,AF49,AH49,AK49,AN49)&lt;5,SUM(Y49,AD49,AF49,AH49,AK49,AN49),SUM(LARGE((Y49,AD49,AF49,AH49,AK49,AN49),{1;2;3;4;5}))))+U49),0)</f>
        <v>0</v>
      </c>
      <c r="Q49" s="661"/>
      <c r="R49" s="405">
        <f t="array" ref="R49">IF(T49="j",((IF(COUNT(V49,W49,AA49,AB49,AC49,AE49,AG49,AI49,AM49,AO49)&lt;7,SUM(V49,W49,AA49,AB49,AC49,AE49,AG49,AI49,AM49,AO49),SUM(LARGE((V49,W49,AA49,AB49,AC49,AE49,AG49,AI49,AM49,AO49),{1;2;3;4;5;6;7}))))+(IF(COUNT(Z49,AD49,AF49,AH49,AJ49,AN49)&lt;5,SUM(Z49,AD49,AF49,AH49,AJ49,AN49),SUM(LARGE((Z49,AD49,AF49,AH49,AJ49,AN49),{1;2;3;4;5}))))+U49),0)</f>
        <v>0</v>
      </c>
      <c r="S49" s="64"/>
      <c r="T49" s="64"/>
      <c r="U49" s="173">
        <v>25</v>
      </c>
      <c r="V49" s="141" t="s">
        <v>397</v>
      </c>
      <c r="W49" s="141" t="s">
        <v>397</v>
      </c>
      <c r="X49" s="141" t="s">
        <v>397</v>
      </c>
      <c r="Y49" s="614"/>
      <c r="Z49" s="611"/>
      <c r="AA49" s="141" t="s">
        <v>397</v>
      </c>
      <c r="AB49" s="15"/>
      <c r="AC49" s="15"/>
      <c r="AD49" s="15"/>
      <c r="AE49" s="15"/>
      <c r="AF49" s="15">
        <v>146</v>
      </c>
      <c r="AG49" s="15">
        <v>105</v>
      </c>
      <c r="AH49" s="15"/>
      <c r="AI49" s="15"/>
      <c r="AJ49" s="15"/>
      <c r="AK49" s="613"/>
      <c r="AL49" s="15"/>
      <c r="AM49" s="15">
        <v>74</v>
      </c>
      <c r="AN49" s="15"/>
      <c r="AO49" s="15"/>
      <c r="AP49" s="33">
        <f t="shared" si="7"/>
        <v>3</v>
      </c>
      <c r="AQ49" s="440">
        <f t="shared" si="8"/>
        <v>2</v>
      </c>
      <c r="AR49" s="441">
        <f t="shared" si="9"/>
        <v>0</v>
      </c>
      <c r="AS49" s="34">
        <f t="shared" si="10"/>
        <v>0</v>
      </c>
      <c r="AT49" s="4">
        <f t="shared" si="11"/>
        <v>3</v>
      </c>
      <c r="AU49" s="285">
        <f t="shared" si="12"/>
        <v>1</v>
      </c>
    </row>
    <row r="50" spans="1:47" x14ac:dyDescent="0.2">
      <c r="A50" s="59">
        <v>29</v>
      </c>
      <c r="B50" s="438">
        <f t="shared" si="0"/>
        <v>29</v>
      </c>
      <c r="C50" s="432">
        <f t="shared" si="1"/>
        <v>10327</v>
      </c>
      <c r="D50" s="61" t="s">
        <v>327</v>
      </c>
      <c r="E50" s="438" t="str">
        <f t="shared" si="2"/>
        <v/>
      </c>
      <c r="F50" s="431">
        <f t="shared" si="3"/>
        <v>0</v>
      </c>
      <c r="G50" s="660" t="s">
        <v>327</v>
      </c>
      <c r="H50" s="438" t="str">
        <f t="shared" si="4"/>
        <v/>
      </c>
      <c r="I50" s="658">
        <f t="shared" si="5"/>
        <v>0</v>
      </c>
      <c r="J50" s="154">
        <f t="shared" si="6"/>
        <v>42</v>
      </c>
      <c r="K50" s="139">
        <v>42</v>
      </c>
      <c r="L50" s="601" t="s">
        <v>423</v>
      </c>
      <c r="M50" s="139">
        <v>327</v>
      </c>
      <c r="N50" s="446">
        <f t="array" ref="N50">(IF(COUNT(V50,W50,AA50,AB50,AC50,AE50,AG50,AI50,AM50,AO50)&lt;7,SUM(V50,W50,AA50,AB50,AC50,AE50,AG50,AI50,AM50,AO50),SUM(LARGE((V50,W50,AA50,AB50,AC50,AE50,AG50,AI50,AM50,AO50),{1;2;3;4;5;6;7}))))+(IF(COUNT(X50,AD50,AF50,AH50,AJ50,AN50)&lt;5,SUM(X50,AD50,AF50,AH50,AJ50,AN50),SUM(LARGE((X50,AD50,AF50,AH50,AJ50,AN50),{1;2;3;4;5}))))+U50</f>
        <v>327</v>
      </c>
      <c r="O50" s="413"/>
      <c r="P50" s="405">
        <f t="array" ref="P50">IF(S50="n",((IF(COUNT(V50,W50,AA50,AB50,AC50,AE50,AG50,AI50,AM50,AO50)&lt;7,SUM(V50,W50,AA50,AB50,AC50,AE50,AG50,AI50,AM50,AO50),SUM(LARGE((V50,W50,AA50,AB50,AC50,AE50,AG50,AI50,AM50,AO50),{1;2;3;4;5;6;7}))))+(IF(COUNT(Y50,AD50,AF50,AH50,AK50,AN50)&lt;5,SUM(Y50,AD50,AF50,AH50,AK50,AN50),SUM(LARGE((Y50,AD50,AF50,AH50,AK50,AN50),{1;2;3;4;5}))))+U50),0)</f>
        <v>0</v>
      </c>
      <c r="Q50" s="661"/>
      <c r="R50" s="405">
        <f t="array" ref="R50">IF(T50="j",((IF(COUNT(V50,W50,AA50,AB50,AC50,AE50,AG50,AI50,AM50,AO50)&lt;7,SUM(V50,W50,AA50,AB50,AC50,AE50,AG50,AI50,AM50,AO50),SUM(LARGE((V50,W50,AA50,AB50,AC50,AE50,AG50,AI50,AM50,AO50),{1;2;3;4;5;6;7}))))+(IF(COUNT(Z50,AD50,AF50,AH50,AJ50,AN50)&lt;5,SUM(Z50,AD50,AF50,AH50,AJ50,AN50),SUM(LARGE((Z50,AD50,AF50,AH50,AJ50,AN50),{1;2;3;4;5}))))+U50),0)</f>
        <v>0</v>
      </c>
      <c r="S50" s="64"/>
      <c r="T50" s="64"/>
      <c r="U50" s="173"/>
      <c r="V50" s="141" t="s">
        <v>397</v>
      </c>
      <c r="W50" s="141" t="s">
        <v>397</v>
      </c>
      <c r="X50" s="15">
        <v>173</v>
      </c>
      <c r="Y50" s="613"/>
      <c r="Z50" s="610"/>
      <c r="AA50" s="141" t="s">
        <v>397</v>
      </c>
      <c r="AB50" s="15"/>
      <c r="AC50" s="15">
        <v>64</v>
      </c>
      <c r="AD50" s="141" t="s">
        <v>397</v>
      </c>
      <c r="AE50" s="15"/>
      <c r="AF50" s="15"/>
      <c r="AG50" s="15">
        <v>90</v>
      </c>
      <c r="AH50" s="15"/>
      <c r="AI50" s="15"/>
      <c r="AJ50" s="15"/>
      <c r="AK50" s="613"/>
      <c r="AL50" s="15"/>
      <c r="AM50" s="15"/>
      <c r="AN50" s="15"/>
      <c r="AO50" s="15"/>
      <c r="AP50" s="33">
        <f t="shared" si="7"/>
        <v>3</v>
      </c>
      <c r="AQ50" s="440">
        <f t="shared" si="8"/>
        <v>1</v>
      </c>
      <c r="AR50" s="441">
        <f t="shared" si="9"/>
        <v>1</v>
      </c>
      <c r="AS50" s="34">
        <f t="shared" si="10"/>
        <v>1</v>
      </c>
      <c r="AT50" s="4">
        <f t="shared" si="11"/>
        <v>3</v>
      </c>
      <c r="AU50" s="285">
        <f t="shared" si="12"/>
        <v>1</v>
      </c>
    </row>
    <row r="51" spans="1:47" x14ac:dyDescent="0.2">
      <c r="A51" s="59" t="s">
        <v>327</v>
      </c>
      <c r="B51" s="438" t="str">
        <f t="shared" si="0"/>
        <v/>
      </c>
      <c r="C51" s="432">
        <f t="shared" si="1"/>
        <v>0</v>
      </c>
      <c r="D51" s="61">
        <v>15</v>
      </c>
      <c r="E51" s="438">
        <f t="shared" si="2"/>
        <v>15</v>
      </c>
      <c r="F51" s="431">
        <f t="shared" si="3"/>
        <v>10317</v>
      </c>
      <c r="G51" s="660" t="s">
        <v>327</v>
      </c>
      <c r="H51" s="438" t="str">
        <f t="shared" si="4"/>
        <v/>
      </c>
      <c r="I51" s="658">
        <f t="shared" si="5"/>
        <v>0</v>
      </c>
      <c r="J51" s="154">
        <f t="shared" si="6"/>
        <v>43</v>
      </c>
      <c r="K51" s="139">
        <v>43</v>
      </c>
      <c r="L51" s="65" t="s">
        <v>440</v>
      </c>
      <c r="M51" s="139">
        <v>317</v>
      </c>
      <c r="N51" s="446">
        <f t="array" ref="N51">(IF(COUNT(V51,W51,AA51,AB51,AC51,AE51,AG51,AI51,AM51,AO51)&lt;7,SUM(V51,W51,AA51,AB51,AC51,AE51,AG51,AI51,AM51,AO51),SUM(LARGE((V51,W51,AA51,AB51,AC51,AE51,AG51,AI51,AM51,AO51),{1;2;3;4;5;6;7}))))+(IF(COUNT(X51,AD51,AF51,AH51,AJ51,AN51)&lt;5,SUM(X51,AD51,AF51,AH51,AJ51,AN51),SUM(LARGE((X51,AD51,AF51,AH51,AJ51,AN51),{1;2;3;4;5}))))+U51</f>
        <v>317</v>
      </c>
      <c r="O51" s="413">
        <v>317</v>
      </c>
      <c r="P51" s="405">
        <f t="array" ref="P51">IF(S51="n",((IF(COUNT(V51,W51,AA51,AB51,AC51,AE51,AG51,AI51,AM51,AO51)&lt;7,SUM(V51,W51,AA51,AB51,AC51,AE51,AG51,AI51,AM51,AO51),SUM(LARGE((V51,W51,AA51,AB51,AC51,AE51,AG51,AI51,AM51,AO51),{1;2;3;4;5;6;7}))))+(IF(COUNT(Y51,AD51,AF51,AH51,AK51,AN51)&lt;5,SUM(Y51,AD51,AF51,AH51,AK51,AN51),SUM(LARGE((Y51,AD51,AF51,AH51,AK51,AN51),{1;2;3;4;5}))))+U51),0)</f>
        <v>317</v>
      </c>
      <c r="Q51" s="661"/>
      <c r="R51" s="405">
        <f t="array" ref="R51">IF(T51="j",((IF(COUNT(V51,W51,AA51,AB51,AC51,AE51,AG51,AI51,AM51,AO51)&lt;7,SUM(V51,W51,AA51,AB51,AC51,AE51,AG51,AI51,AM51,AO51),SUM(LARGE((V51,W51,AA51,AB51,AC51,AE51,AG51,AI51,AM51,AO51),{1;2;3;4;5;6;7}))))+(IF(COUNT(Z51,AD51,AF51,AH51,AJ51,AN51)&lt;5,SUM(Z51,AD51,AF51,AH51,AJ51,AN51),SUM(LARGE((Z51,AD51,AF51,AH51,AJ51,AN51),{1;2;3;4;5}))))+U51),0)</f>
        <v>0</v>
      </c>
      <c r="S51" s="64" t="s">
        <v>35</v>
      </c>
      <c r="T51" s="64"/>
      <c r="U51" s="173"/>
      <c r="V51" s="141" t="s">
        <v>397</v>
      </c>
      <c r="W51" s="141" t="s">
        <v>397</v>
      </c>
      <c r="X51" s="141" t="s">
        <v>397</v>
      </c>
      <c r="Y51" s="614"/>
      <c r="Z51" s="611"/>
      <c r="AA51" s="15">
        <v>79</v>
      </c>
      <c r="AB51" s="141" t="s">
        <v>397</v>
      </c>
      <c r="AC51" s="15"/>
      <c r="AD51" s="15">
        <v>173</v>
      </c>
      <c r="AE51" s="15"/>
      <c r="AF51" s="15">
        <v>65</v>
      </c>
      <c r="AG51" s="15"/>
      <c r="AH51" s="15"/>
      <c r="AI51" s="15"/>
      <c r="AJ51" s="15"/>
      <c r="AK51" s="613"/>
      <c r="AL51" s="15"/>
      <c r="AM51" s="15"/>
      <c r="AN51" s="15"/>
      <c r="AO51" s="15"/>
      <c r="AP51" s="33">
        <f t="shared" si="7"/>
        <v>3</v>
      </c>
      <c r="AQ51" s="440">
        <f t="shared" si="8"/>
        <v>1</v>
      </c>
      <c r="AR51" s="441">
        <f t="shared" si="9"/>
        <v>1</v>
      </c>
      <c r="AS51" s="34">
        <f t="shared" si="10"/>
        <v>1</v>
      </c>
      <c r="AT51" s="4">
        <f t="shared" si="11"/>
        <v>3</v>
      </c>
      <c r="AU51" s="285">
        <f t="shared" si="12"/>
        <v>1</v>
      </c>
    </row>
    <row r="52" spans="1:47" x14ac:dyDescent="0.2">
      <c r="A52" s="59">
        <v>30</v>
      </c>
      <c r="B52" s="438">
        <f t="shared" si="0"/>
        <v>30</v>
      </c>
      <c r="C52" s="432">
        <f t="shared" si="1"/>
        <v>10317</v>
      </c>
      <c r="D52" s="61" t="s">
        <v>327</v>
      </c>
      <c r="E52" s="438" t="str">
        <f t="shared" si="2"/>
        <v/>
      </c>
      <c r="F52" s="431">
        <f t="shared" si="3"/>
        <v>0</v>
      </c>
      <c r="G52" s="660" t="s">
        <v>327</v>
      </c>
      <c r="H52" s="438" t="str">
        <f t="shared" si="4"/>
        <v/>
      </c>
      <c r="I52" s="658">
        <f t="shared" si="5"/>
        <v>0</v>
      </c>
      <c r="J52" s="154">
        <f t="shared" si="6"/>
        <v>43</v>
      </c>
      <c r="K52" s="139">
        <v>43</v>
      </c>
      <c r="L52" s="601" t="s">
        <v>439</v>
      </c>
      <c r="M52" s="139">
        <v>317</v>
      </c>
      <c r="N52" s="446">
        <f t="array" ref="N52">(IF(COUNT(V52,W52,AA52,AB52,AC52,AE52,AG52,AI52,AM52,AO52)&lt;7,SUM(V52,W52,AA52,AB52,AC52,AE52,AG52,AI52,AM52,AO52),SUM(LARGE((V52,W52,AA52,AB52,AC52,AE52,AG52,AI52,AM52,AO52),{1;2;3;4;5;6;7}))))+(IF(COUNT(X52,AD52,AF52,AH52,AJ52,AN52)&lt;5,SUM(X52,AD52,AF52,AH52,AJ52,AN52),SUM(LARGE((X52,AD52,AF52,AH52,AJ52,AN52),{1;2;3;4;5}))))+U52</f>
        <v>317</v>
      </c>
      <c r="O52" s="413"/>
      <c r="P52" s="405">
        <f t="array" ref="P52">IF(S52="n",((IF(COUNT(V52,W52,AA52,AB52,AC52,AE52,AG52,AI52,AM52,AO52)&lt;7,SUM(V52,W52,AA52,AB52,AC52,AE52,AG52,AI52,AM52,AO52),SUM(LARGE((V52,W52,AA52,AB52,AC52,AE52,AG52,AI52,AM52,AO52),{1;2;3;4;5;6;7}))))+(IF(COUNT(Y52,AD52,AF52,AH52,AK52,AN52)&lt;5,SUM(Y52,AD52,AF52,AH52,AK52,AN52),SUM(LARGE((Y52,AD52,AF52,AH52,AK52,AN52),{1;2;3;4;5}))))+U52),0)</f>
        <v>0</v>
      </c>
      <c r="Q52" s="661"/>
      <c r="R52" s="405">
        <f t="array" ref="R52">IF(T52="j",((IF(COUNT(V52,W52,AA52,AB52,AC52,AE52,AG52,AI52,AM52,AO52)&lt;7,SUM(V52,W52,AA52,AB52,AC52,AE52,AG52,AI52,AM52,AO52),SUM(LARGE((V52,W52,AA52,AB52,AC52,AE52,AG52,AI52,AM52,AO52),{1;2;3;4;5;6;7}))))+(IF(COUNT(Z52,AD52,AF52,AH52,AJ52,AN52)&lt;5,SUM(Z52,AD52,AF52,AH52,AJ52,AN52),SUM(LARGE((Z52,AD52,AF52,AH52,AJ52,AN52),{1;2;3;4;5}))))+U52),0)</f>
        <v>0</v>
      </c>
      <c r="S52" s="64"/>
      <c r="T52" s="64"/>
      <c r="U52" s="173"/>
      <c r="V52" s="141" t="s">
        <v>397</v>
      </c>
      <c r="W52" s="141" t="s">
        <v>397</v>
      </c>
      <c r="X52" s="141" t="s">
        <v>397</v>
      </c>
      <c r="Y52" s="614"/>
      <c r="Z52" s="611"/>
      <c r="AA52" s="15">
        <v>79</v>
      </c>
      <c r="AB52" s="141" t="s">
        <v>397</v>
      </c>
      <c r="AC52" s="15"/>
      <c r="AD52" s="15">
        <v>173</v>
      </c>
      <c r="AE52" s="15"/>
      <c r="AF52" s="15">
        <v>65</v>
      </c>
      <c r="AG52" s="15"/>
      <c r="AH52" s="15"/>
      <c r="AI52" s="15"/>
      <c r="AJ52" s="15"/>
      <c r="AK52" s="613"/>
      <c r="AL52" s="15"/>
      <c r="AM52" s="15"/>
      <c r="AN52" s="15"/>
      <c r="AO52" s="15"/>
      <c r="AP52" s="33">
        <f t="shared" si="7"/>
        <v>3</v>
      </c>
      <c r="AQ52" s="440">
        <f t="shared" si="8"/>
        <v>1</v>
      </c>
      <c r="AR52" s="441">
        <f t="shared" si="9"/>
        <v>1</v>
      </c>
      <c r="AS52" s="34">
        <f t="shared" si="10"/>
        <v>1</v>
      </c>
      <c r="AT52" s="4">
        <f t="shared" si="11"/>
        <v>3</v>
      </c>
      <c r="AU52" s="285">
        <f t="shared" si="12"/>
        <v>1</v>
      </c>
    </row>
    <row r="53" spans="1:47" x14ac:dyDescent="0.2">
      <c r="A53" s="59">
        <v>31</v>
      </c>
      <c r="B53" s="438">
        <f t="shared" si="0"/>
        <v>31</v>
      </c>
      <c r="C53" s="432">
        <f t="shared" si="1"/>
        <v>10315</v>
      </c>
      <c r="D53" s="61" t="s">
        <v>327</v>
      </c>
      <c r="E53" s="438" t="str">
        <f t="shared" si="2"/>
        <v/>
      </c>
      <c r="F53" s="431">
        <f t="shared" si="3"/>
        <v>0</v>
      </c>
      <c r="G53" s="660" t="s">
        <v>327</v>
      </c>
      <c r="H53" s="438" t="str">
        <f t="shared" si="4"/>
        <v/>
      </c>
      <c r="I53" s="658">
        <f t="shared" si="5"/>
        <v>0</v>
      </c>
      <c r="J53" s="154">
        <f t="shared" si="6"/>
        <v>45</v>
      </c>
      <c r="K53" s="139">
        <v>45</v>
      </c>
      <c r="L53" s="601" t="s">
        <v>79</v>
      </c>
      <c r="M53" s="139">
        <v>315</v>
      </c>
      <c r="N53" s="446">
        <f t="array" ref="N53">(IF(COUNT(V53,W53,AA53,AB53,AC53,AE53,AG53,AI53,AM53,AO53)&lt;7,SUM(V53,W53,AA53,AB53,AC53,AE53,AG53,AI53,AM53,AO53),SUM(LARGE((V53,W53,AA53,AB53,AC53,AE53,AG53,AI53,AM53,AO53),{1;2;3;4;5;6;7}))))+(IF(COUNT(X53,AD53,AF53,AH53,AJ53,AN53)&lt;5,SUM(X53,AD53,AF53,AH53,AJ53,AN53),SUM(LARGE((X53,AD53,AF53,AH53,AJ53,AN53),{1;2;3;4;5}))))+U53</f>
        <v>315</v>
      </c>
      <c r="O53" s="413"/>
      <c r="P53" s="405">
        <f t="array" ref="P53">IF(S53="n",((IF(COUNT(V53,W53,AA53,AB53,AC53,AE53,AG53,AI53,AM53,AO53)&lt;7,SUM(V53,W53,AA53,AB53,AC53,AE53,AG53,AI53,AM53,AO53),SUM(LARGE((V53,W53,AA53,AB53,AC53,AE53,AG53,AI53,AM53,AO53),{1;2;3;4;5;6;7}))))+(IF(COUNT(Y53,AD53,AF53,AH53,AK53,AN53)&lt;5,SUM(Y53,AD53,AF53,AH53,AK53,AN53),SUM(LARGE((Y53,AD53,AF53,AH53,AK53,AN53),{1;2;3;4;5}))))+U53),0)</f>
        <v>0</v>
      </c>
      <c r="Q53" s="661"/>
      <c r="R53" s="405">
        <f t="array" ref="R53">IF(T53="j",((IF(COUNT(V53,W53,AA53,AB53,AC53,AE53,AG53,AI53,AM53,AO53)&lt;7,SUM(V53,W53,AA53,AB53,AC53,AE53,AG53,AI53,AM53,AO53),SUM(LARGE((V53,W53,AA53,AB53,AC53,AE53,AG53,AI53,AM53,AO53),{1;2;3;4;5;6;7}))))+(IF(COUNT(Z53,AD53,AF53,AH53,AJ53,AN53)&lt;5,SUM(Z53,AD53,AF53,AH53,AJ53,AN53),SUM(LARGE((Z53,AD53,AF53,AH53,AJ53,AN53),{1;2;3;4;5}))))+U53),0)</f>
        <v>0</v>
      </c>
      <c r="S53" s="64"/>
      <c r="T53" s="64"/>
      <c r="U53" s="173">
        <v>1</v>
      </c>
      <c r="V53" s="15">
        <v>69</v>
      </c>
      <c r="W53" s="15">
        <v>60</v>
      </c>
      <c r="X53" s="141" t="s">
        <v>397</v>
      </c>
      <c r="Y53" s="614"/>
      <c r="Z53" s="611"/>
      <c r="AA53" s="141" t="s">
        <v>397</v>
      </c>
      <c r="AB53" s="141" t="s">
        <v>397</v>
      </c>
      <c r="AC53" s="15">
        <v>37</v>
      </c>
      <c r="AD53" s="15"/>
      <c r="AE53" s="15">
        <v>56</v>
      </c>
      <c r="AF53" s="15"/>
      <c r="AG53" s="15">
        <v>52</v>
      </c>
      <c r="AH53" s="15"/>
      <c r="AI53" s="141" t="s">
        <v>397</v>
      </c>
      <c r="AJ53" s="15"/>
      <c r="AK53" s="613"/>
      <c r="AL53" s="15"/>
      <c r="AM53" s="15">
        <v>40</v>
      </c>
      <c r="AN53" s="15"/>
      <c r="AO53" s="15"/>
      <c r="AP53" s="33">
        <f t="shared" si="7"/>
        <v>6</v>
      </c>
      <c r="AQ53" s="440">
        <f t="shared" si="8"/>
        <v>0</v>
      </c>
      <c r="AR53" s="441">
        <f t="shared" si="9"/>
        <v>0</v>
      </c>
      <c r="AS53" s="34">
        <f t="shared" si="10"/>
        <v>0</v>
      </c>
      <c r="AT53" s="4">
        <f t="shared" si="11"/>
        <v>3</v>
      </c>
      <c r="AU53" s="285">
        <f t="shared" si="12"/>
        <v>1</v>
      </c>
    </row>
    <row r="54" spans="1:47" x14ac:dyDescent="0.2">
      <c r="A54" s="59">
        <v>32</v>
      </c>
      <c r="B54" s="438">
        <f t="shared" si="0"/>
        <v>32</v>
      </c>
      <c r="C54" s="432">
        <f t="shared" si="1"/>
        <v>10305</v>
      </c>
      <c r="D54" s="61" t="s">
        <v>327</v>
      </c>
      <c r="E54" s="438" t="str">
        <f t="shared" si="2"/>
        <v/>
      </c>
      <c r="F54" s="431">
        <f t="shared" si="3"/>
        <v>0</v>
      </c>
      <c r="G54" s="660" t="s">
        <v>327</v>
      </c>
      <c r="H54" s="438" t="str">
        <f t="shared" si="4"/>
        <v/>
      </c>
      <c r="I54" s="658">
        <f t="shared" si="5"/>
        <v>0</v>
      </c>
      <c r="J54" s="154">
        <f t="shared" si="6"/>
        <v>46</v>
      </c>
      <c r="K54" s="139">
        <v>46</v>
      </c>
      <c r="L54" s="601" t="s">
        <v>73</v>
      </c>
      <c r="M54" s="139">
        <v>305</v>
      </c>
      <c r="N54" s="446">
        <f t="array" ref="N54">(IF(COUNT(V54,W54,AA54,AB54,AC54,AE54,AG54,AI54,AM54,AO54)&lt;7,SUM(V54,W54,AA54,AB54,AC54,AE54,AG54,AI54,AM54,AO54),SUM(LARGE((V54,W54,AA54,AB54,AC54,AE54,AG54,AI54,AM54,AO54),{1;2;3;4;5;6;7}))))+(IF(COUNT(X54,AD54,AF54,AH54,AJ54,AN54)&lt;5,SUM(X54,AD54,AF54,AH54,AJ54,AN54),SUM(LARGE((X54,AD54,AF54,AH54,AJ54,AN54),{1;2;3;4;5}))))+U54</f>
        <v>305</v>
      </c>
      <c r="O54" s="413"/>
      <c r="P54" s="405">
        <f t="array" ref="P54">IF(S54="n",((IF(COUNT(V54,W54,AA54,AB54,AC54,AE54,AG54,AI54,AM54,AO54)&lt;7,SUM(V54,W54,AA54,AB54,AC54,AE54,AG54,AI54,AM54,AO54),SUM(LARGE((V54,W54,AA54,AB54,AC54,AE54,AG54,AI54,AM54,AO54),{1;2;3;4;5;6;7}))))+(IF(COUNT(Y54,AD54,AF54,AH54,AK54,AN54)&lt;5,SUM(Y54,AD54,AF54,AH54,AK54,AN54),SUM(LARGE((Y54,AD54,AF54,AH54,AK54,AN54),{1;2;3;4;5}))))+U54),0)</f>
        <v>0</v>
      </c>
      <c r="Q54" s="661"/>
      <c r="R54" s="405">
        <f t="array" ref="R54">IF(T54="j",((IF(COUNT(V54,W54,AA54,AB54,AC54,AE54,AG54,AI54,AM54,AO54)&lt;7,SUM(V54,W54,AA54,AB54,AC54,AE54,AG54,AI54,AM54,AO54),SUM(LARGE((V54,W54,AA54,AB54,AC54,AE54,AG54,AI54,AM54,AO54),{1;2;3;4;5;6;7}))))+(IF(COUNT(Z54,AD54,AF54,AH54,AJ54,AN54)&lt;5,SUM(Z54,AD54,AF54,AH54,AJ54,AN54),SUM(LARGE((Z54,AD54,AF54,AH54,AJ54,AN54),{1;2;3;4;5}))))+U54),0)</f>
        <v>0</v>
      </c>
      <c r="S54" s="64"/>
      <c r="T54" s="64"/>
      <c r="U54" s="173">
        <v>1</v>
      </c>
      <c r="V54" s="141" t="s">
        <v>397</v>
      </c>
      <c r="W54" s="15">
        <v>84</v>
      </c>
      <c r="X54" s="15">
        <v>146</v>
      </c>
      <c r="Y54" s="613"/>
      <c r="Z54" s="610"/>
      <c r="AA54" s="141" t="s">
        <v>397</v>
      </c>
      <c r="AB54" s="141" t="s">
        <v>397</v>
      </c>
      <c r="AC54" s="15">
        <v>74</v>
      </c>
      <c r="AD54" s="141" t="s">
        <v>397</v>
      </c>
      <c r="AE54" s="15"/>
      <c r="AF54" s="15"/>
      <c r="AG54" s="15"/>
      <c r="AH54" s="15"/>
      <c r="AI54" s="15"/>
      <c r="AJ54" s="15"/>
      <c r="AK54" s="613"/>
      <c r="AL54" s="15"/>
      <c r="AM54" s="15"/>
      <c r="AN54" s="15"/>
      <c r="AO54" s="15"/>
      <c r="AP54" s="33">
        <f t="shared" si="7"/>
        <v>3</v>
      </c>
      <c r="AQ54" s="440">
        <f t="shared" si="8"/>
        <v>1</v>
      </c>
      <c r="AR54" s="441">
        <f t="shared" si="9"/>
        <v>0</v>
      </c>
      <c r="AS54" s="34">
        <f t="shared" si="10"/>
        <v>0</v>
      </c>
      <c r="AT54" s="4">
        <f t="shared" si="11"/>
        <v>3</v>
      </c>
      <c r="AU54" s="285">
        <f t="shared" si="12"/>
        <v>1</v>
      </c>
    </row>
    <row r="55" spans="1:47" x14ac:dyDescent="0.2">
      <c r="A55" s="59">
        <v>33</v>
      </c>
      <c r="B55" s="438">
        <f t="shared" si="0"/>
        <v>33</v>
      </c>
      <c r="C55" s="432">
        <f t="shared" si="1"/>
        <v>10304</v>
      </c>
      <c r="D55" s="61" t="s">
        <v>327</v>
      </c>
      <c r="E55" s="438" t="str">
        <f t="shared" si="2"/>
        <v/>
      </c>
      <c r="F55" s="431">
        <f t="shared" si="3"/>
        <v>0</v>
      </c>
      <c r="G55" s="660" t="s">
        <v>327</v>
      </c>
      <c r="H55" s="438" t="str">
        <f t="shared" si="4"/>
        <v/>
      </c>
      <c r="I55" s="658">
        <f t="shared" si="5"/>
        <v>0</v>
      </c>
      <c r="J55" s="154">
        <f t="shared" si="6"/>
        <v>47</v>
      </c>
      <c r="K55" s="139">
        <v>47</v>
      </c>
      <c r="L55" s="601" t="s">
        <v>62</v>
      </c>
      <c r="M55" s="139">
        <v>304</v>
      </c>
      <c r="N55" s="446">
        <f t="array" ref="N55">(IF(COUNT(V55,W55,AA55,AB55,AC55,AE55,AG55,AI55,AM55,AO55)&lt;7,SUM(V55,W55,AA55,AB55,AC55,AE55,AG55,AI55,AM55,AO55),SUM(LARGE((V55,W55,AA55,AB55,AC55,AE55,AG55,AI55,AM55,AO55),{1;2;3;4;5;6;7}))))+(IF(COUNT(X55,AD55,AF55,AH55,AJ55,AN55)&lt;5,SUM(X55,AD55,AF55,AH55,AJ55,AN55),SUM(LARGE((X55,AD55,AF55,AH55,AJ55,AN55),{1;2;3;4;5}))))+U55</f>
        <v>304</v>
      </c>
      <c r="O55" s="413"/>
      <c r="P55" s="405">
        <f t="array" ref="P55">IF(S55="n",((IF(COUNT(V55,W55,AA55,AB55,AC55,AE55,AG55,AI55,AM55,AO55)&lt;7,SUM(V55,W55,AA55,AB55,AC55,AE55,AG55,AI55,AM55,AO55),SUM(LARGE((V55,W55,AA55,AB55,AC55,AE55,AG55,AI55,AM55,AO55),{1;2;3;4;5;6;7}))))+(IF(COUNT(Y55,AD55,AF55,AH55,AK55,AN55)&lt;5,SUM(Y55,AD55,AF55,AH55,AK55,AN55),SUM(LARGE((Y55,AD55,AF55,AH55,AK55,AN55),{1;2;3;4;5}))))+U55),0)</f>
        <v>0</v>
      </c>
      <c r="Q55" s="661"/>
      <c r="R55" s="405">
        <f t="array" ref="R55">IF(T55="j",((IF(COUNT(V55,W55,AA55,AB55,AC55,AE55,AG55,AI55,AM55,AO55)&lt;7,SUM(V55,W55,AA55,AB55,AC55,AE55,AG55,AI55,AM55,AO55),SUM(LARGE((V55,W55,AA55,AB55,AC55,AE55,AG55,AI55,AM55,AO55),{1;2;3;4;5;6;7}))))+(IF(COUNT(Z55,AD55,AF55,AH55,AJ55,AN55)&lt;5,SUM(Z55,AD55,AF55,AH55,AJ55,AN55),SUM(LARGE((Z55,AD55,AF55,AH55,AJ55,AN55),{1;2;3;4;5}))))+U55),0)</f>
        <v>0</v>
      </c>
      <c r="S55" s="64"/>
      <c r="T55" s="64"/>
      <c r="U55" s="174">
        <v>17.5</v>
      </c>
      <c r="V55" s="141" t="s">
        <v>397</v>
      </c>
      <c r="W55" s="141" t="s">
        <v>397</v>
      </c>
      <c r="X55" s="15">
        <v>21</v>
      </c>
      <c r="Y55" s="613"/>
      <c r="Z55" s="610"/>
      <c r="AA55" s="141" t="s">
        <v>397</v>
      </c>
      <c r="AB55" s="15">
        <v>19</v>
      </c>
      <c r="AC55" s="15">
        <v>60</v>
      </c>
      <c r="AD55" s="141" t="s">
        <v>397</v>
      </c>
      <c r="AE55" s="15">
        <v>64</v>
      </c>
      <c r="AF55" s="15"/>
      <c r="AG55" s="15"/>
      <c r="AH55" s="15"/>
      <c r="AI55" s="15"/>
      <c r="AJ55" s="15">
        <v>62.5</v>
      </c>
      <c r="AK55" s="613"/>
      <c r="AL55" s="15"/>
      <c r="AM55" s="15">
        <v>60</v>
      </c>
      <c r="AN55" s="15"/>
      <c r="AO55" s="15"/>
      <c r="AP55" s="33">
        <f t="shared" si="7"/>
        <v>6</v>
      </c>
      <c r="AQ55" s="440">
        <f t="shared" si="8"/>
        <v>0</v>
      </c>
      <c r="AR55" s="441">
        <f t="shared" si="9"/>
        <v>0</v>
      </c>
      <c r="AS55" s="34">
        <f t="shared" si="10"/>
        <v>0</v>
      </c>
      <c r="AT55" s="4">
        <f t="shared" si="11"/>
        <v>3</v>
      </c>
      <c r="AU55" s="285">
        <f t="shared" si="12"/>
        <v>1</v>
      </c>
    </row>
    <row r="56" spans="1:47" x14ac:dyDescent="0.2">
      <c r="A56" s="59" t="s">
        <v>327</v>
      </c>
      <c r="B56" s="438" t="str">
        <f t="shared" si="0"/>
        <v/>
      </c>
      <c r="C56" s="432">
        <f t="shared" si="1"/>
        <v>0</v>
      </c>
      <c r="D56" s="61">
        <v>16</v>
      </c>
      <c r="E56" s="438">
        <f t="shared" si="2"/>
        <v>16</v>
      </c>
      <c r="F56" s="431">
        <f t="shared" si="3"/>
        <v>10291</v>
      </c>
      <c r="G56" s="660" t="s">
        <v>327</v>
      </c>
      <c r="H56" s="438" t="str">
        <f t="shared" si="4"/>
        <v/>
      </c>
      <c r="I56" s="658">
        <f t="shared" si="5"/>
        <v>0</v>
      </c>
      <c r="J56" s="154">
        <f t="shared" si="6"/>
        <v>48</v>
      </c>
      <c r="K56" s="139">
        <v>48</v>
      </c>
      <c r="L56" s="65" t="s">
        <v>679</v>
      </c>
      <c r="M56" s="139">
        <v>291</v>
      </c>
      <c r="N56" s="446">
        <f t="array" ref="N56">(IF(COUNT(V56,W56,AA56,AB56,AC56,AE56,AG56,AI56,AM56,AO56)&lt;7,SUM(V56,W56,AA56,AB56,AC56,AE56,AG56,AI56,AM56,AO56),SUM(LARGE((V56,W56,AA56,AB56,AC56,AE56,AG56,AI56,AM56,AO56),{1;2;3;4;5;6;7}))))+(IF(COUNT(X56,AD56,AF56,AH56,AJ56,AN56)&lt;5,SUM(X56,AD56,AF56,AH56,AJ56,AN56),SUM(LARGE((X56,AD56,AF56,AH56,AJ56,AN56),{1;2;3;4;5}))))+U56</f>
        <v>291</v>
      </c>
      <c r="O56" s="413">
        <v>291</v>
      </c>
      <c r="P56" s="405">
        <f t="array" ref="P56">IF(S56="n",((IF(COUNT(V56,W56,AA56,AB56,AC56,AE56,AG56,AI56,AM56,AO56)&lt;7,SUM(V56,W56,AA56,AB56,AC56,AE56,AG56,AI56,AM56,AO56),SUM(LARGE((V56,W56,AA56,AB56,AC56,AE56,AG56,AI56,AM56,AO56),{1;2;3;4;5;6;7}))))+(IF(COUNT(Y56,AD56,AF56,AH56,AK56,AN56)&lt;5,SUM(Y56,AD56,AF56,AH56,AK56,AN56),SUM(LARGE((Y56,AD56,AF56,AH56,AK56,AN56),{1;2;3;4;5}))))+U56),0)</f>
        <v>291</v>
      </c>
      <c r="Q56" s="661"/>
      <c r="R56" s="405">
        <f t="array" ref="R56">IF(T56="j",((IF(COUNT(V56,W56,AA56,AB56,AC56,AE56,AG56,AI56,AM56,AO56)&lt;7,SUM(V56,W56,AA56,AB56,AC56,AE56,AG56,AI56,AM56,AO56),SUM(LARGE((V56,W56,AA56,AB56,AC56,AE56,AG56,AI56,AM56,AO56),{1;2;3;4;5;6;7}))))+(IF(COUNT(Z56,AD56,AF56,AH56,AJ56,AN56)&lt;5,SUM(Z56,AD56,AF56,AH56,AJ56,AN56),SUM(LARGE((Z56,AD56,AF56,AH56,AJ56,AN56),{1;2;3;4;5}))))+U56),0)</f>
        <v>0</v>
      </c>
      <c r="S56" s="64" t="s">
        <v>35</v>
      </c>
      <c r="T56" s="64"/>
      <c r="U56" s="173"/>
      <c r="V56" s="141" t="s">
        <v>397</v>
      </c>
      <c r="W56" s="141" t="s">
        <v>397</v>
      </c>
      <c r="X56" s="141" t="s">
        <v>397</v>
      </c>
      <c r="Y56" s="614"/>
      <c r="Z56" s="611"/>
      <c r="AA56" s="141" t="s">
        <v>397</v>
      </c>
      <c r="AB56" s="15"/>
      <c r="AC56" s="15"/>
      <c r="AD56" s="15"/>
      <c r="AE56" s="15"/>
      <c r="AF56" s="15">
        <v>158</v>
      </c>
      <c r="AG56" s="15">
        <v>69</v>
      </c>
      <c r="AH56" s="15"/>
      <c r="AI56" s="15"/>
      <c r="AJ56" s="15"/>
      <c r="AK56" s="613"/>
      <c r="AL56" s="15"/>
      <c r="AM56" s="15">
        <v>64</v>
      </c>
      <c r="AN56" s="15"/>
      <c r="AO56" s="15"/>
      <c r="AP56" s="33">
        <f t="shared" si="7"/>
        <v>3</v>
      </c>
      <c r="AQ56" s="440">
        <f t="shared" si="8"/>
        <v>1</v>
      </c>
      <c r="AR56" s="441">
        <f t="shared" si="9"/>
        <v>0</v>
      </c>
      <c r="AS56" s="34">
        <f t="shared" si="10"/>
        <v>0</v>
      </c>
      <c r="AT56" s="4">
        <f t="shared" si="11"/>
        <v>3</v>
      </c>
      <c r="AU56" s="285">
        <f t="shared" si="12"/>
        <v>1</v>
      </c>
    </row>
    <row r="57" spans="1:47" x14ac:dyDescent="0.2">
      <c r="A57" s="59">
        <v>34</v>
      </c>
      <c r="B57" s="438">
        <f t="shared" si="0"/>
        <v>34</v>
      </c>
      <c r="C57" s="432">
        <f t="shared" si="1"/>
        <v>10288</v>
      </c>
      <c r="D57" s="61" t="s">
        <v>327</v>
      </c>
      <c r="E57" s="438" t="str">
        <f t="shared" si="2"/>
        <v/>
      </c>
      <c r="F57" s="431">
        <f t="shared" si="3"/>
        <v>0</v>
      </c>
      <c r="G57" s="660" t="s">
        <v>327</v>
      </c>
      <c r="H57" s="438" t="str">
        <f t="shared" si="4"/>
        <v/>
      </c>
      <c r="I57" s="658">
        <f t="shared" si="5"/>
        <v>0</v>
      </c>
      <c r="J57" s="154">
        <f t="shared" si="6"/>
        <v>49</v>
      </c>
      <c r="K57" s="139">
        <v>49</v>
      </c>
      <c r="L57" s="852" t="s">
        <v>881</v>
      </c>
      <c r="M57" s="139">
        <v>288</v>
      </c>
      <c r="N57" s="446">
        <f t="array" ref="N57">(IF(COUNT(V57,W57,AA57,AB57,AC57,AE57,AG57,AI57,AM57,AO57)&lt;7,SUM(V57,W57,AA57,AB57,AC57,AE57,AG57,AI57,AM57,AO57),SUM(LARGE((V57,W57,AA57,AB57,AC57,AE57,AG57,AI57,AM57,AO57),{1;2;3;4;5;6;7}))))+(IF(COUNT(X57,AD57,AF57,AH57,AJ57,AN57)&lt;5,SUM(X57,AD57,AF57,AH57,AJ57,AN57),SUM(LARGE((X57,AD57,AF57,AH57,AJ57,AN57),{1;2;3;4;5}))))+U57</f>
        <v>288</v>
      </c>
      <c r="O57" s="413"/>
      <c r="P57" s="405">
        <f t="array" ref="P57">IF(S57="n",((IF(COUNT(V57,W57,AA57,AB57,AC57,AE57,AG57,AI57,AM57,AO57)&lt;7,SUM(V57,W57,AA57,AB57,AC57,AE57,AG57,AI57,AM57,AO57),SUM(LARGE((V57,W57,AA57,AB57,AC57,AE57,AG57,AI57,AM57,AO57),{1;2;3;4;5;6;7}))))+(IF(COUNT(Y57,AD57,AF57,AH57,AK57,AN57)&lt;5,SUM(Y57,AD57,AF57,AH57,AK57,AN57),SUM(LARGE((Y57,AD57,AF57,AH57,AK57,AN57),{1;2;3;4;5}))))+U57),0)</f>
        <v>0</v>
      </c>
      <c r="Q57" s="661"/>
      <c r="R57" s="405">
        <f t="array" ref="R57">IF(T57="j",((IF(COUNT(V57,W57,AA57,AB57,AC57,AE57,AG57,AI57,AM57,AO57)&lt;7,SUM(V57,W57,AA57,AB57,AC57,AE57,AG57,AI57,AM57,AO57),SUM(LARGE((V57,W57,AA57,AB57,AC57,AE57,AG57,AI57,AM57,AO57),{1;2;3;4;5;6;7}))))+(IF(COUNT(Z57,AD57,AF57,AH57,AJ57,AN57)&lt;5,SUM(Z57,AD57,AF57,AH57,AJ57,AN57),SUM(LARGE((Z57,AD57,AF57,AH57,AJ57,AN57),{1;2;3;4;5}))))+U57),0)</f>
        <v>0</v>
      </c>
      <c r="S57" s="64"/>
      <c r="T57" s="64"/>
      <c r="U57" s="173"/>
      <c r="V57" s="141" t="s">
        <v>397</v>
      </c>
      <c r="W57" s="141" t="s">
        <v>397</v>
      </c>
      <c r="X57" s="141" t="s">
        <v>397</v>
      </c>
      <c r="Y57" s="614"/>
      <c r="Z57" s="611"/>
      <c r="AA57" s="141" t="s">
        <v>397</v>
      </c>
      <c r="AB57" s="15"/>
      <c r="AC57" s="15"/>
      <c r="AD57" s="15"/>
      <c r="AE57" s="15"/>
      <c r="AF57" s="15"/>
      <c r="AG57" s="15"/>
      <c r="AH57" s="15">
        <v>173</v>
      </c>
      <c r="AI57" s="15">
        <v>115</v>
      </c>
      <c r="AJ57" s="15"/>
      <c r="AK57" s="613"/>
      <c r="AL57" s="15"/>
      <c r="AM57" s="15"/>
      <c r="AN57" s="15"/>
      <c r="AO57" s="15"/>
      <c r="AP57" s="33">
        <f t="shared" si="7"/>
        <v>2</v>
      </c>
      <c r="AQ57" s="440">
        <f t="shared" si="8"/>
        <v>2</v>
      </c>
      <c r="AR57" s="441">
        <f t="shared" si="9"/>
        <v>2</v>
      </c>
      <c r="AS57" s="34">
        <f t="shared" si="10"/>
        <v>1</v>
      </c>
      <c r="AT57" s="4">
        <f t="shared" si="11"/>
        <v>3</v>
      </c>
      <c r="AU57" s="285">
        <f t="shared" si="12"/>
        <v>1</v>
      </c>
    </row>
    <row r="58" spans="1:47" x14ac:dyDescent="0.2">
      <c r="A58" s="59">
        <v>35</v>
      </c>
      <c r="B58" s="438">
        <f t="shared" si="0"/>
        <v>34</v>
      </c>
      <c r="C58" s="432">
        <f t="shared" si="1"/>
        <v>10288</v>
      </c>
      <c r="D58" s="61" t="s">
        <v>327</v>
      </c>
      <c r="E58" s="438" t="str">
        <f t="shared" si="2"/>
        <v/>
      </c>
      <c r="F58" s="431">
        <f t="shared" si="3"/>
        <v>0</v>
      </c>
      <c r="G58" s="660" t="s">
        <v>327</v>
      </c>
      <c r="H58" s="438" t="str">
        <f t="shared" si="4"/>
        <v/>
      </c>
      <c r="I58" s="658">
        <f t="shared" si="5"/>
        <v>0</v>
      </c>
      <c r="J58" s="154">
        <f t="shared" si="6"/>
        <v>49</v>
      </c>
      <c r="K58" s="139">
        <v>50</v>
      </c>
      <c r="L58" s="601" t="s">
        <v>513</v>
      </c>
      <c r="M58" s="139">
        <v>288</v>
      </c>
      <c r="N58" s="446">
        <f t="array" ref="N58">(IF(COUNT(V58,W58,AA58,AB58,AC58,AE58,AG58,AI58,AM58,AO58)&lt;7,SUM(V58,W58,AA58,AB58,AC58,AE58,AG58,AI58,AM58,AO58),SUM(LARGE((V58,W58,AA58,AB58,AC58,AE58,AG58,AI58,AM58,AO58),{1;2;3;4;5;6;7}))))+(IF(COUNT(X58,AD58,AF58,AH58,AJ58,AN58)&lt;5,SUM(X58,AD58,AF58,AH58,AJ58,AN58),SUM(LARGE((X58,AD58,AF58,AH58,AJ58,AN58),{1;2;3;4;5}))))+U58</f>
        <v>288</v>
      </c>
      <c r="O58" s="413"/>
      <c r="P58" s="405">
        <f t="array" ref="P58">IF(S58="n",((IF(COUNT(V58,W58,AA58,AB58,AC58,AE58,AG58,AI58,AM58,AO58)&lt;7,SUM(V58,W58,AA58,AB58,AC58,AE58,AG58,AI58,AM58,AO58),SUM(LARGE((V58,W58,AA58,AB58,AC58,AE58,AG58,AI58,AM58,AO58),{1;2;3;4;5;6;7}))))+(IF(COUNT(Y58,AD58,AF58,AH58,AK58,AN58)&lt;5,SUM(Y58,AD58,AF58,AH58,AK58,AN58),SUM(LARGE((Y58,AD58,AF58,AH58,AK58,AN58),{1;2;3;4;5}))))+U58),0)</f>
        <v>0</v>
      </c>
      <c r="Q58" s="661"/>
      <c r="R58" s="405">
        <f t="array" ref="R58">IF(T58="j",((IF(COUNT(V58,W58,AA58,AB58,AC58,AE58,AG58,AI58,AM58,AO58)&lt;7,SUM(V58,W58,AA58,AB58,AC58,AE58,AG58,AI58,AM58,AO58),SUM(LARGE((V58,W58,AA58,AB58,AC58,AE58,AG58,AI58,AM58,AO58),{1;2;3;4;5;6;7}))))+(IF(COUNT(Z58,AD58,AF58,AH58,AJ58,AN58)&lt;5,SUM(Z58,AD58,AF58,AH58,AJ58,AN58),SUM(LARGE((Z58,AD58,AF58,AH58,AJ58,AN58),{1;2;3;4;5}))))+U58),0)</f>
        <v>0</v>
      </c>
      <c r="S58" s="64"/>
      <c r="T58" s="64"/>
      <c r="U58" s="173"/>
      <c r="V58" s="141" t="s">
        <v>397</v>
      </c>
      <c r="W58" s="141" t="s">
        <v>397</v>
      </c>
      <c r="X58" s="141" t="s">
        <v>397</v>
      </c>
      <c r="Y58" s="614"/>
      <c r="Z58" s="611"/>
      <c r="AA58" s="141" t="s">
        <v>397</v>
      </c>
      <c r="AB58" s="15">
        <v>84</v>
      </c>
      <c r="AC58" s="15">
        <v>56</v>
      </c>
      <c r="AD58" s="15"/>
      <c r="AE58" s="15"/>
      <c r="AF58" s="15"/>
      <c r="AG58" s="15">
        <v>105</v>
      </c>
      <c r="AH58" s="15"/>
      <c r="AI58" s="15"/>
      <c r="AJ58" s="15"/>
      <c r="AK58" s="613"/>
      <c r="AL58" s="15"/>
      <c r="AM58" s="15">
        <v>43</v>
      </c>
      <c r="AN58" s="15"/>
      <c r="AO58" s="15"/>
      <c r="AP58" s="33">
        <f t="shared" si="7"/>
        <v>4</v>
      </c>
      <c r="AQ58" s="440">
        <f t="shared" si="8"/>
        <v>1</v>
      </c>
      <c r="AR58" s="441">
        <f t="shared" si="9"/>
        <v>0</v>
      </c>
      <c r="AS58" s="34">
        <f t="shared" si="10"/>
        <v>0</v>
      </c>
      <c r="AT58" s="4">
        <f t="shared" si="11"/>
        <v>3</v>
      </c>
      <c r="AU58" s="285">
        <f t="shared" si="12"/>
        <v>1</v>
      </c>
    </row>
    <row r="59" spans="1:47" x14ac:dyDescent="0.2">
      <c r="A59" s="59" t="s">
        <v>327</v>
      </c>
      <c r="B59" s="438" t="str">
        <f t="shared" si="0"/>
        <v/>
      </c>
      <c r="C59" s="432">
        <f t="shared" si="1"/>
        <v>0</v>
      </c>
      <c r="D59" s="61">
        <v>14</v>
      </c>
      <c r="E59" s="438">
        <f t="shared" si="2"/>
        <v>14</v>
      </c>
      <c r="F59" s="431">
        <f t="shared" si="3"/>
        <v>10349</v>
      </c>
      <c r="G59" s="660" t="s">
        <v>327</v>
      </c>
      <c r="H59" s="438" t="str">
        <f t="shared" si="4"/>
        <v/>
      </c>
      <c r="I59" s="658">
        <f t="shared" si="5"/>
        <v>0</v>
      </c>
      <c r="J59" s="154">
        <f t="shared" si="6"/>
        <v>51</v>
      </c>
      <c r="K59" s="139">
        <v>51</v>
      </c>
      <c r="L59" s="65" t="s">
        <v>74</v>
      </c>
      <c r="M59" s="139">
        <v>284</v>
      </c>
      <c r="N59" s="446">
        <f t="array" ref="N59">(IF(COUNT(V59,W59,AA59,AB59,AC59,AE59,AG59,AI59,AM59,AO59)&lt;7,SUM(V59,W59,AA59,AB59,AC59,AE59,AG59,AI59,AM59,AO59),SUM(LARGE((V59,W59,AA59,AB59,AC59,AE59,AG59,AI59,AM59,AO59),{1;2;3;4;5;6;7}))))+(IF(COUNT(X59,AD59,AF59,AH59,AJ59,AN59)&lt;5,SUM(X59,AD59,AF59,AH59,AJ59,AN59),SUM(LARGE((X59,AD59,AF59,AH59,AJ59,AN59),{1;2;3;4;5}))))+U59</f>
        <v>284</v>
      </c>
      <c r="O59" s="413">
        <v>349</v>
      </c>
      <c r="P59" s="405">
        <f t="array" ref="P59">IF(S59="n",((IF(COUNT(V59,W59,AA59,AB59,AC59,AE59,AG59,AI59,AM59,AO59)&lt;7,SUM(V59,W59,AA59,AB59,AC59,AE59,AG59,AI59,AM59,AO59),SUM(LARGE((V59,W59,AA59,AB59,AC59,AE59,AG59,AI59,AM59,AO59),{1;2;3;4;5;6;7}))))+(IF(COUNT(Y59,AD59,AF59,AH59,AK59,AN59)&lt;5,SUM(Y59,AD59,AF59,AH59,AK59,AN59),SUM(LARGE((Y59,AD59,AF59,AH59,AK59,AN59),{1;2;3;4;5}))))+U59),0)</f>
        <v>349</v>
      </c>
      <c r="Q59" s="661"/>
      <c r="R59" s="405">
        <f t="array" ref="R59">IF(T59="j",((IF(COUNT(V59,W59,AA59,AB59,AC59,AE59,AG59,AI59,AM59,AO59)&lt;7,SUM(V59,W59,AA59,AB59,AC59,AE59,AG59,AI59,AM59,AO59),SUM(LARGE((V59,W59,AA59,AB59,AC59,AE59,AG59,AI59,AM59,AO59),{1;2;3;4;5;6;7}))))+(IF(COUNT(Z59,AD59,AF59,AH59,AJ59,AN59)&lt;5,SUM(Z59,AD59,AF59,AH59,AJ59,AN59),SUM(LARGE((Z59,AD59,AF59,AH59,AJ59,AN59),{1;2;3;4;5}))))+U59),0)</f>
        <v>0</v>
      </c>
      <c r="S59" s="64" t="s">
        <v>35</v>
      </c>
      <c r="T59" s="64"/>
      <c r="U59" s="173">
        <v>1</v>
      </c>
      <c r="V59" s="141" t="s">
        <v>397</v>
      </c>
      <c r="W59" s="141" t="s">
        <v>397</v>
      </c>
      <c r="X59" s="15">
        <v>93</v>
      </c>
      <c r="Y59" s="613">
        <v>158</v>
      </c>
      <c r="Z59" s="610"/>
      <c r="AA59" s="141" t="s">
        <v>397</v>
      </c>
      <c r="AB59" s="15">
        <v>46</v>
      </c>
      <c r="AC59" s="15"/>
      <c r="AD59" s="15">
        <v>104</v>
      </c>
      <c r="AE59" s="15">
        <v>40</v>
      </c>
      <c r="AF59" s="141" t="s">
        <v>397</v>
      </c>
      <c r="AG59" s="15"/>
      <c r="AH59" s="15"/>
      <c r="AI59" s="15"/>
      <c r="AJ59" s="15"/>
      <c r="AK59" s="613"/>
      <c r="AL59" s="15"/>
      <c r="AM59" s="15"/>
      <c r="AN59" s="15"/>
      <c r="AO59" s="15"/>
      <c r="AP59" s="33">
        <f t="shared" si="7"/>
        <v>4</v>
      </c>
      <c r="AQ59" s="440">
        <f t="shared" si="8"/>
        <v>1</v>
      </c>
      <c r="AR59" s="441">
        <f t="shared" si="9"/>
        <v>0</v>
      </c>
      <c r="AS59" s="34">
        <f t="shared" si="10"/>
        <v>0</v>
      </c>
      <c r="AT59" s="4">
        <f t="shared" si="11"/>
        <v>3</v>
      </c>
      <c r="AU59" s="285">
        <f t="shared" si="12"/>
        <v>1</v>
      </c>
    </row>
    <row r="60" spans="1:47" x14ac:dyDescent="0.2">
      <c r="A60" s="59">
        <v>36</v>
      </c>
      <c r="B60" s="438">
        <f t="shared" si="0"/>
        <v>36</v>
      </c>
      <c r="C60" s="432">
        <f t="shared" si="1"/>
        <v>10271</v>
      </c>
      <c r="D60" s="61" t="s">
        <v>327</v>
      </c>
      <c r="E60" s="438" t="str">
        <f t="shared" si="2"/>
        <v/>
      </c>
      <c r="F60" s="431">
        <f t="shared" si="3"/>
        <v>0</v>
      </c>
      <c r="G60" s="660" t="s">
        <v>327</v>
      </c>
      <c r="H60" s="438" t="str">
        <f t="shared" si="4"/>
        <v/>
      </c>
      <c r="I60" s="658">
        <f t="shared" si="5"/>
        <v>0</v>
      </c>
      <c r="J60" s="154">
        <f t="shared" si="6"/>
        <v>52</v>
      </c>
      <c r="K60" s="139">
        <v>52</v>
      </c>
      <c r="L60" s="601" t="s">
        <v>437</v>
      </c>
      <c r="M60" s="139">
        <v>271</v>
      </c>
      <c r="N60" s="446">
        <f t="array" ref="N60">(IF(COUNT(V60,W60,AA60,AB60,AC60,AE60,AG60,AI60,AM60,AO60)&lt;7,SUM(V60,W60,AA60,AB60,AC60,AE60,AG60,AI60,AM60,AO60),SUM(LARGE((V60,W60,AA60,AB60,AC60,AE60,AG60,AI60,AM60,AO60),{1;2;3;4;5;6;7}))))+(IF(COUNT(X60,AD60,AF60,AH60,AJ60,AN60)&lt;5,SUM(X60,AD60,AF60,AH60,AJ60,AN60),SUM(LARGE((X60,AD60,AF60,AH60,AJ60,AN60),{1;2;3;4;5}))))+U60</f>
        <v>271</v>
      </c>
      <c r="O60" s="413"/>
      <c r="P60" s="405">
        <f t="array" ref="P60">IF(S60="n",((IF(COUNT(V60,W60,AA60,AB60,AC60,AE60,AG60,AI60,AM60,AO60)&lt;7,SUM(V60,W60,AA60,AB60,AC60,AE60,AG60,AI60,AM60,AO60),SUM(LARGE((V60,W60,AA60,AB60,AC60,AE60,AG60,AI60,AM60,AO60),{1;2;3;4;5;6;7}))))+(IF(COUNT(Y60,AD60,AF60,AH60,AK60,AN60)&lt;5,SUM(Y60,AD60,AF60,AH60,AK60,AN60),SUM(LARGE((Y60,AD60,AF60,AH60,AK60,AN60),{1;2;3;4;5}))))+U60),0)</f>
        <v>0</v>
      </c>
      <c r="Q60" s="661"/>
      <c r="R60" s="405">
        <f t="array" ref="R60">IF(T60="j",((IF(COUNT(V60,W60,AA60,AB60,AC60,AE60,AG60,AI60,AM60,AO60)&lt;7,SUM(V60,W60,AA60,AB60,AC60,AE60,AG60,AI60,AM60,AO60),SUM(LARGE((V60,W60,AA60,AB60,AC60,AE60,AG60,AI60,AM60,AO60),{1;2;3;4;5;6;7}))))+(IF(COUNT(Z60,AD60,AF60,AH60,AJ60,AN60)&lt;5,SUM(Z60,AD60,AF60,AH60,AJ60,AN60),SUM(LARGE((Z60,AD60,AF60,AH60,AJ60,AN60),{1;2;3;4;5}))))+U60),0)</f>
        <v>0</v>
      </c>
      <c r="S60" s="64"/>
      <c r="T60" s="64"/>
      <c r="U60" s="173"/>
      <c r="V60" s="141" t="s">
        <v>397</v>
      </c>
      <c r="W60" s="141" t="s">
        <v>397</v>
      </c>
      <c r="X60" s="141" t="s">
        <v>397</v>
      </c>
      <c r="Y60" s="614"/>
      <c r="Z60" s="611"/>
      <c r="AA60" s="15">
        <v>105</v>
      </c>
      <c r="AB60" s="15">
        <v>97</v>
      </c>
      <c r="AC60" s="15">
        <v>69</v>
      </c>
      <c r="AD60" s="15"/>
      <c r="AE60" s="141" t="s">
        <v>397</v>
      </c>
      <c r="AF60" s="15"/>
      <c r="AG60" s="15"/>
      <c r="AH60" s="15"/>
      <c r="AI60" s="15"/>
      <c r="AJ60" s="15"/>
      <c r="AK60" s="613"/>
      <c r="AL60" s="15"/>
      <c r="AM60" s="15"/>
      <c r="AN60" s="15"/>
      <c r="AO60" s="15"/>
      <c r="AP60" s="33">
        <f t="shared" si="7"/>
        <v>3</v>
      </c>
      <c r="AQ60" s="440">
        <f t="shared" si="8"/>
        <v>2</v>
      </c>
      <c r="AR60" s="441">
        <f t="shared" si="9"/>
        <v>0</v>
      </c>
      <c r="AS60" s="34">
        <f t="shared" si="10"/>
        <v>0</v>
      </c>
      <c r="AT60" s="4">
        <f t="shared" si="11"/>
        <v>3</v>
      </c>
      <c r="AU60" s="285">
        <f t="shared" si="12"/>
        <v>1</v>
      </c>
    </row>
    <row r="61" spans="1:47" x14ac:dyDescent="0.2">
      <c r="A61" s="59">
        <v>37</v>
      </c>
      <c r="B61" s="438">
        <f t="shared" si="0"/>
        <v>37</v>
      </c>
      <c r="C61" s="432">
        <f t="shared" si="1"/>
        <v>10268</v>
      </c>
      <c r="D61" s="61" t="s">
        <v>327</v>
      </c>
      <c r="E61" s="438" t="str">
        <f t="shared" si="2"/>
        <v/>
      </c>
      <c r="F61" s="431">
        <f t="shared" si="3"/>
        <v>0</v>
      </c>
      <c r="G61" s="660" t="s">
        <v>327</v>
      </c>
      <c r="H61" s="438" t="str">
        <f t="shared" si="4"/>
        <v/>
      </c>
      <c r="I61" s="658">
        <f t="shared" si="5"/>
        <v>0</v>
      </c>
      <c r="J61" s="154">
        <f t="shared" si="6"/>
        <v>53</v>
      </c>
      <c r="K61" s="139">
        <v>53</v>
      </c>
      <c r="L61" s="601" t="s">
        <v>53</v>
      </c>
      <c r="M61" s="139">
        <v>268</v>
      </c>
      <c r="N61" s="446">
        <f t="array" ref="N61">(IF(COUNT(V61,W61,AA61,AB61,AC61,AE61,AG61,AI61,AM61,AO61)&lt;7,SUM(V61,W61,AA61,AB61,AC61,AE61,AG61,AI61,AM61,AO61),SUM(LARGE((V61,W61,AA61,AB61,AC61,AE61,AG61,AI61,AM61,AO61),{1;2;3;4;5;6;7}))))+(IF(COUNT(X61,AD61,AF61,AH61,AJ61,AN61)&lt;5,SUM(X61,AD61,AF61,AH61,AJ61,AN61),SUM(LARGE((X61,AD61,AF61,AH61,AJ61,AN61),{1;2;3;4;5}))))+U61</f>
        <v>268</v>
      </c>
      <c r="O61" s="413"/>
      <c r="P61" s="405">
        <f t="array" ref="P61">IF(S61="n",((IF(COUNT(V61,W61,AA61,AB61,AC61,AE61,AG61,AI61,AM61,AO61)&lt;7,SUM(V61,W61,AA61,AB61,AC61,AE61,AG61,AI61,AM61,AO61),SUM(LARGE((V61,W61,AA61,AB61,AC61,AE61,AG61,AI61,AM61,AO61),{1;2;3;4;5;6;7}))))+(IF(COUNT(Y61,AD61,AF61,AH61,AK61,AN61)&lt;5,SUM(Y61,AD61,AF61,AH61,AK61,AN61),SUM(LARGE((Y61,AD61,AF61,AH61,AK61,AN61),{1;2;3;4;5}))))+U61),0)</f>
        <v>0</v>
      </c>
      <c r="Q61" s="661"/>
      <c r="R61" s="405">
        <f t="array" ref="R61">IF(T61="j",((IF(COUNT(V61,W61,AA61,AB61,AC61,AE61,AG61,AI61,AM61,AO61)&lt;7,SUM(V61,W61,AA61,AB61,AC61,AE61,AG61,AI61,AM61,AO61),SUM(LARGE((V61,W61,AA61,AB61,AC61,AE61,AG61,AI61,AM61,AO61),{1;2;3;4;5;6;7}))))+(IF(COUNT(Z61,AD61,AF61,AH61,AJ61,AN61)&lt;5,SUM(Z61,AD61,AF61,AH61,AJ61,AN61),SUM(LARGE((Z61,AD61,AF61,AH61,AJ61,AN61),{1;2;3;4;5}))))+U61),0)</f>
        <v>0</v>
      </c>
      <c r="S61" s="64"/>
      <c r="T61" s="64"/>
      <c r="U61" s="173">
        <v>49</v>
      </c>
      <c r="V61" s="15">
        <v>115</v>
      </c>
      <c r="W61" s="141" t="s">
        <v>397</v>
      </c>
      <c r="X61" s="15">
        <v>104</v>
      </c>
      <c r="Y61" s="613"/>
      <c r="Z61" s="610"/>
      <c r="AA61" s="141" t="s">
        <v>397</v>
      </c>
      <c r="AB61" s="141" t="s">
        <v>397</v>
      </c>
      <c r="AC61" s="15"/>
      <c r="AD61" s="141" t="s">
        <v>397</v>
      </c>
      <c r="AE61" s="15"/>
      <c r="AF61" s="15"/>
      <c r="AG61" s="15"/>
      <c r="AH61" s="15"/>
      <c r="AI61" s="15"/>
      <c r="AJ61" s="15"/>
      <c r="AK61" s="613"/>
      <c r="AL61" s="15"/>
      <c r="AM61" s="15"/>
      <c r="AN61" s="15"/>
      <c r="AO61" s="15"/>
      <c r="AP61" s="33">
        <f t="shared" si="7"/>
        <v>2</v>
      </c>
      <c r="AQ61" s="440">
        <f t="shared" si="8"/>
        <v>1</v>
      </c>
      <c r="AR61" s="441">
        <f t="shared" si="9"/>
        <v>1</v>
      </c>
      <c r="AS61" s="34">
        <f t="shared" si="10"/>
        <v>0</v>
      </c>
      <c r="AT61" s="4">
        <f t="shared" si="11"/>
        <v>3</v>
      </c>
      <c r="AU61" s="285">
        <f t="shared" si="12"/>
        <v>1</v>
      </c>
    </row>
    <row r="62" spans="1:47" x14ac:dyDescent="0.2">
      <c r="A62" s="59">
        <v>38</v>
      </c>
      <c r="B62" s="438">
        <f t="shared" si="0"/>
        <v>38</v>
      </c>
      <c r="C62" s="432">
        <f t="shared" si="1"/>
        <v>10257</v>
      </c>
      <c r="D62" s="61" t="s">
        <v>327</v>
      </c>
      <c r="E62" s="438" t="str">
        <f t="shared" si="2"/>
        <v/>
      </c>
      <c r="F62" s="431">
        <f t="shared" si="3"/>
        <v>0</v>
      </c>
      <c r="G62" s="660" t="s">
        <v>327</v>
      </c>
      <c r="H62" s="438" t="str">
        <f t="shared" si="4"/>
        <v/>
      </c>
      <c r="I62" s="658">
        <f t="shared" si="5"/>
        <v>0</v>
      </c>
      <c r="J62" s="154">
        <f t="shared" si="6"/>
        <v>54</v>
      </c>
      <c r="K62" s="139">
        <v>54</v>
      </c>
      <c r="L62" s="67" t="s">
        <v>710</v>
      </c>
      <c r="M62" s="251">
        <v>257</v>
      </c>
      <c r="N62" s="446">
        <f t="array" ref="N62">(IF(COUNT(V62,W62,AA62,AB62,AC62,AE62,AG62,AI62,AM62,AO62)&lt;7,SUM(V62,W62,AA62,AB62,AC62,AE62,AG62,AI62,AM62,AO62),SUM(LARGE((V62,W62,AA62,AB62,AC62,AE62,AG62,AI62,AM62,AO62),{1;2;3;4;5;6;7}))))+(IF(COUNT(X62,AD62,AF62,AH62,AJ62,AN62)&lt;5,SUM(X62,AD62,AF62,AH62,AJ62,AN62),SUM(LARGE((X62,AD62,AF62,AH62,AJ62,AN62),{1;2;3;4;5}))))+U62</f>
        <v>257</v>
      </c>
      <c r="O62" s="413"/>
      <c r="P62" s="405">
        <f t="array" ref="P62">IF(S62="n",((IF(COUNT(V62,W62,AA62,AB62,AC62,AE62,AG62,AI62,AM62,AO62)&lt;7,SUM(V62,W62,AA62,AB62,AC62,AE62,AG62,AI62,AM62,AO62),SUM(LARGE((V62,W62,AA62,AB62,AC62,AE62,AG62,AI62,AM62,AO62),{1;2;3;4;5;6;7}))))+(IF(COUNT(Y62,AD62,AF62,AH62,AK62,AN62)&lt;5,SUM(Y62,AD62,AF62,AH62,AK62,AN62),SUM(LARGE((Y62,AD62,AF62,AH62,AK62,AN62),{1;2;3;4;5}))))+U62),0)</f>
        <v>0</v>
      </c>
      <c r="Q62" s="661"/>
      <c r="R62" s="405">
        <f t="array" ref="R62">IF(T62="j",((IF(COUNT(V62,W62,AA62,AB62,AC62,AE62,AG62,AI62,AM62,AO62)&lt;7,SUM(V62,W62,AA62,AB62,AC62,AE62,AG62,AI62,AM62,AO62),SUM(LARGE((V62,W62,AA62,AB62,AC62,AE62,AG62,AI62,AM62,AO62),{1;2;3;4;5;6;7}))))+(IF(COUNT(Z62,AD62,AF62,AH62,AJ62,AN62)&lt;5,SUM(Z62,AD62,AF62,AH62,AJ62,AN62),SUM(LARGE((Z62,AD62,AF62,AH62,AJ62,AN62),{1;2;3;4;5}))))+U62),0)</f>
        <v>0</v>
      </c>
      <c r="S62" s="64"/>
      <c r="T62" s="64"/>
      <c r="U62" s="173"/>
      <c r="V62" s="141" t="s">
        <v>397</v>
      </c>
      <c r="W62" s="141" t="s">
        <v>397</v>
      </c>
      <c r="X62" s="141" t="s">
        <v>397</v>
      </c>
      <c r="Y62" s="614"/>
      <c r="Z62" s="611"/>
      <c r="AA62" s="141" t="s">
        <v>397</v>
      </c>
      <c r="AB62" s="15"/>
      <c r="AC62" s="15"/>
      <c r="AD62" s="15"/>
      <c r="AE62" s="15"/>
      <c r="AF62" s="15"/>
      <c r="AG62" s="15">
        <v>97</v>
      </c>
      <c r="AH62" s="15"/>
      <c r="AI62" s="15"/>
      <c r="AJ62" s="15"/>
      <c r="AK62" s="613"/>
      <c r="AL62" s="15"/>
      <c r="AM62" s="15"/>
      <c r="AN62" s="15">
        <v>111</v>
      </c>
      <c r="AO62" s="15">
        <v>49</v>
      </c>
      <c r="AP62" s="33">
        <f t="shared" si="7"/>
        <v>3</v>
      </c>
      <c r="AQ62" s="440">
        <f t="shared" si="8"/>
        <v>1</v>
      </c>
      <c r="AR62" s="441">
        <f t="shared" si="9"/>
        <v>0</v>
      </c>
      <c r="AS62" s="34">
        <f t="shared" si="10"/>
        <v>0</v>
      </c>
      <c r="AT62" s="4">
        <f t="shared" si="11"/>
        <v>3</v>
      </c>
      <c r="AU62" s="285">
        <f t="shared" si="12"/>
        <v>1</v>
      </c>
    </row>
    <row r="63" spans="1:47" x14ac:dyDescent="0.2">
      <c r="A63" s="59" t="s">
        <v>327</v>
      </c>
      <c r="B63" s="438" t="str">
        <f t="shared" si="0"/>
        <v/>
      </c>
      <c r="C63" s="432">
        <f t="shared" si="1"/>
        <v>0</v>
      </c>
      <c r="D63" s="61">
        <v>17</v>
      </c>
      <c r="E63" s="438">
        <f t="shared" si="2"/>
        <v>17</v>
      </c>
      <c r="F63" s="431">
        <f t="shared" si="3"/>
        <v>10241</v>
      </c>
      <c r="G63" s="660" t="s">
        <v>327</v>
      </c>
      <c r="H63" s="438" t="str">
        <f t="shared" si="4"/>
        <v/>
      </c>
      <c r="I63" s="658">
        <f t="shared" si="5"/>
        <v>0</v>
      </c>
      <c r="J63" s="154">
        <f t="shared" si="6"/>
        <v>55</v>
      </c>
      <c r="K63" s="139">
        <v>55</v>
      </c>
      <c r="L63" s="65" t="s">
        <v>533</v>
      </c>
      <c r="M63" s="139">
        <v>241</v>
      </c>
      <c r="N63" s="446">
        <f t="array" ref="N63">(IF(COUNT(V63,W63,AA63,AB63,AC63,AE63,AG63,AI63,AM63,AO63)&lt;7,SUM(V63,W63,AA63,AB63,AC63,AE63,AG63,AI63,AM63,AO63),SUM(LARGE((V63,W63,AA63,AB63,AC63,AE63,AG63,AI63,AM63,AO63),{1;2;3;4;5;6;7}))))+(IF(COUNT(X63,AD63,AF63,AH63,AJ63,AN63)&lt;5,SUM(X63,AD63,AF63,AH63,AJ63,AN63),SUM(LARGE((X63,AD63,AF63,AH63,AJ63,AN63),{1;2;3;4;5}))))+U63</f>
        <v>241</v>
      </c>
      <c r="O63" s="413">
        <v>241</v>
      </c>
      <c r="P63" s="405">
        <f t="array" ref="P63">IF(S63="n",((IF(COUNT(V63,W63,AA63,AB63,AC63,AE63,AG63,AI63,AM63,AO63)&lt;7,SUM(V63,W63,AA63,AB63,AC63,AE63,AG63,AI63,AM63,AO63),SUM(LARGE((V63,W63,AA63,AB63,AC63,AE63,AG63,AI63,AM63,AO63),{1;2;3;4;5;6;7}))))+(IF(COUNT(Y63,AD63,AF63,AH63,AK63,AN63)&lt;5,SUM(Y63,AD63,AF63,AH63,AK63,AN63),SUM(LARGE((Y63,AD63,AF63,AH63,AK63,AN63),{1;2;3;4;5}))))+U63),0)</f>
        <v>241</v>
      </c>
      <c r="Q63" s="661"/>
      <c r="R63" s="405">
        <f t="array" ref="R63">IF(T63="j",((IF(COUNT(V63,W63,AA63,AB63,AC63,AE63,AG63,AI63,AM63,AO63)&lt;7,SUM(V63,W63,AA63,AB63,AC63,AE63,AG63,AI63,AM63,AO63),SUM(LARGE((V63,W63,AA63,AB63,AC63,AE63,AG63,AI63,AM63,AO63),{1;2;3;4;5;6;7}))))+(IF(COUNT(Z63,AD63,AF63,AH63,AJ63,AN63)&lt;5,SUM(Z63,AD63,AF63,AH63,AJ63,AN63),SUM(LARGE((Z63,AD63,AF63,AH63,AJ63,AN63),{1;2;3;4;5}))))+U63),0)</f>
        <v>0</v>
      </c>
      <c r="S63" s="64" t="s">
        <v>35</v>
      </c>
      <c r="T63" s="64"/>
      <c r="U63" s="173"/>
      <c r="V63" s="141" t="s">
        <v>397</v>
      </c>
      <c r="W63" s="141" t="s">
        <v>397</v>
      </c>
      <c r="X63" s="141" t="s">
        <v>397</v>
      </c>
      <c r="Y63" s="614"/>
      <c r="Z63" s="611"/>
      <c r="AA63" s="141" t="s">
        <v>397</v>
      </c>
      <c r="AB63" s="15"/>
      <c r="AC63" s="15">
        <v>46</v>
      </c>
      <c r="AD63" s="15"/>
      <c r="AE63" s="15"/>
      <c r="AF63" s="15">
        <v>146</v>
      </c>
      <c r="AG63" s="15">
        <v>49</v>
      </c>
      <c r="AH63" s="15"/>
      <c r="AI63" s="15"/>
      <c r="AJ63" s="15"/>
      <c r="AK63" s="613"/>
      <c r="AL63" s="15"/>
      <c r="AM63" s="15"/>
      <c r="AN63" s="15"/>
      <c r="AO63" s="15"/>
      <c r="AP63" s="33">
        <f t="shared" si="7"/>
        <v>3</v>
      </c>
      <c r="AQ63" s="440">
        <f t="shared" si="8"/>
        <v>1</v>
      </c>
      <c r="AR63" s="441">
        <f t="shared" si="9"/>
        <v>0</v>
      </c>
      <c r="AS63" s="34">
        <f t="shared" si="10"/>
        <v>0</v>
      </c>
      <c r="AT63" s="4">
        <f t="shared" si="11"/>
        <v>3</v>
      </c>
      <c r="AU63" s="285">
        <f t="shared" si="12"/>
        <v>1</v>
      </c>
    </row>
    <row r="64" spans="1:47" x14ac:dyDescent="0.2">
      <c r="A64" s="59" t="s">
        <v>327</v>
      </c>
      <c r="B64" s="438" t="str">
        <f t="shared" si="0"/>
        <v/>
      </c>
      <c r="C64" s="432">
        <f t="shared" si="1"/>
        <v>0</v>
      </c>
      <c r="D64" s="61">
        <v>18</v>
      </c>
      <c r="E64" s="438">
        <f t="shared" si="2"/>
        <v>17</v>
      </c>
      <c r="F64" s="431">
        <f t="shared" si="3"/>
        <v>10241</v>
      </c>
      <c r="G64" s="660">
        <v>5</v>
      </c>
      <c r="H64" s="438">
        <f t="shared" si="4"/>
        <v>5</v>
      </c>
      <c r="I64" s="658">
        <f t="shared" si="5"/>
        <v>10338</v>
      </c>
      <c r="J64" s="154">
        <f t="shared" si="6"/>
        <v>55</v>
      </c>
      <c r="K64" s="139">
        <v>56</v>
      </c>
      <c r="L64" s="66" t="s">
        <v>320</v>
      </c>
      <c r="M64" s="139">
        <v>241</v>
      </c>
      <c r="N64" s="446">
        <f t="array" ref="N64">(IF(COUNT(V64,W64,AA64,AB64,AC64,AE64,AG64,AI64,AM64,AO64)&lt;7,SUM(V64,W64,AA64,AB64,AC64,AE64,AG64,AI64,AM64,AO64),SUM(LARGE((V64,W64,AA64,AB64,AC64,AE64,AG64,AI64,AM64,AO64),{1;2;3;4;5;6;7}))))+(IF(COUNT(X64,AD64,AF64,AH64,AJ64,AN64)&lt;5,SUM(X64,AD64,AF64,AH64,AJ64,AN64),SUM(LARGE((X64,AD64,AF64,AH64,AJ64,AN64),{1;2;3;4;5}))))+U64</f>
        <v>241</v>
      </c>
      <c r="O64" s="413">
        <v>241</v>
      </c>
      <c r="P64" s="405">
        <f t="array" ref="P64">IF(S64="n",((IF(COUNT(V64,W64,AA64,AB64,AC64,AE64,AG64,AI64,AM64,AO64)&lt;7,SUM(V64,W64,AA64,AB64,AC64,AE64,AG64,AI64,AM64,AO64),SUM(LARGE((V64,W64,AA64,AB64,AC64,AE64,AG64,AI64,AM64,AO64),{1;2;3;4;5;6;7}))))+(IF(COUNT(Y64,AD64,AF64,AH64,AK64,AN64)&lt;5,SUM(Y64,AD64,AF64,AH64,AK64,AN64),SUM(LARGE((Y64,AD64,AF64,AH64,AK64,AN64),{1;2;3;4;5}))))+U64),0)</f>
        <v>241</v>
      </c>
      <c r="Q64" s="661">
        <v>338</v>
      </c>
      <c r="R64" s="405">
        <f t="array" ref="R64">IF(T64="j",((IF(COUNT(V64,W64,AA64,AB64,AC64,AE64,AG64,AI64,AM64,AO64)&lt;7,SUM(V64,W64,AA64,AB64,AC64,AE64,AG64,AI64,AM64,AO64),SUM(LARGE((V64,W64,AA64,AB64,AC64,AE64,AG64,AI64,AM64,AO64),{1;2;3;4;5;6;7}))))+(IF(COUNT(Z64,AD64,AF64,AH64,AJ64,AN64)&lt;5,SUM(Z64,AD64,AF64,AH64,AJ64,AN64),SUM(LARGE((Z64,AD64,AF64,AH64,AJ64,AN64),{1;2;3;4;5}))))+U64),0)</f>
        <v>338</v>
      </c>
      <c r="S64" s="64" t="s">
        <v>35</v>
      </c>
      <c r="T64" s="64" t="s">
        <v>50</v>
      </c>
      <c r="U64" s="173">
        <v>1</v>
      </c>
      <c r="V64" s="141" t="s">
        <v>397</v>
      </c>
      <c r="W64" s="141" t="s">
        <v>397</v>
      </c>
      <c r="X64" s="15">
        <v>14</v>
      </c>
      <c r="Y64" s="613">
        <v>14</v>
      </c>
      <c r="Z64" s="610">
        <v>111</v>
      </c>
      <c r="AA64" s="141" t="s">
        <v>397</v>
      </c>
      <c r="AB64" s="15"/>
      <c r="AC64" s="15"/>
      <c r="AD64" s="15">
        <v>90</v>
      </c>
      <c r="AE64" s="15">
        <v>52</v>
      </c>
      <c r="AF64" s="141" t="s">
        <v>397</v>
      </c>
      <c r="AG64" s="15"/>
      <c r="AH64" s="15">
        <v>84</v>
      </c>
      <c r="AI64" s="15"/>
      <c r="AJ64" s="15"/>
      <c r="AK64" s="613"/>
      <c r="AL64" s="15"/>
      <c r="AM64" s="15"/>
      <c r="AN64" s="15"/>
      <c r="AO64" s="15"/>
      <c r="AP64" s="33">
        <f t="shared" si="7"/>
        <v>4</v>
      </c>
      <c r="AQ64" s="440">
        <f t="shared" si="8"/>
        <v>0</v>
      </c>
      <c r="AR64" s="441">
        <f t="shared" si="9"/>
        <v>0</v>
      </c>
      <c r="AS64" s="34">
        <f t="shared" si="10"/>
        <v>0</v>
      </c>
      <c r="AT64" s="4">
        <f t="shared" si="11"/>
        <v>3</v>
      </c>
      <c r="AU64" s="285">
        <f t="shared" si="12"/>
        <v>1</v>
      </c>
    </row>
    <row r="65" spans="1:47" x14ac:dyDescent="0.2">
      <c r="A65" s="59" t="s">
        <v>327</v>
      </c>
      <c r="B65" s="438" t="str">
        <f t="shared" si="0"/>
        <v/>
      </c>
      <c r="C65" s="432">
        <f t="shared" si="1"/>
        <v>0</v>
      </c>
      <c r="D65" s="61">
        <v>19</v>
      </c>
      <c r="E65" s="438">
        <f t="shared" si="2"/>
        <v>19</v>
      </c>
      <c r="F65" s="431">
        <f t="shared" si="3"/>
        <v>10237</v>
      </c>
      <c r="G65" s="660" t="s">
        <v>327</v>
      </c>
      <c r="H65" s="438" t="str">
        <f t="shared" si="4"/>
        <v/>
      </c>
      <c r="I65" s="658">
        <f t="shared" si="5"/>
        <v>0</v>
      </c>
      <c r="J65" s="154">
        <f t="shared" si="6"/>
        <v>57</v>
      </c>
      <c r="K65" s="139">
        <v>57</v>
      </c>
      <c r="L65" s="65" t="s">
        <v>691</v>
      </c>
      <c r="M65" s="139">
        <v>237</v>
      </c>
      <c r="N65" s="446">
        <f t="array" ref="N65">(IF(COUNT(V65,W65,AA65,AB65,AC65,AE65,AG65,AI65,AM65,AO65)&lt;7,SUM(V65,W65,AA65,AB65,AC65,AE65,AG65,AI65,AM65,AO65),SUM(LARGE((V65,W65,AA65,AB65,AC65,AE65,AG65,AI65,AM65,AO65),{1;2;3;4;5;6;7}))))+(IF(COUNT(X65,AD65,AF65,AH65,AJ65,AN65)&lt;5,SUM(X65,AD65,AF65,AH65,AJ65,AN65),SUM(LARGE((X65,AD65,AF65,AH65,AJ65,AN65),{1;2;3;4;5}))))+U65</f>
        <v>237</v>
      </c>
      <c r="O65" s="413">
        <v>237</v>
      </c>
      <c r="P65" s="405">
        <f t="array" ref="P65">IF(S65="n",((IF(COUNT(V65,W65,AA65,AB65,AC65,AE65,AG65,AI65,AM65,AO65)&lt;7,SUM(V65,W65,AA65,AB65,AC65,AE65,AG65,AI65,AM65,AO65),SUM(LARGE((V65,W65,AA65,AB65,AC65,AE65,AG65,AI65,AM65,AO65),{1;2;3;4;5;6;7}))))+(IF(COUNT(Y65,AD65,AF65,AH65,AK65,AN65)&lt;5,SUM(Y65,AD65,AF65,AH65,AK65,AN65),SUM(LARGE((Y65,AD65,AF65,AH65,AK65,AN65),{1;2;3;4;5}))))+U65),0)</f>
        <v>237</v>
      </c>
      <c r="Q65" s="661"/>
      <c r="R65" s="405">
        <f t="array" ref="R65">IF(T65="j",((IF(COUNT(V65,W65,AA65,AB65,AC65,AE65,AG65,AI65,AM65,AO65)&lt;7,SUM(V65,W65,AA65,AB65,AC65,AE65,AG65,AI65,AM65,AO65),SUM(LARGE((V65,W65,AA65,AB65,AC65,AE65,AG65,AI65,AM65,AO65),{1;2;3;4;5;6;7}))))+(IF(COUNT(Z65,AD65,AF65,AH65,AJ65,AN65)&lt;5,SUM(Z65,AD65,AF65,AH65,AJ65,AN65),SUM(LARGE((Z65,AD65,AF65,AH65,AJ65,AN65),{1;2;3;4;5}))))+U65),0)</f>
        <v>0</v>
      </c>
      <c r="S65" s="64" t="s">
        <v>35</v>
      </c>
      <c r="T65" s="64"/>
      <c r="U65" s="173"/>
      <c r="V65" s="141" t="s">
        <v>397</v>
      </c>
      <c r="W65" s="141" t="s">
        <v>397</v>
      </c>
      <c r="X65" s="141" t="s">
        <v>397</v>
      </c>
      <c r="Y65" s="614"/>
      <c r="Z65" s="611"/>
      <c r="AA65" s="141" t="s">
        <v>397</v>
      </c>
      <c r="AB65" s="15"/>
      <c r="AC65" s="15"/>
      <c r="AD65" s="15"/>
      <c r="AE65" s="15"/>
      <c r="AF65" s="15">
        <v>173</v>
      </c>
      <c r="AG65" s="15">
        <v>64</v>
      </c>
      <c r="AH65" s="15"/>
      <c r="AI65" s="15"/>
      <c r="AJ65" s="15"/>
      <c r="AK65" s="613"/>
      <c r="AL65" s="15"/>
      <c r="AM65" s="15"/>
      <c r="AN65" s="15"/>
      <c r="AO65" s="15"/>
      <c r="AP65" s="33">
        <f t="shared" si="7"/>
        <v>2</v>
      </c>
      <c r="AQ65" s="440">
        <f t="shared" si="8"/>
        <v>1</v>
      </c>
      <c r="AR65" s="441">
        <f t="shared" si="9"/>
        <v>1</v>
      </c>
      <c r="AS65" s="34">
        <f t="shared" si="10"/>
        <v>1</v>
      </c>
      <c r="AT65" s="4">
        <f t="shared" si="11"/>
        <v>3</v>
      </c>
      <c r="AU65" s="285">
        <f t="shared" si="12"/>
        <v>1</v>
      </c>
    </row>
    <row r="66" spans="1:47" x14ac:dyDescent="0.2">
      <c r="A66" s="59">
        <v>39</v>
      </c>
      <c r="B66" s="438">
        <f t="shared" si="0"/>
        <v>39</v>
      </c>
      <c r="C66" s="432">
        <f t="shared" si="1"/>
        <v>10233</v>
      </c>
      <c r="D66" s="61" t="s">
        <v>327</v>
      </c>
      <c r="E66" s="438" t="str">
        <f t="shared" si="2"/>
        <v/>
      </c>
      <c r="F66" s="431">
        <f t="shared" si="3"/>
        <v>0</v>
      </c>
      <c r="G66" s="660" t="s">
        <v>327</v>
      </c>
      <c r="H66" s="438" t="str">
        <f t="shared" si="4"/>
        <v/>
      </c>
      <c r="I66" s="658">
        <f t="shared" si="5"/>
        <v>0</v>
      </c>
      <c r="J66" s="154">
        <f t="shared" si="6"/>
        <v>58</v>
      </c>
      <c r="K66" s="139">
        <v>58</v>
      </c>
      <c r="L66" s="67" t="s">
        <v>88</v>
      </c>
      <c r="M66" s="251">
        <v>233</v>
      </c>
      <c r="N66" s="446">
        <f t="array" ref="N66">(IF(COUNT(V66,W66,AA66,AB66,AC66,AE66,AG66,AI66,AM66,AO66)&lt;7,SUM(V66,W66,AA66,AB66,AC66,AE66,AG66,AI66,AM66,AO66),SUM(LARGE((V66,W66,AA66,AB66,AC66,AE66,AG66,AI66,AM66,AO66),{1;2;3;4;5;6;7}))))+(IF(COUNT(X66,AD66,AF66,AH66,AJ66,AN66)&lt;5,SUM(X66,AD66,AF66,AH66,AJ66,AN66),SUM(LARGE((X66,AD66,AF66,AH66,AJ66,AN66),{1;2;3;4;5}))))+U66</f>
        <v>233</v>
      </c>
      <c r="O66" s="413"/>
      <c r="P66" s="405">
        <f t="array" ref="P66">IF(S66="n",((IF(COUNT(V66,W66,AA66,AB66,AC66,AE66,AG66,AI66,AM66,AO66)&lt;7,SUM(V66,W66,AA66,AB66,AC66,AE66,AG66,AI66,AM66,AO66),SUM(LARGE((V66,W66,AA66,AB66,AC66,AE66,AG66,AI66,AM66,AO66),{1;2;3;4;5;6;7}))))+(IF(COUNT(Y66,AD66,AF66,AH66,AK66,AN66)&lt;5,SUM(Y66,AD66,AF66,AH66,AK66,AN66),SUM(LARGE((Y66,AD66,AF66,AH66,AK66,AN66),{1;2;3;4;5}))))+U66),0)</f>
        <v>0</v>
      </c>
      <c r="Q66" s="661"/>
      <c r="R66" s="405">
        <f t="array" ref="R66">IF(T66="j",((IF(COUNT(V66,W66,AA66,AB66,AC66,AE66,AG66,AI66,AM66,AO66)&lt;7,SUM(V66,W66,AA66,AB66,AC66,AE66,AG66,AI66,AM66,AO66),SUM(LARGE((V66,W66,AA66,AB66,AC66,AE66,AG66,AI66,AM66,AO66),{1;2;3;4;5;6;7}))))+(IF(COUNT(Z66,AD66,AF66,AH66,AJ66,AN66)&lt;5,SUM(Z66,AD66,AF66,AH66,AJ66,AN66),SUM(LARGE((Z66,AD66,AF66,AH66,AJ66,AN66),{1;2;3;4;5}))))+U66),0)</f>
        <v>0</v>
      </c>
      <c r="S66" s="64"/>
      <c r="T66" s="64"/>
      <c r="U66" s="173">
        <v>1</v>
      </c>
      <c r="V66" s="141" t="s">
        <v>397</v>
      </c>
      <c r="W66" s="141" t="s">
        <v>397</v>
      </c>
      <c r="X66" s="15">
        <v>24</v>
      </c>
      <c r="Y66" s="613"/>
      <c r="Z66" s="610"/>
      <c r="AA66" s="141" t="s">
        <v>397</v>
      </c>
      <c r="AB66" s="15"/>
      <c r="AC66" s="15"/>
      <c r="AD66" s="141" t="s">
        <v>397</v>
      </c>
      <c r="AE66" s="15"/>
      <c r="AF66" s="15"/>
      <c r="AG66" s="15"/>
      <c r="AH66" s="15"/>
      <c r="AI66" s="15"/>
      <c r="AJ66" s="15"/>
      <c r="AK66" s="613"/>
      <c r="AL66" s="15"/>
      <c r="AM66" s="15"/>
      <c r="AN66" s="15">
        <v>111</v>
      </c>
      <c r="AO66" s="15">
        <v>97</v>
      </c>
      <c r="AP66" s="33">
        <f t="shared" si="7"/>
        <v>3</v>
      </c>
      <c r="AQ66" s="440">
        <f t="shared" si="8"/>
        <v>1</v>
      </c>
      <c r="AR66" s="441">
        <f t="shared" si="9"/>
        <v>0</v>
      </c>
      <c r="AS66" s="34">
        <f t="shared" si="10"/>
        <v>0</v>
      </c>
      <c r="AT66" s="4">
        <f t="shared" si="11"/>
        <v>3</v>
      </c>
      <c r="AU66" s="285">
        <f t="shared" si="12"/>
        <v>1</v>
      </c>
    </row>
    <row r="67" spans="1:47" x14ac:dyDescent="0.2">
      <c r="A67" s="59">
        <v>40</v>
      </c>
      <c r="B67" s="438">
        <f t="shared" si="0"/>
        <v>40</v>
      </c>
      <c r="C67" s="432">
        <f t="shared" si="1"/>
        <v>10221</v>
      </c>
      <c r="D67" s="61" t="s">
        <v>327</v>
      </c>
      <c r="E67" s="438" t="str">
        <f t="shared" si="2"/>
        <v/>
      </c>
      <c r="F67" s="431">
        <f t="shared" si="3"/>
        <v>0</v>
      </c>
      <c r="G67" s="660" t="s">
        <v>327</v>
      </c>
      <c r="H67" s="438" t="str">
        <f t="shared" si="4"/>
        <v/>
      </c>
      <c r="I67" s="658">
        <f t="shared" si="5"/>
        <v>0</v>
      </c>
      <c r="J67" s="154">
        <f t="shared" si="6"/>
        <v>59</v>
      </c>
      <c r="K67" s="139">
        <v>59</v>
      </c>
      <c r="L67" s="601" t="s">
        <v>424</v>
      </c>
      <c r="M67" s="139">
        <v>221</v>
      </c>
      <c r="N67" s="446">
        <f t="array" ref="N67">(IF(COUNT(V67,W67,AA67,AB67,AC67,AE67,AG67,AI67,AM67,AO67)&lt;7,SUM(V67,W67,AA67,AB67,AC67,AE67,AG67,AI67,AM67,AO67),SUM(LARGE((V67,W67,AA67,AB67,AC67,AE67,AG67,AI67,AM67,AO67),{1;2;3;4;5;6;7}))))+(IF(COUNT(X67,AD67,AF67,AH67,AJ67,AN67)&lt;5,SUM(X67,AD67,AF67,AH67,AJ67,AN67),SUM(LARGE((X67,AD67,AF67,AH67,AJ67,AN67),{1;2;3;4;5}))))+U67</f>
        <v>221</v>
      </c>
      <c r="O67" s="413"/>
      <c r="P67" s="405">
        <f t="array" ref="P67">IF(S67="n",((IF(COUNT(V67,W67,AA67,AB67,AC67,AE67,AG67,AI67,AM67,AO67)&lt;7,SUM(V67,W67,AA67,AB67,AC67,AE67,AG67,AI67,AM67,AO67),SUM(LARGE((V67,W67,AA67,AB67,AC67,AE67,AG67,AI67,AM67,AO67),{1;2;3;4;5;6;7}))))+(IF(COUNT(Y67,AD67,AF67,AH67,AK67,AN67)&lt;5,SUM(Y67,AD67,AF67,AH67,AK67,AN67),SUM(LARGE((Y67,AD67,AF67,AH67,AK67,AN67),{1;2;3;4;5}))))+U67),0)</f>
        <v>0</v>
      </c>
      <c r="Q67" s="661"/>
      <c r="R67" s="405">
        <f t="array" ref="R67">IF(T67="j",((IF(COUNT(V67,W67,AA67,AB67,AC67,AE67,AG67,AI67,AM67,AO67)&lt;7,SUM(V67,W67,AA67,AB67,AC67,AE67,AG67,AI67,AM67,AO67),SUM(LARGE((V67,W67,AA67,AB67,AC67,AE67,AG67,AI67,AM67,AO67),{1;2;3;4;5;6;7}))))+(IF(COUNT(Z67,AD67,AF67,AH67,AJ67,AN67)&lt;5,SUM(Z67,AD67,AF67,AH67,AJ67,AN67),SUM(LARGE((Z67,AD67,AF67,AH67,AJ67,AN67),{1;2;3;4;5}))))+U67),0)</f>
        <v>0</v>
      </c>
      <c r="S67" s="64"/>
      <c r="T67" s="64"/>
      <c r="U67" s="173"/>
      <c r="V67" s="141" t="s">
        <v>397</v>
      </c>
      <c r="W67" s="141" t="s">
        <v>397</v>
      </c>
      <c r="X67" s="15">
        <v>56</v>
      </c>
      <c r="Y67" s="613"/>
      <c r="Z67" s="610"/>
      <c r="AA67" s="141" t="s">
        <v>397</v>
      </c>
      <c r="AB67" s="15">
        <v>22</v>
      </c>
      <c r="AC67" s="15"/>
      <c r="AD67" s="141" t="s">
        <v>397</v>
      </c>
      <c r="AE67" s="15"/>
      <c r="AF67" s="15">
        <v>69</v>
      </c>
      <c r="AG67" s="15">
        <v>74</v>
      </c>
      <c r="AH67" s="15"/>
      <c r="AI67" s="15"/>
      <c r="AJ67" s="15"/>
      <c r="AK67" s="613"/>
      <c r="AL67" s="15"/>
      <c r="AM67" s="15"/>
      <c r="AN67" s="15"/>
      <c r="AO67" s="15"/>
      <c r="AP67" s="33">
        <f t="shared" si="7"/>
        <v>4</v>
      </c>
      <c r="AQ67" s="440">
        <f t="shared" si="8"/>
        <v>0</v>
      </c>
      <c r="AR67" s="441">
        <f t="shared" si="9"/>
        <v>0</v>
      </c>
      <c r="AS67" s="34">
        <f t="shared" si="10"/>
        <v>0</v>
      </c>
      <c r="AT67" s="4">
        <f t="shared" si="11"/>
        <v>3</v>
      </c>
      <c r="AU67" s="285">
        <f t="shared" si="12"/>
        <v>1</v>
      </c>
    </row>
    <row r="68" spans="1:47" x14ac:dyDescent="0.2">
      <c r="A68" s="59" t="s">
        <v>327</v>
      </c>
      <c r="B68" s="438" t="str">
        <f t="shared" si="0"/>
        <v/>
      </c>
      <c r="C68" s="432">
        <f t="shared" si="1"/>
        <v>0</v>
      </c>
      <c r="D68" s="61">
        <v>21</v>
      </c>
      <c r="E68" s="438">
        <f t="shared" si="2"/>
        <v>21</v>
      </c>
      <c r="F68" s="431">
        <f t="shared" si="3"/>
        <v>10218</v>
      </c>
      <c r="G68" s="660" t="s">
        <v>327</v>
      </c>
      <c r="H68" s="438" t="str">
        <f t="shared" si="4"/>
        <v/>
      </c>
      <c r="I68" s="658">
        <f t="shared" si="5"/>
        <v>0</v>
      </c>
      <c r="J68" s="154">
        <f t="shared" si="6"/>
        <v>60</v>
      </c>
      <c r="K68" s="139">
        <v>60</v>
      </c>
      <c r="L68" s="65" t="s">
        <v>692</v>
      </c>
      <c r="M68" s="139">
        <v>218</v>
      </c>
      <c r="N68" s="446">
        <f t="array" ref="N68">(IF(COUNT(V68,W68,AA68,AB68,AC68,AE68,AG68,AI68,AM68,AO68)&lt;7,SUM(V68,W68,AA68,AB68,AC68,AE68,AG68,AI68,AM68,AO68),SUM(LARGE((V68,W68,AA68,AB68,AC68,AE68,AG68,AI68,AM68,AO68),{1;2;3;4;5;6;7}))))+(IF(COUNT(X68,AD68,AF68,AH68,AJ68,AN68)&lt;5,SUM(X68,AD68,AF68,AH68,AJ68,AN68),SUM(LARGE((X68,AD68,AF68,AH68,AJ68,AN68),{1;2;3;4;5}))))+U68</f>
        <v>218</v>
      </c>
      <c r="O68" s="413">
        <v>218</v>
      </c>
      <c r="P68" s="405">
        <f t="array" ref="P68">IF(S68="n",((IF(COUNT(V68,W68,AA68,AB68,AC68,AE68,AG68,AI68,AM68,AO68)&lt;7,SUM(V68,W68,AA68,AB68,AC68,AE68,AG68,AI68,AM68,AO68),SUM(LARGE((V68,W68,AA68,AB68,AC68,AE68,AG68,AI68,AM68,AO68),{1;2;3;4;5;6;7}))))+(IF(COUNT(Y68,AD68,AF68,AH68,AK68,AN68)&lt;5,SUM(Y68,AD68,AF68,AH68,AK68,AN68),SUM(LARGE((Y68,AD68,AF68,AH68,AK68,AN68),{1;2;3;4;5}))))+U68),0)</f>
        <v>218</v>
      </c>
      <c r="Q68" s="661"/>
      <c r="R68" s="405">
        <f t="array" ref="R68">IF(T68="j",((IF(COUNT(V68,W68,AA68,AB68,AC68,AE68,AG68,AI68,AM68,AO68)&lt;7,SUM(V68,W68,AA68,AB68,AC68,AE68,AG68,AI68,AM68,AO68),SUM(LARGE((V68,W68,AA68,AB68,AC68,AE68,AG68,AI68,AM68,AO68),{1;2;3;4;5;6;7}))))+(IF(COUNT(Z68,AD68,AF68,AH68,AJ68,AN68)&lt;5,SUM(Z68,AD68,AF68,AH68,AJ68,AN68),SUM(LARGE((Z68,AD68,AF68,AH68,AJ68,AN68),{1;2;3;4;5}))))+U68),0)</f>
        <v>0</v>
      </c>
      <c r="S68" s="64" t="s">
        <v>35</v>
      </c>
      <c r="T68" s="64"/>
      <c r="U68" s="173"/>
      <c r="V68" s="141" t="s">
        <v>397</v>
      </c>
      <c r="W68" s="141" t="s">
        <v>397</v>
      </c>
      <c r="X68" s="141" t="s">
        <v>397</v>
      </c>
      <c r="Y68" s="614"/>
      <c r="Z68" s="611"/>
      <c r="AA68" s="141" t="s">
        <v>397</v>
      </c>
      <c r="AB68" s="15"/>
      <c r="AC68" s="15"/>
      <c r="AD68" s="15"/>
      <c r="AE68" s="15"/>
      <c r="AF68" s="15">
        <v>126</v>
      </c>
      <c r="AG68" s="15">
        <v>64</v>
      </c>
      <c r="AH68" s="15"/>
      <c r="AI68" s="15"/>
      <c r="AJ68" s="15"/>
      <c r="AK68" s="613"/>
      <c r="AL68" s="15"/>
      <c r="AM68" s="15">
        <v>28</v>
      </c>
      <c r="AN68" s="15"/>
      <c r="AO68" s="15"/>
      <c r="AP68" s="33">
        <f t="shared" si="7"/>
        <v>3</v>
      </c>
      <c r="AQ68" s="440">
        <f t="shared" si="8"/>
        <v>0</v>
      </c>
      <c r="AR68" s="441">
        <f t="shared" si="9"/>
        <v>0</v>
      </c>
      <c r="AS68" s="34">
        <f t="shared" si="10"/>
        <v>0</v>
      </c>
      <c r="AT68" s="4">
        <f t="shared" si="11"/>
        <v>3</v>
      </c>
      <c r="AU68" s="285">
        <f t="shared" si="12"/>
        <v>1</v>
      </c>
    </row>
    <row r="69" spans="1:47" x14ac:dyDescent="0.2">
      <c r="A69" s="59" t="s">
        <v>327</v>
      </c>
      <c r="B69" s="438" t="str">
        <f t="shared" si="0"/>
        <v/>
      </c>
      <c r="C69" s="432">
        <f t="shared" si="1"/>
        <v>0</v>
      </c>
      <c r="D69" s="61">
        <v>22</v>
      </c>
      <c r="E69" s="438">
        <f t="shared" si="2"/>
        <v>22</v>
      </c>
      <c r="F69" s="431">
        <f t="shared" si="3"/>
        <v>10217</v>
      </c>
      <c r="G69" s="660" t="s">
        <v>327</v>
      </c>
      <c r="H69" s="438" t="str">
        <f t="shared" si="4"/>
        <v/>
      </c>
      <c r="I69" s="658">
        <f t="shared" si="5"/>
        <v>0</v>
      </c>
      <c r="J69" s="154">
        <f t="shared" si="6"/>
        <v>61</v>
      </c>
      <c r="K69" s="139">
        <v>61</v>
      </c>
      <c r="L69" s="65" t="s">
        <v>34</v>
      </c>
      <c r="M69" s="139">
        <v>217</v>
      </c>
      <c r="N69" s="446">
        <f t="array" ref="N69">(IF(COUNT(V69,W69,AA69,AB69,AC69,AE69,AG69,AI69,AM69,AO69)&lt;7,SUM(V69,W69,AA69,AB69,AC69,AE69,AG69,AI69,AM69,AO69),SUM(LARGE((V69,W69,AA69,AB69,AC69,AE69,AG69,AI69,AM69,AO69),{1;2;3;4;5;6;7}))))+(IF(COUNT(X69,AD69,AF69,AH69,AJ69,AN69)&lt;5,SUM(X69,AD69,AF69,AH69,AJ69,AN69),SUM(LARGE((X69,AD69,AF69,AH69,AJ69,AN69),{1;2;3;4;5}))))+U69</f>
        <v>217</v>
      </c>
      <c r="O69" s="413">
        <v>217</v>
      </c>
      <c r="P69" s="405">
        <f t="array" ref="P69">IF(S69="n",((IF(COUNT(V69,W69,AA69,AB69,AC69,AE69,AG69,AI69,AM69,AO69)&lt;7,SUM(V69,W69,AA69,AB69,AC69,AE69,AG69,AI69,AM69,AO69),SUM(LARGE((V69,W69,AA69,AB69,AC69,AE69,AG69,AI69,AM69,AO69),{1;2;3;4;5;6;7}))))+(IF(COUNT(Y69,AD69,AF69,AH69,AK69,AN69)&lt;5,SUM(Y69,AD69,AF69,AH69,AK69,AN69),SUM(LARGE((Y69,AD69,AF69,AH69,AK69,AN69),{1;2;3;4;5}))))+U69),0)</f>
        <v>217</v>
      </c>
      <c r="Q69" s="661"/>
      <c r="R69" s="405">
        <f t="array" ref="R69">IF(T69="j",((IF(COUNT(V69,W69,AA69,AB69,AC69,AE69,AG69,AI69,AM69,AO69)&lt;7,SUM(V69,W69,AA69,AB69,AC69,AE69,AG69,AI69,AM69,AO69),SUM(LARGE((V69,W69,AA69,AB69,AC69,AE69,AG69,AI69,AM69,AO69),{1;2;3;4;5;6;7}))))+(IF(COUNT(Z69,AD69,AF69,AH69,AJ69,AN69)&lt;5,SUM(Z69,AD69,AF69,AH69,AJ69,AN69),SUM(LARGE((Z69,AD69,AF69,AH69,AJ69,AN69),{1;2;3;4;5}))))+U69),0)</f>
        <v>0</v>
      </c>
      <c r="S69" s="64" t="s">
        <v>35</v>
      </c>
      <c r="T69" s="64"/>
      <c r="U69" s="173">
        <v>46</v>
      </c>
      <c r="V69" s="141" t="s">
        <v>397</v>
      </c>
      <c r="W69" s="141" t="s">
        <v>397</v>
      </c>
      <c r="X69" s="141" t="s">
        <v>397</v>
      </c>
      <c r="Y69" s="614"/>
      <c r="Z69" s="611"/>
      <c r="AA69" s="141" t="s">
        <v>397</v>
      </c>
      <c r="AB69" s="15">
        <v>115</v>
      </c>
      <c r="AC69" s="15">
        <v>56</v>
      </c>
      <c r="AD69" s="32"/>
      <c r="AE69" s="15"/>
      <c r="AF69" s="15"/>
      <c r="AG69" s="15"/>
      <c r="AH69" s="15"/>
      <c r="AI69" s="15"/>
      <c r="AJ69" s="15"/>
      <c r="AK69" s="613"/>
      <c r="AL69" s="15"/>
      <c r="AM69" s="15"/>
      <c r="AN69" s="15"/>
      <c r="AO69" s="15"/>
      <c r="AP69" s="33">
        <f t="shared" si="7"/>
        <v>2</v>
      </c>
      <c r="AQ69" s="440">
        <f t="shared" si="8"/>
        <v>1</v>
      </c>
      <c r="AR69" s="441">
        <f t="shared" si="9"/>
        <v>1</v>
      </c>
      <c r="AS69" s="34">
        <f t="shared" si="10"/>
        <v>0</v>
      </c>
      <c r="AT69" s="4">
        <f t="shared" si="11"/>
        <v>3</v>
      </c>
      <c r="AU69" s="285">
        <f t="shared" si="12"/>
        <v>1</v>
      </c>
    </row>
    <row r="70" spans="1:47" x14ac:dyDescent="0.2">
      <c r="A70" s="59">
        <v>41</v>
      </c>
      <c r="B70" s="438">
        <f t="shared" si="0"/>
        <v>41</v>
      </c>
      <c r="C70" s="432">
        <f t="shared" si="1"/>
        <v>10216</v>
      </c>
      <c r="D70" s="61" t="s">
        <v>327</v>
      </c>
      <c r="E70" s="438" t="str">
        <f t="shared" si="2"/>
        <v/>
      </c>
      <c r="F70" s="431">
        <f t="shared" si="3"/>
        <v>0</v>
      </c>
      <c r="G70" s="660" t="s">
        <v>327</v>
      </c>
      <c r="H70" s="438" t="str">
        <f t="shared" si="4"/>
        <v/>
      </c>
      <c r="I70" s="658">
        <f t="shared" si="5"/>
        <v>0</v>
      </c>
      <c r="J70" s="154">
        <f t="shared" si="6"/>
        <v>62</v>
      </c>
      <c r="K70" s="139">
        <v>62</v>
      </c>
      <c r="L70" s="601" t="s">
        <v>745</v>
      </c>
      <c r="M70" s="139">
        <v>216</v>
      </c>
      <c r="N70" s="446">
        <f t="array" ref="N70">(IF(COUNT(V70,W70,AA70,AB70,AC70,AE70,AG70,AI70,AM70,AO70)&lt;7,SUM(V70,W70,AA70,AB70,AC70,AE70,AG70,AI70,AM70,AO70),SUM(LARGE((V70,W70,AA70,AB70,AC70,AE70,AG70,AI70,AM70,AO70),{1;2;3;4;5;6;7}))))+(IF(COUNT(X70,AD70,AF70,AH70,AJ70,AN70)&lt;5,SUM(X70,AD70,AF70,AH70,AJ70,AN70),SUM(LARGE((X70,AD70,AF70,AH70,AJ70,AN70),{1;2;3;4;5}))))+U70</f>
        <v>216</v>
      </c>
      <c r="O70" s="413"/>
      <c r="P70" s="405">
        <f t="array" ref="P70">IF(S70="n",((IF(COUNT(V70,W70,AA70,AB70,AC70,AE70,AG70,AI70,AM70,AO70)&lt;7,SUM(V70,W70,AA70,AB70,AC70,AE70,AG70,AI70,AM70,AO70),SUM(LARGE((V70,W70,AA70,AB70,AC70,AE70,AG70,AI70,AM70,AO70),{1;2;3;4;5;6;7}))))+(IF(COUNT(Y70,AD70,AF70,AH70,AK70,AN70)&lt;5,SUM(Y70,AD70,AF70,AH70,AK70,AN70),SUM(LARGE((Y70,AD70,AF70,AH70,AK70,AN70),{1;2;3;4;5}))))+U70),0)</f>
        <v>0</v>
      </c>
      <c r="Q70" s="661"/>
      <c r="R70" s="405">
        <f t="array" ref="R70">IF(T70="j",((IF(COUNT(V70,W70,AA70,AB70,AC70,AE70,AG70,AI70,AM70,AO70)&lt;7,SUM(V70,W70,AA70,AB70,AC70,AE70,AG70,AI70,AM70,AO70),SUM(LARGE((V70,W70,AA70,AB70,AC70,AE70,AG70,AI70,AM70,AO70),{1;2;3;4;5;6;7}))))+(IF(COUNT(Z70,AD70,AF70,AH70,AJ70,AN70)&lt;5,SUM(Z70,AD70,AF70,AH70,AJ70,AN70),SUM(LARGE((Z70,AD70,AF70,AH70,AJ70,AN70),{1;2;3;4;5}))))+U70),0)</f>
        <v>0</v>
      </c>
      <c r="S70" s="64"/>
      <c r="T70" s="64"/>
      <c r="U70" s="173"/>
      <c r="V70" s="141" t="s">
        <v>397</v>
      </c>
      <c r="W70" s="141" t="s">
        <v>397</v>
      </c>
      <c r="X70" s="141" t="s">
        <v>397</v>
      </c>
      <c r="Y70" s="614"/>
      <c r="Z70" s="611"/>
      <c r="AA70" s="141" t="s">
        <v>397</v>
      </c>
      <c r="AB70" s="15"/>
      <c r="AC70" s="15"/>
      <c r="AD70" s="15"/>
      <c r="AE70" s="15"/>
      <c r="AF70" s="15"/>
      <c r="AG70" s="15"/>
      <c r="AH70" s="15">
        <v>126</v>
      </c>
      <c r="AI70" s="15">
        <v>90</v>
      </c>
      <c r="AJ70" s="15"/>
      <c r="AK70" s="613"/>
      <c r="AL70" s="15"/>
      <c r="AM70" s="15"/>
      <c r="AN70" s="15"/>
      <c r="AO70" s="15"/>
      <c r="AP70" s="33">
        <f t="shared" si="7"/>
        <v>2</v>
      </c>
      <c r="AQ70" s="440">
        <f t="shared" si="8"/>
        <v>0</v>
      </c>
      <c r="AR70" s="441">
        <f t="shared" si="9"/>
        <v>0</v>
      </c>
      <c r="AS70" s="34">
        <f t="shared" si="10"/>
        <v>0</v>
      </c>
      <c r="AT70" s="4">
        <f t="shared" si="11"/>
        <v>3</v>
      </c>
      <c r="AU70" s="285">
        <f t="shared" si="12"/>
        <v>1</v>
      </c>
    </row>
    <row r="71" spans="1:47" x14ac:dyDescent="0.2">
      <c r="A71" s="59">
        <v>42</v>
      </c>
      <c r="B71" s="438">
        <f t="shared" si="0"/>
        <v>42</v>
      </c>
      <c r="C71" s="432">
        <f t="shared" si="1"/>
        <v>10214</v>
      </c>
      <c r="D71" s="61" t="s">
        <v>327</v>
      </c>
      <c r="E71" s="438" t="str">
        <f t="shared" si="2"/>
        <v/>
      </c>
      <c r="F71" s="431">
        <f t="shared" si="3"/>
        <v>0</v>
      </c>
      <c r="G71" s="660" t="s">
        <v>327</v>
      </c>
      <c r="H71" s="438" t="str">
        <f t="shared" si="4"/>
        <v/>
      </c>
      <c r="I71" s="658">
        <f t="shared" si="5"/>
        <v>0</v>
      </c>
      <c r="J71" s="154">
        <f t="shared" si="6"/>
        <v>63</v>
      </c>
      <c r="K71" s="139">
        <v>63</v>
      </c>
      <c r="L71" s="601" t="s">
        <v>42</v>
      </c>
      <c r="M71" s="139">
        <v>214</v>
      </c>
      <c r="N71" s="446">
        <f t="array" ref="N71">(IF(COUNT(V71,W71,AA71,AB71,AC71,AE71,AG71,AI71,AM71,AO71)&lt;7,SUM(V71,W71,AA71,AB71,AC71,AE71,AG71,AI71,AM71,AO71),SUM(LARGE((V71,W71,AA71,AB71,AC71,AE71,AG71,AI71,AM71,AO71),{1;2;3;4;5;6;7}))))+(IF(COUNT(X71,AD71,AF71,AH71,AJ71,AN71)&lt;5,SUM(X71,AD71,AF71,AH71,AJ71,AN71),SUM(LARGE((X71,AD71,AF71,AH71,AJ71,AN71),{1;2;3;4;5}))))+U71</f>
        <v>214</v>
      </c>
      <c r="O71" s="413"/>
      <c r="P71" s="405">
        <f t="array" ref="P71">IF(S71="n",((IF(COUNT(V71,W71,AA71,AB71,AC71,AE71,AG71,AI71,AM71,AO71)&lt;7,SUM(V71,W71,AA71,AB71,AC71,AE71,AG71,AI71,AM71,AO71),SUM(LARGE((V71,W71,AA71,AB71,AC71,AE71,AG71,AI71,AM71,AO71),{1;2;3;4;5;6;7}))))+(IF(COUNT(Y71,AD71,AF71,AH71,AK71,AN71)&lt;5,SUM(Y71,AD71,AF71,AH71,AK71,AN71),SUM(LARGE((Y71,AD71,AF71,AH71,AK71,AN71),{1;2;3;4;5}))))+U71),0)</f>
        <v>0</v>
      </c>
      <c r="Q71" s="661"/>
      <c r="R71" s="405">
        <f t="array" ref="R71">IF(T71="j",((IF(COUNT(V71,W71,AA71,AB71,AC71,AE71,AG71,AI71,AM71,AO71)&lt;7,SUM(V71,W71,AA71,AB71,AC71,AE71,AG71,AI71,AM71,AO71),SUM(LARGE((V71,W71,AA71,AB71,AC71,AE71,AG71,AI71,AM71,AO71),{1;2;3;4;5;6;7}))))+(IF(COUNT(Z71,AD71,AF71,AH71,AJ71,AN71)&lt;5,SUM(Z71,AD71,AF71,AH71,AJ71,AN71),SUM(LARGE((Z71,AD71,AF71,AH71,AJ71,AN71),{1;2;3;4;5}))))+U71),0)</f>
        <v>0</v>
      </c>
      <c r="S71" s="64"/>
      <c r="T71" s="64"/>
      <c r="U71" s="173">
        <v>34</v>
      </c>
      <c r="V71" s="141" t="s">
        <v>397</v>
      </c>
      <c r="W71" s="141" t="s">
        <v>397</v>
      </c>
      <c r="X71" s="141" t="s">
        <v>397</v>
      </c>
      <c r="Y71" s="614"/>
      <c r="Z71" s="611"/>
      <c r="AA71" s="141" t="s">
        <v>397</v>
      </c>
      <c r="AB71" s="15"/>
      <c r="AC71" s="15"/>
      <c r="AD71" s="32"/>
      <c r="AE71" s="15"/>
      <c r="AF71" s="15"/>
      <c r="AG71" s="15"/>
      <c r="AH71" s="15">
        <v>65</v>
      </c>
      <c r="AI71" s="15">
        <v>115</v>
      </c>
      <c r="AJ71" s="15"/>
      <c r="AK71" s="613"/>
      <c r="AL71" s="15"/>
      <c r="AM71" s="15"/>
      <c r="AN71" s="15"/>
      <c r="AO71" s="15"/>
      <c r="AP71" s="33">
        <f t="shared" si="7"/>
        <v>2</v>
      </c>
      <c r="AQ71" s="440">
        <f t="shared" si="8"/>
        <v>1</v>
      </c>
      <c r="AR71" s="441">
        <f t="shared" si="9"/>
        <v>1</v>
      </c>
      <c r="AS71" s="34">
        <f t="shared" si="10"/>
        <v>0</v>
      </c>
      <c r="AT71" s="4">
        <f t="shared" si="11"/>
        <v>3</v>
      </c>
      <c r="AU71" s="285">
        <f t="shared" si="12"/>
        <v>1</v>
      </c>
    </row>
    <row r="72" spans="1:47" x14ac:dyDescent="0.2">
      <c r="A72" s="59" t="s">
        <v>327</v>
      </c>
      <c r="B72" s="438" t="str">
        <f t="shared" si="0"/>
        <v/>
      </c>
      <c r="C72" s="432">
        <f t="shared" si="1"/>
        <v>0</v>
      </c>
      <c r="D72" s="61">
        <v>23</v>
      </c>
      <c r="E72" s="438">
        <f t="shared" si="2"/>
        <v>23</v>
      </c>
      <c r="F72" s="431">
        <f t="shared" si="3"/>
        <v>10206</v>
      </c>
      <c r="G72" s="660">
        <v>6</v>
      </c>
      <c r="H72" s="438">
        <f t="shared" si="4"/>
        <v>6</v>
      </c>
      <c r="I72" s="658">
        <f t="shared" si="5"/>
        <v>10307</v>
      </c>
      <c r="J72" s="154">
        <f t="shared" si="6"/>
        <v>64</v>
      </c>
      <c r="K72" s="139">
        <v>64</v>
      </c>
      <c r="L72" s="66" t="s">
        <v>425</v>
      </c>
      <c r="M72" s="139">
        <v>206</v>
      </c>
      <c r="N72" s="446">
        <f t="array" ref="N72">(IF(COUNT(V72,W72,AA72,AB72,AC72,AE72,AG72,AI72,AM72,AO72)&lt;7,SUM(V72,W72,AA72,AB72,AC72,AE72,AG72,AI72,AM72,AO72),SUM(LARGE((V72,W72,AA72,AB72,AC72,AE72,AG72,AI72,AM72,AO72),{1;2;3;4;5;6;7}))))+(IF(COUNT(X72,AD72,AF72,AH72,AJ72,AN72)&lt;5,SUM(X72,AD72,AF72,AH72,AJ72,AN72),SUM(LARGE((X72,AD72,AF72,AH72,AJ72,AN72),{1;2;3;4;5}))))+U72</f>
        <v>206</v>
      </c>
      <c r="O72" s="413">
        <v>206</v>
      </c>
      <c r="P72" s="405">
        <f t="array" ref="P72">IF(S72="n",((IF(COUNT(V72,W72,AA72,AB72,AC72,AE72,AG72,AI72,AM72,AO72)&lt;7,SUM(V72,W72,AA72,AB72,AC72,AE72,AG72,AI72,AM72,AO72),SUM(LARGE((V72,W72,AA72,AB72,AC72,AE72,AG72,AI72,AM72,AO72),{1;2;3;4;5;6;7}))))+(IF(COUNT(Y72,AD72,AF72,AH72,AK72,AN72)&lt;5,SUM(Y72,AD72,AF72,AH72,AK72,AN72),SUM(LARGE((Y72,AD72,AF72,AH72,AK72,AN72),{1;2;3;4;5}))))+U72),0)</f>
        <v>206</v>
      </c>
      <c r="Q72" s="661">
        <v>307</v>
      </c>
      <c r="R72" s="405">
        <f t="array" ref="R72">IF(T72="j",((IF(COUNT(V72,W72,AA72,AB72,AC72,AE72,AG72,AI72,AM72,AO72)&lt;7,SUM(V72,W72,AA72,AB72,AC72,AE72,AG72,AI72,AM72,AO72),SUM(LARGE((V72,W72,AA72,AB72,AC72,AE72,AG72,AI72,AM72,AO72),{1;2;3;4;5;6;7}))))+(IF(COUNT(Z72,AD72,AF72,AH72,AJ72,AN72)&lt;5,SUM(Z72,AD72,AF72,AH72,AJ72,AN72),SUM(LARGE((Z72,AD72,AF72,AH72,AJ72,AN72),{1;2;3;4;5}))))+U72),0)</f>
        <v>307</v>
      </c>
      <c r="S72" s="64" t="s">
        <v>35</v>
      </c>
      <c r="T72" s="64" t="s">
        <v>50</v>
      </c>
      <c r="U72" s="173"/>
      <c r="V72" s="141" t="s">
        <v>397</v>
      </c>
      <c r="W72" s="141" t="s">
        <v>397</v>
      </c>
      <c r="X72" s="15">
        <v>18</v>
      </c>
      <c r="Y72" s="613">
        <v>18</v>
      </c>
      <c r="Z72" s="610">
        <v>119</v>
      </c>
      <c r="AA72" s="141" t="s">
        <v>397</v>
      </c>
      <c r="AB72" s="15"/>
      <c r="AC72" s="15"/>
      <c r="AD72" s="141" t="s">
        <v>397</v>
      </c>
      <c r="AE72" s="15"/>
      <c r="AF72" s="15">
        <v>119</v>
      </c>
      <c r="AG72" s="15">
        <v>69</v>
      </c>
      <c r="AH72" s="15"/>
      <c r="AI72" s="15"/>
      <c r="AJ72" s="15"/>
      <c r="AK72" s="613"/>
      <c r="AL72" s="15"/>
      <c r="AM72" s="15"/>
      <c r="AN72" s="15"/>
      <c r="AO72" s="15"/>
      <c r="AP72" s="33">
        <f t="shared" si="7"/>
        <v>3</v>
      </c>
      <c r="AQ72" s="440">
        <f t="shared" si="8"/>
        <v>0</v>
      </c>
      <c r="AR72" s="441">
        <f t="shared" si="9"/>
        <v>0</v>
      </c>
      <c r="AS72" s="34">
        <f t="shared" si="10"/>
        <v>0</v>
      </c>
      <c r="AT72" s="4">
        <f t="shared" si="11"/>
        <v>3</v>
      </c>
      <c r="AU72" s="285">
        <f t="shared" si="12"/>
        <v>1</v>
      </c>
    </row>
    <row r="73" spans="1:47" x14ac:dyDescent="0.2">
      <c r="A73" s="59" t="s">
        <v>327</v>
      </c>
      <c r="B73" s="438" t="str">
        <f t="shared" ref="B73:B94" si="13">IF(N73=0,"",IF(S73="n","",RANK(C73,C$9:C$176,0)))</f>
        <v/>
      </c>
      <c r="C73" s="432">
        <f t="shared" ref="C73:C136" si="14">IF(S73="n",0,N73+10000)</f>
        <v>0</v>
      </c>
      <c r="D73" s="61">
        <v>24</v>
      </c>
      <c r="E73" s="438">
        <f t="shared" ref="E73:E136" si="15">IF(S73="n",RANK(F73,F$9:F$176,0),"")</f>
        <v>23</v>
      </c>
      <c r="F73" s="431">
        <f t="shared" ref="F73:F136" si="16">IF(AND((T73="j"),(S73="n")),N73+10000,IF((S73="n"),P73+10000,0))</f>
        <v>10206</v>
      </c>
      <c r="G73" s="660" t="s">
        <v>327</v>
      </c>
      <c r="H73" s="438" t="str">
        <f t="shared" ref="H73:H136" si="17">IF(T73="j",RANK(I73,I$9:I$176,0),"")</f>
        <v/>
      </c>
      <c r="I73" s="658">
        <f t="shared" ref="I73:I136" si="18">IF((T73="j"),R73+10000,0)</f>
        <v>0</v>
      </c>
      <c r="J73" s="154">
        <f t="shared" ref="J73:J136" si="19">RANK(N73,$N$9:$N$176,0)</f>
        <v>64</v>
      </c>
      <c r="K73" s="139">
        <v>65</v>
      </c>
      <c r="L73" s="65" t="s">
        <v>75</v>
      </c>
      <c r="M73" s="139">
        <v>206</v>
      </c>
      <c r="N73" s="446">
        <f t="array" ref="N73">(IF(COUNT(V73,W73,AA73,AB73,AC73,AE73,AG73,AI73,AM73,AO73)&lt;7,SUM(V73,W73,AA73,AB73,AC73,AE73,AG73,AI73,AM73,AO73),SUM(LARGE((V73,W73,AA73,AB73,AC73,AE73,AG73,AI73,AM73,AO73),{1;2;3;4;5;6;7}))))+(IF(COUNT(X73,AD73,AF73,AH73,AJ73,AN73)&lt;5,SUM(X73,AD73,AF73,AH73,AJ73,AN73),SUM(LARGE((X73,AD73,AF73,AH73,AJ73,AN73),{1;2;3;4;5}))))+U73</f>
        <v>206</v>
      </c>
      <c r="O73" s="413">
        <v>206</v>
      </c>
      <c r="P73" s="405">
        <f t="array" ref="P73">IF(S73="n",((IF(COUNT(V73,W73,AA73,AB73,AC73,AE73,AG73,AI73,AM73,AO73)&lt;7,SUM(V73,W73,AA73,AB73,AC73,AE73,AG73,AI73,AM73,AO73),SUM(LARGE((V73,W73,AA73,AB73,AC73,AE73,AG73,AI73,AM73,AO73),{1;2;3;4;5;6;7}))))+(IF(COUNT(Y73,AD73,AF73,AH73,AK73,AN73)&lt;5,SUM(Y73,AD73,AF73,AH73,AK73,AN73),SUM(LARGE((Y73,AD73,AF73,AH73,AK73,AN73),{1;2;3;4;5}))))+U73),0)</f>
        <v>206</v>
      </c>
      <c r="Q73" s="661"/>
      <c r="R73" s="405">
        <f t="array" ref="R73">IF(T73="j",((IF(COUNT(V73,W73,AA73,AB73,AC73,AE73,AG73,AI73,AM73,AO73)&lt;7,SUM(V73,W73,AA73,AB73,AC73,AE73,AG73,AI73,AM73,AO73),SUM(LARGE((V73,W73,AA73,AB73,AC73,AE73,AG73,AI73,AM73,AO73),{1;2;3;4;5;6;7}))))+(IF(COUNT(Z73,AD73,AF73,AH73,AJ73,AN73)&lt;5,SUM(Z73,AD73,AF73,AH73,AJ73,AN73),SUM(LARGE((Z73,AD73,AF73,AH73,AJ73,AN73),{1;2;3;4;5}))))+U73),0)</f>
        <v>0</v>
      </c>
      <c r="S73" s="64" t="s">
        <v>35</v>
      </c>
      <c r="T73" s="64"/>
      <c r="U73" s="173">
        <v>1</v>
      </c>
      <c r="V73" s="141" t="s">
        <v>397</v>
      </c>
      <c r="W73" s="141" t="s">
        <v>397</v>
      </c>
      <c r="X73" s="141" t="s">
        <v>397</v>
      </c>
      <c r="Y73" s="614"/>
      <c r="Z73" s="611"/>
      <c r="AA73" s="141" t="s">
        <v>397</v>
      </c>
      <c r="AB73" s="15">
        <v>46</v>
      </c>
      <c r="AC73" s="15"/>
      <c r="AD73" s="32">
        <v>90</v>
      </c>
      <c r="AE73" s="15">
        <v>69</v>
      </c>
      <c r="AF73" s="15"/>
      <c r="AG73" s="15"/>
      <c r="AH73" s="15"/>
      <c r="AI73" s="15"/>
      <c r="AJ73" s="15"/>
      <c r="AK73" s="613"/>
      <c r="AL73" s="15"/>
      <c r="AM73" s="15"/>
      <c r="AN73" s="15"/>
      <c r="AO73" s="15"/>
      <c r="AP73" s="33">
        <f t="shared" ref="AP73:AP136" si="20">COUNTIF(V73:X73,"&gt;=0")+COUNTIF(AA73:AJ73,"&gt;=0")+COUNTIF(AM73:AO73,"&gt;=0")</f>
        <v>3</v>
      </c>
      <c r="AQ73" s="440">
        <f t="shared" ref="AQ73:AQ136" si="21">COUNTIF(V73:W73,"&gt;=97")+COUNTIF(AA73:AC73,"&gt;=97")+COUNTIF(AE73,"&gt;=97")+COUNTIF(AG73,"&gt;=97")+COUNTIF(AI73,"&gt;=97")+COUNTIF(AM73,"&gt;=97")+COUNTIF(AO73,"&gt;=97")+COUNTIF(X73,"&gt;=146")+COUNTIF(AD73,"&gt;=146")+COUNTIF(AF73,"&gt;=146")+COUNTIF(AH73,"&gt;=146")+COUNTIF(AJ73,"&gt;=146")+COUNTIF(AN73,"&gt;=146")+IF((S73="n"),(COUNTIF(X73,"=83")+COUNTIF(X73,"=93")+COUNTIF(X73,"=105")+COUNTIF(AJ73,"=83")+COUNTIF(AJ73,"=93")+COUNTIF(AJ73,"=105")))+IF((T73="j"),(COUNTIF(X73,"=33")+COUNTIF(X73,"=42")+COUNTIF(X73,"=53")+COUNTIF(AJ73,"=33")+COUNTIF(AJ73,"=42")+COUNTIF(AJ73,"=53")))</f>
        <v>0</v>
      </c>
      <c r="AR73" s="441">
        <f t="shared" ref="AR73:AR136" si="22">COUNTIF(V73:W73,"=115")+COUNTIF(AA73:AC73,"=115")+COUNTIF(AE73,"=115")+COUNTIF(AG73,"=115")+COUNTIF(AI73,"=115")+COUNTIF(AM73,"=115")+COUNTIF(AO73,"=115")+COUNTIF(V73:AO73,"=173")</f>
        <v>0</v>
      </c>
      <c r="AS73" s="34">
        <f t="shared" ref="AS73:AS136" si="23">COUNTIF(V73:AO73,"=173")</f>
        <v>0</v>
      </c>
      <c r="AT73" s="4">
        <f t="shared" ref="AT73:AT136" si="24">COUNTIF(V73:W73,"=  ")+COUNTIF(AA73:AC73,"=  ")+COUNTIF(AE73,"=  ")+COUNTIF(AG73,"=  ")+COUNTIF(AI73,"=  ")+COUNTIF(AM73,"=  ")+COUNTIF(AO73,"=  ")</f>
        <v>3</v>
      </c>
      <c r="AU73" s="285">
        <f t="shared" ref="AU73:AU136" si="25">COUNTIF(X73,"=  ")+COUNTIF(AD73,"=  ")+COUNTIF(AF73,"=  ")+COUNTIF(AH73,"=  ")+COUNTIF(AJ73,"=  ")+COUNTIF(AN73,"=  ")</f>
        <v>1</v>
      </c>
    </row>
    <row r="74" spans="1:47" x14ac:dyDescent="0.2">
      <c r="A74" s="59" t="s">
        <v>327</v>
      </c>
      <c r="B74" s="438" t="str">
        <f t="shared" si="13"/>
        <v/>
      </c>
      <c r="C74" s="432">
        <f t="shared" si="14"/>
        <v>0</v>
      </c>
      <c r="D74" s="61">
        <v>25</v>
      </c>
      <c r="E74" s="438">
        <f t="shared" si="15"/>
        <v>25</v>
      </c>
      <c r="F74" s="431">
        <f t="shared" si="16"/>
        <v>10204</v>
      </c>
      <c r="G74" s="660" t="s">
        <v>327</v>
      </c>
      <c r="H74" s="438" t="str">
        <f t="shared" si="17"/>
        <v/>
      </c>
      <c r="I74" s="658">
        <f t="shared" si="18"/>
        <v>0</v>
      </c>
      <c r="J74" s="154">
        <f t="shared" si="19"/>
        <v>66</v>
      </c>
      <c r="K74" s="139">
        <v>66</v>
      </c>
      <c r="L74" s="411" t="s">
        <v>678</v>
      </c>
      <c r="M74" s="139">
        <v>204</v>
      </c>
      <c r="N74" s="446">
        <f t="array" ref="N74">(IF(COUNT(V74,W74,AA74,AB74,AC74,AE74,AG74,AI74,AM74,AO74)&lt;7,SUM(V74,W74,AA74,AB74,AC74,AE74,AG74,AI74,AM74,AO74),SUM(LARGE((V74,W74,AA74,AB74,AC74,AE74,AG74,AI74,AM74,AO74),{1;2;3;4;5;6;7}))))+(IF(COUNT(X74,AD74,AF74,AH74,AJ74,AN74)&lt;5,SUM(X74,AD74,AF74,AH74,AJ74,AN74),SUM(LARGE((X74,AD74,AF74,AH74,AJ74,AN74),{1;2;3;4;5}))))+U74</f>
        <v>204</v>
      </c>
      <c r="O74" s="413">
        <v>204</v>
      </c>
      <c r="P74" s="405">
        <f t="array" ref="P74">IF(S74="n",((IF(COUNT(V74,W74,AA74,AB74,AC74,AE74,AG74,AI74,AM74,AO74)&lt;7,SUM(V74,W74,AA74,AB74,AC74,AE74,AG74,AI74,AM74,AO74),SUM(LARGE((V74,W74,AA74,AB74,AC74,AE74,AG74,AI74,AM74,AO74),{1;2;3;4;5;6;7}))))+(IF(COUNT(Y74,AD74,AF74,AH74,AK74,AN74)&lt;5,SUM(Y74,AD74,AF74,AH74,AK74,AN74),SUM(LARGE((Y74,AD74,AF74,AH74,AK74,AN74),{1;2;3;4;5}))))+U74),0)</f>
        <v>204</v>
      </c>
      <c r="Q74" s="661"/>
      <c r="R74" s="405">
        <f t="array" ref="R74">IF(T74="j",((IF(COUNT(V74,W74,AA74,AB74,AC74,AE74,AG74,AI74,AM74,AO74)&lt;7,SUM(V74,W74,AA74,AB74,AC74,AE74,AG74,AI74,AM74,AO74),SUM(LARGE((V74,W74,AA74,AB74,AC74,AE74,AG74,AI74,AM74,AO74),{1;2;3;4;5;6;7}))))+(IF(COUNT(Z74,AD74,AF74,AH74,AJ74,AN74)&lt;5,SUM(Z74,AD74,AF74,AH74,AJ74,AN74),SUM(LARGE((Z74,AD74,AF74,AH74,AJ74,AN74),{1;2;3;4;5}))))+U74),0)</f>
        <v>0</v>
      </c>
      <c r="S74" s="64" t="s">
        <v>35</v>
      </c>
      <c r="T74" s="64"/>
      <c r="U74" s="173"/>
      <c r="V74" s="141" t="s">
        <v>397</v>
      </c>
      <c r="W74" s="141" t="s">
        <v>397</v>
      </c>
      <c r="X74" s="141" t="s">
        <v>397</v>
      </c>
      <c r="Y74" s="614"/>
      <c r="Z74" s="611"/>
      <c r="AA74" s="141" t="s">
        <v>397</v>
      </c>
      <c r="AB74" s="15"/>
      <c r="AC74" s="15"/>
      <c r="AD74" s="15"/>
      <c r="AE74" s="15"/>
      <c r="AF74" s="15">
        <v>111</v>
      </c>
      <c r="AG74" s="15">
        <v>74</v>
      </c>
      <c r="AH74" s="15"/>
      <c r="AI74" s="15"/>
      <c r="AJ74" s="15"/>
      <c r="AK74" s="613"/>
      <c r="AL74" s="15"/>
      <c r="AM74" s="15">
        <v>19</v>
      </c>
      <c r="AN74" s="15"/>
      <c r="AO74" s="15"/>
      <c r="AP74" s="33">
        <f t="shared" si="20"/>
        <v>3</v>
      </c>
      <c r="AQ74" s="440">
        <f t="shared" si="21"/>
        <v>0</v>
      </c>
      <c r="AR74" s="441">
        <f t="shared" si="22"/>
        <v>0</v>
      </c>
      <c r="AS74" s="34">
        <f t="shared" si="23"/>
        <v>0</v>
      </c>
      <c r="AT74" s="4">
        <f t="shared" si="24"/>
        <v>3</v>
      </c>
      <c r="AU74" s="285">
        <f t="shared" si="25"/>
        <v>1</v>
      </c>
    </row>
    <row r="75" spans="1:47" x14ac:dyDescent="0.2">
      <c r="A75" s="59">
        <v>43</v>
      </c>
      <c r="B75" s="438">
        <f t="shared" si="13"/>
        <v>43</v>
      </c>
      <c r="C75" s="432">
        <f t="shared" si="14"/>
        <v>10204</v>
      </c>
      <c r="D75" s="61" t="s">
        <v>327</v>
      </c>
      <c r="E75" s="438" t="str">
        <f t="shared" si="15"/>
        <v/>
      </c>
      <c r="F75" s="431">
        <f t="shared" si="16"/>
        <v>0</v>
      </c>
      <c r="G75" s="660" t="s">
        <v>327</v>
      </c>
      <c r="H75" s="438" t="str">
        <f t="shared" si="17"/>
        <v/>
      </c>
      <c r="I75" s="658">
        <f t="shared" si="18"/>
        <v>0</v>
      </c>
      <c r="J75" s="154">
        <f t="shared" si="19"/>
        <v>66</v>
      </c>
      <c r="K75" s="139">
        <v>66</v>
      </c>
      <c r="L75" s="601" t="s">
        <v>681</v>
      </c>
      <c r="M75" s="139">
        <v>204</v>
      </c>
      <c r="N75" s="446">
        <f t="array" ref="N75">(IF(COUNT(V75,W75,AA75,AB75,AC75,AE75,AG75,AI75,AM75,AO75)&lt;7,SUM(V75,W75,AA75,AB75,AC75,AE75,AG75,AI75,AM75,AO75),SUM(LARGE((V75,W75,AA75,AB75,AC75,AE75,AG75,AI75,AM75,AO75),{1;2;3;4;5;6;7}))))+(IF(COUNT(X75,AD75,AF75,AH75,AJ75,AN75)&lt;5,SUM(X75,AD75,AF75,AH75,AJ75,AN75),SUM(LARGE((X75,AD75,AF75,AH75,AJ75,AN75),{1;2;3;4;5}))))+U75</f>
        <v>204</v>
      </c>
      <c r="O75" s="413"/>
      <c r="P75" s="405">
        <f t="array" ref="P75">IF(S75="n",((IF(COUNT(V75,W75,AA75,AB75,AC75,AE75,AG75,AI75,AM75,AO75)&lt;7,SUM(V75,W75,AA75,AB75,AC75,AE75,AG75,AI75,AM75,AO75),SUM(LARGE((V75,W75,AA75,AB75,AC75,AE75,AG75,AI75,AM75,AO75),{1;2;3;4;5;6;7}))))+(IF(COUNT(Y75,AD75,AF75,AH75,AK75,AN75)&lt;5,SUM(Y75,AD75,AF75,AH75,AK75,AN75),SUM(LARGE((Y75,AD75,AF75,AH75,AK75,AN75),{1;2;3;4;5}))))+U75),0)</f>
        <v>0</v>
      </c>
      <c r="Q75" s="661"/>
      <c r="R75" s="405">
        <f t="array" ref="R75">IF(T75="j",((IF(COUNT(V75,W75,AA75,AB75,AC75,AE75,AG75,AI75,AM75,AO75)&lt;7,SUM(V75,W75,AA75,AB75,AC75,AE75,AG75,AI75,AM75,AO75),SUM(LARGE((V75,W75,AA75,AB75,AC75,AE75,AG75,AI75,AM75,AO75),{1;2;3;4;5;6;7}))))+(IF(COUNT(Z75,AD75,AF75,AH75,AJ75,AN75)&lt;5,SUM(Z75,AD75,AF75,AH75,AJ75,AN75),SUM(LARGE((Z75,AD75,AF75,AH75,AJ75,AN75),{1;2;3;4;5}))))+U75),0)</f>
        <v>0</v>
      </c>
      <c r="S75" s="64"/>
      <c r="T75" s="64"/>
      <c r="U75" s="173"/>
      <c r="V75" s="141" t="s">
        <v>397</v>
      </c>
      <c r="W75" s="141" t="s">
        <v>397</v>
      </c>
      <c r="X75" s="141" t="s">
        <v>397</v>
      </c>
      <c r="Y75" s="614"/>
      <c r="Z75" s="611"/>
      <c r="AA75" s="141" t="s">
        <v>397</v>
      </c>
      <c r="AB75" s="15"/>
      <c r="AC75" s="15"/>
      <c r="AD75" s="15"/>
      <c r="AE75" s="15"/>
      <c r="AF75" s="15">
        <v>111</v>
      </c>
      <c r="AG75" s="15">
        <v>74</v>
      </c>
      <c r="AH75" s="15"/>
      <c r="AI75" s="15"/>
      <c r="AJ75" s="15"/>
      <c r="AK75" s="613"/>
      <c r="AL75" s="15"/>
      <c r="AM75" s="15">
        <v>19</v>
      </c>
      <c r="AN75" s="15"/>
      <c r="AO75" s="15"/>
      <c r="AP75" s="33">
        <f t="shared" si="20"/>
        <v>3</v>
      </c>
      <c r="AQ75" s="440">
        <f t="shared" si="21"/>
        <v>0</v>
      </c>
      <c r="AR75" s="441">
        <f t="shared" si="22"/>
        <v>0</v>
      </c>
      <c r="AS75" s="34">
        <f t="shared" si="23"/>
        <v>0</v>
      </c>
      <c r="AT75" s="4">
        <f t="shared" si="24"/>
        <v>3</v>
      </c>
      <c r="AU75" s="285">
        <f t="shared" si="25"/>
        <v>1</v>
      </c>
    </row>
    <row r="76" spans="1:47" x14ac:dyDescent="0.2">
      <c r="A76" s="59">
        <v>44</v>
      </c>
      <c r="B76" s="438">
        <f t="shared" si="13"/>
        <v>44</v>
      </c>
      <c r="C76" s="432">
        <f t="shared" si="14"/>
        <v>10201</v>
      </c>
      <c r="D76" s="61" t="s">
        <v>327</v>
      </c>
      <c r="E76" s="438" t="str">
        <f t="shared" si="15"/>
        <v/>
      </c>
      <c r="F76" s="431">
        <f t="shared" si="16"/>
        <v>0</v>
      </c>
      <c r="G76" s="660" t="s">
        <v>327</v>
      </c>
      <c r="H76" s="438" t="str">
        <f t="shared" si="17"/>
        <v/>
      </c>
      <c r="I76" s="658">
        <f t="shared" si="18"/>
        <v>0</v>
      </c>
      <c r="J76" s="154">
        <f t="shared" si="19"/>
        <v>68</v>
      </c>
      <c r="K76" s="139">
        <v>68</v>
      </c>
      <c r="L76" s="601" t="s">
        <v>743</v>
      </c>
      <c r="M76" s="139">
        <v>201</v>
      </c>
      <c r="N76" s="446">
        <f t="array" ref="N76">(IF(COUNT(V76,W76,AA76,AB76,AC76,AE76,AG76,AI76,AM76,AO76)&lt;7,SUM(V76,W76,AA76,AB76,AC76,AE76,AG76,AI76,AM76,AO76),SUM(LARGE((V76,W76,AA76,AB76,AC76,AE76,AG76,AI76,AM76,AO76),{1;2;3;4;5;6;7}))))+(IF(COUNT(X76,AD76,AF76,AH76,AJ76,AN76)&lt;5,SUM(X76,AD76,AF76,AH76,AJ76,AN76),SUM(LARGE((X76,AD76,AF76,AH76,AJ76,AN76),{1;2;3;4;5}))))+U76</f>
        <v>201</v>
      </c>
      <c r="O76" s="413"/>
      <c r="P76" s="405">
        <f t="array" ref="P76">IF(S76="n",((IF(COUNT(V76,W76,AA76,AB76,AC76,AE76,AG76,AI76,AM76,AO76)&lt;7,SUM(V76,W76,AA76,AB76,AC76,AE76,AG76,AI76,AM76,AO76),SUM(LARGE((V76,W76,AA76,AB76,AC76,AE76,AG76,AI76,AM76,AO76),{1;2;3;4;5;6;7}))))+(IF(COUNT(Y76,AD76,AF76,AH76,AK76,AN76)&lt;5,SUM(Y76,AD76,AF76,AH76,AK76,AN76),SUM(LARGE((Y76,AD76,AF76,AH76,AK76,AN76),{1;2;3;4;5}))))+U76),0)</f>
        <v>0</v>
      </c>
      <c r="Q76" s="661"/>
      <c r="R76" s="405">
        <f t="array" ref="R76">IF(T76="j",((IF(COUNT(V76,W76,AA76,AB76,AC76,AE76,AG76,AI76,AM76,AO76)&lt;7,SUM(V76,W76,AA76,AB76,AC76,AE76,AG76,AI76,AM76,AO76),SUM(LARGE((V76,W76,AA76,AB76,AC76,AE76,AG76,AI76,AM76,AO76),{1;2;3;4;5;6;7}))))+(IF(COUNT(Z76,AD76,AF76,AH76,AJ76,AN76)&lt;5,SUM(Z76,AD76,AF76,AH76,AJ76,AN76),SUM(LARGE((Z76,AD76,AF76,AH76,AJ76,AN76),{1;2;3;4;5}))))+U76),0)</f>
        <v>0</v>
      </c>
      <c r="S76" s="64"/>
      <c r="T76" s="64"/>
      <c r="U76" s="173"/>
      <c r="V76" s="141" t="s">
        <v>397</v>
      </c>
      <c r="W76" s="141" t="s">
        <v>397</v>
      </c>
      <c r="X76" s="141" t="s">
        <v>397</v>
      </c>
      <c r="Y76" s="614"/>
      <c r="Z76" s="611"/>
      <c r="AA76" s="141" t="s">
        <v>397</v>
      </c>
      <c r="AB76" s="15"/>
      <c r="AC76" s="15"/>
      <c r="AD76" s="15"/>
      <c r="AE76" s="15"/>
      <c r="AF76" s="15"/>
      <c r="AG76" s="15"/>
      <c r="AH76" s="15">
        <v>111</v>
      </c>
      <c r="AI76" s="15">
        <v>90</v>
      </c>
      <c r="AJ76" s="15"/>
      <c r="AK76" s="613"/>
      <c r="AL76" s="15"/>
      <c r="AM76" s="15"/>
      <c r="AN76" s="15"/>
      <c r="AO76" s="15"/>
      <c r="AP76" s="33">
        <f t="shared" si="20"/>
        <v>2</v>
      </c>
      <c r="AQ76" s="440">
        <f t="shared" si="21"/>
        <v>0</v>
      </c>
      <c r="AR76" s="441">
        <f t="shared" si="22"/>
        <v>0</v>
      </c>
      <c r="AS76" s="34">
        <f t="shared" si="23"/>
        <v>0</v>
      </c>
      <c r="AT76" s="4">
        <f t="shared" si="24"/>
        <v>3</v>
      </c>
      <c r="AU76" s="285">
        <f t="shared" si="25"/>
        <v>1</v>
      </c>
    </row>
    <row r="77" spans="1:47" x14ac:dyDescent="0.2">
      <c r="A77" s="59">
        <v>45</v>
      </c>
      <c r="B77" s="438">
        <f t="shared" si="13"/>
        <v>45</v>
      </c>
      <c r="C77" s="432">
        <f t="shared" si="14"/>
        <v>10186</v>
      </c>
      <c r="D77" s="61" t="s">
        <v>327</v>
      </c>
      <c r="E77" s="438" t="str">
        <f t="shared" si="15"/>
        <v/>
      </c>
      <c r="F77" s="431">
        <f t="shared" si="16"/>
        <v>0</v>
      </c>
      <c r="G77" s="660" t="s">
        <v>327</v>
      </c>
      <c r="H77" s="438" t="str">
        <f t="shared" si="17"/>
        <v/>
      </c>
      <c r="I77" s="658">
        <f t="shared" si="18"/>
        <v>0</v>
      </c>
      <c r="J77" s="154">
        <f t="shared" si="19"/>
        <v>69</v>
      </c>
      <c r="K77" s="139">
        <v>69</v>
      </c>
      <c r="L77" s="345" t="s">
        <v>746</v>
      </c>
      <c r="M77" s="139">
        <v>186</v>
      </c>
      <c r="N77" s="446">
        <f t="array" ref="N77">(IF(COUNT(V77,W77,AA77,AB77,AC77,AE77,AG77,AI77,AM77,AO77)&lt;7,SUM(V77,W77,AA77,AB77,AC77,AE77,AG77,AI77,AM77,AO77),SUM(LARGE((V77,W77,AA77,AB77,AC77,AE77,AG77,AI77,AM77,AO77),{1;2;3;4;5;6;7}))))+(IF(COUNT(X77,AD77,AF77,AH77,AJ77,AN77)&lt;5,SUM(X77,AD77,AF77,AH77,AJ77,AN77),SUM(LARGE((X77,AD77,AF77,AH77,AJ77,AN77),{1;2;3;4;5}))))+U77</f>
        <v>186</v>
      </c>
      <c r="O77" s="413"/>
      <c r="P77" s="405">
        <f t="array" ref="P77">IF(S77="n",((IF(COUNT(V77,W77,AA77,AB77,AC77,AE77,AG77,AI77,AM77,AO77)&lt;7,SUM(V77,W77,AA77,AB77,AC77,AE77,AG77,AI77,AM77,AO77),SUM(LARGE((V77,W77,AA77,AB77,AC77,AE77,AG77,AI77,AM77,AO77),{1;2;3;4;5;6;7}))))+(IF(COUNT(Y77,AD77,AF77,AH77,AK77,AN77)&lt;5,SUM(Y77,AD77,AF77,AH77,AK77,AN77),SUM(LARGE((Y77,AD77,AF77,AH77,AK77,AN77),{1;2;3;4;5}))))+U77),0)</f>
        <v>0</v>
      </c>
      <c r="Q77" s="661"/>
      <c r="R77" s="405">
        <f t="array" ref="R77">IF(T77="j",((IF(COUNT(V77,W77,AA77,AB77,AC77,AE77,AG77,AI77,AM77,AO77)&lt;7,SUM(V77,W77,AA77,AB77,AC77,AE77,AG77,AI77,AM77,AO77),SUM(LARGE((V77,W77,AA77,AB77,AC77,AE77,AG77,AI77,AM77,AO77),{1;2;3;4;5;6;7}))))+(IF(COUNT(Z77,AD77,AF77,AH77,AJ77,AN77)&lt;5,SUM(Z77,AD77,AF77,AH77,AJ77,AN77),SUM(LARGE((Z77,AD77,AF77,AH77,AJ77,AN77),{1;2;3;4;5}))))+U77),0)</f>
        <v>0</v>
      </c>
      <c r="S77" s="64"/>
      <c r="T77" s="64"/>
      <c r="U77" s="173"/>
      <c r="V77" s="141" t="s">
        <v>397</v>
      </c>
      <c r="W77" s="141" t="s">
        <v>397</v>
      </c>
      <c r="X77" s="141" t="s">
        <v>397</v>
      </c>
      <c r="Y77" s="614"/>
      <c r="Z77" s="611"/>
      <c r="AA77" s="141" t="s">
        <v>397</v>
      </c>
      <c r="AB77" s="15"/>
      <c r="AC77" s="15"/>
      <c r="AD77" s="15"/>
      <c r="AE77" s="15"/>
      <c r="AF77" s="15"/>
      <c r="AG77" s="15"/>
      <c r="AH77" s="15">
        <v>126</v>
      </c>
      <c r="AI77" s="15">
        <v>60</v>
      </c>
      <c r="AJ77" s="15"/>
      <c r="AK77" s="613"/>
      <c r="AL77" s="15"/>
      <c r="AM77" s="15"/>
      <c r="AN77" s="15"/>
      <c r="AO77" s="15"/>
      <c r="AP77" s="33">
        <f t="shared" si="20"/>
        <v>2</v>
      </c>
      <c r="AQ77" s="440">
        <f t="shared" si="21"/>
        <v>0</v>
      </c>
      <c r="AR77" s="441">
        <f t="shared" si="22"/>
        <v>0</v>
      </c>
      <c r="AS77" s="34">
        <f t="shared" si="23"/>
        <v>0</v>
      </c>
      <c r="AT77" s="4">
        <f t="shared" si="24"/>
        <v>3</v>
      </c>
      <c r="AU77" s="285">
        <f t="shared" si="25"/>
        <v>1</v>
      </c>
    </row>
    <row r="78" spans="1:47" x14ac:dyDescent="0.2">
      <c r="A78" s="59" t="s">
        <v>327</v>
      </c>
      <c r="B78" s="438" t="str">
        <f t="shared" si="13"/>
        <v/>
      </c>
      <c r="C78" s="432">
        <f t="shared" si="14"/>
        <v>0</v>
      </c>
      <c r="D78" s="61">
        <v>26</v>
      </c>
      <c r="E78" s="438">
        <f t="shared" si="15"/>
        <v>26</v>
      </c>
      <c r="F78" s="431">
        <f t="shared" si="16"/>
        <v>10176</v>
      </c>
      <c r="G78" s="660" t="s">
        <v>327</v>
      </c>
      <c r="H78" s="438" t="str">
        <f t="shared" si="17"/>
        <v/>
      </c>
      <c r="I78" s="658">
        <f t="shared" si="18"/>
        <v>0</v>
      </c>
      <c r="J78" s="154">
        <f t="shared" si="19"/>
        <v>70</v>
      </c>
      <c r="K78" s="139">
        <v>70</v>
      </c>
      <c r="L78" s="65" t="s">
        <v>694</v>
      </c>
      <c r="M78" s="139">
        <v>176</v>
      </c>
      <c r="N78" s="446">
        <f t="array" ref="N78">(IF(COUNT(V78,W78,AA78,AB78,AC78,AE78,AG78,AI78,AM78,AO78)&lt;7,SUM(V78,W78,AA78,AB78,AC78,AE78,AG78,AI78,AM78,AO78),SUM(LARGE((V78,W78,AA78,AB78,AC78,AE78,AG78,AI78,AM78,AO78),{1;2;3;4;5;6;7}))))+(IF(COUNT(X78,AD78,AF78,AH78,AJ78,AN78)&lt;5,SUM(X78,AD78,AF78,AH78,AJ78,AN78),SUM(LARGE((X78,AD78,AF78,AH78,AJ78,AN78),{1;2;3;4;5}))))+U78</f>
        <v>176</v>
      </c>
      <c r="O78" s="413">
        <v>176</v>
      </c>
      <c r="P78" s="405">
        <f t="array" ref="P78">IF(S78="n",((IF(COUNT(V78,W78,AA78,AB78,AC78,AE78,AG78,AI78,AM78,AO78)&lt;7,SUM(V78,W78,AA78,AB78,AC78,AE78,AG78,AI78,AM78,AO78),SUM(LARGE((V78,W78,AA78,AB78,AC78,AE78,AG78,AI78,AM78,AO78),{1;2;3;4;5;6;7}))))+(IF(COUNT(Y78,AD78,AF78,AH78,AK78,AN78)&lt;5,SUM(Y78,AD78,AF78,AH78,AK78,AN78),SUM(LARGE((Y78,AD78,AF78,AH78,AK78,AN78),{1;2;3;4;5}))))+U78),0)</f>
        <v>176</v>
      </c>
      <c r="Q78" s="661"/>
      <c r="R78" s="405">
        <f t="array" ref="R78">IF(T78="j",((IF(COUNT(V78,W78,AA78,AB78,AC78,AE78,AG78,AI78,AM78,AO78)&lt;7,SUM(V78,W78,AA78,AB78,AC78,AE78,AG78,AI78,AM78,AO78),SUM(LARGE((V78,W78,AA78,AB78,AC78,AE78,AG78,AI78,AM78,AO78),{1;2;3;4;5;6;7}))))+(IF(COUNT(Z78,AD78,AF78,AH78,AJ78,AN78)&lt;5,SUM(Z78,AD78,AF78,AH78,AJ78,AN78),SUM(LARGE((Z78,AD78,AF78,AH78,AJ78,AN78),{1;2;3;4;5}))))+U78),0)</f>
        <v>0</v>
      </c>
      <c r="S78" s="64" t="s">
        <v>35</v>
      </c>
      <c r="T78" s="64"/>
      <c r="U78" s="173"/>
      <c r="V78" s="141" t="s">
        <v>397</v>
      </c>
      <c r="W78" s="141" t="s">
        <v>397</v>
      </c>
      <c r="X78" s="141" t="s">
        <v>397</v>
      </c>
      <c r="Y78" s="614"/>
      <c r="Z78" s="611"/>
      <c r="AA78" s="141" t="s">
        <v>397</v>
      </c>
      <c r="AB78" s="15"/>
      <c r="AC78" s="15"/>
      <c r="AD78" s="15"/>
      <c r="AE78" s="15"/>
      <c r="AF78" s="15">
        <v>74</v>
      </c>
      <c r="AG78" s="15">
        <v>56</v>
      </c>
      <c r="AH78" s="15"/>
      <c r="AI78" s="15"/>
      <c r="AJ78" s="15"/>
      <c r="AK78" s="613"/>
      <c r="AL78" s="15"/>
      <c r="AM78" s="15">
        <v>46</v>
      </c>
      <c r="AN78" s="15"/>
      <c r="AO78" s="15"/>
      <c r="AP78" s="33">
        <f t="shared" si="20"/>
        <v>3</v>
      </c>
      <c r="AQ78" s="440">
        <f t="shared" si="21"/>
        <v>0</v>
      </c>
      <c r="AR78" s="441">
        <f t="shared" si="22"/>
        <v>0</v>
      </c>
      <c r="AS78" s="34">
        <f t="shared" si="23"/>
        <v>0</v>
      </c>
      <c r="AT78" s="4">
        <f t="shared" si="24"/>
        <v>3</v>
      </c>
      <c r="AU78" s="285">
        <f t="shared" si="25"/>
        <v>1</v>
      </c>
    </row>
    <row r="79" spans="1:47" x14ac:dyDescent="0.2">
      <c r="A79" s="59">
        <v>46</v>
      </c>
      <c r="B79" s="438">
        <f t="shared" si="13"/>
        <v>46</v>
      </c>
      <c r="C79" s="432">
        <f t="shared" si="14"/>
        <v>10167</v>
      </c>
      <c r="D79" s="61" t="s">
        <v>327</v>
      </c>
      <c r="E79" s="438" t="str">
        <f t="shared" si="15"/>
        <v/>
      </c>
      <c r="F79" s="431">
        <f t="shared" si="16"/>
        <v>0</v>
      </c>
      <c r="G79" s="660" t="s">
        <v>327</v>
      </c>
      <c r="H79" s="438" t="str">
        <f t="shared" si="17"/>
        <v/>
      </c>
      <c r="I79" s="658">
        <f t="shared" si="18"/>
        <v>0</v>
      </c>
      <c r="J79" s="154">
        <f t="shared" si="19"/>
        <v>71</v>
      </c>
      <c r="K79" s="139">
        <v>71</v>
      </c>
      <c r="L79" s="601" t="s">
        <v>744</v>
      </c>
      <c r="M79" s="139">
        <v>167</v>
      </c>
      <c r="N79" s="446">
        <f t="array" ref="N79">(IF(COUNT(V79,W79,AA79,AB79,AC79,AE79,AG79,AI79,AM79,AO79)&lt;7,SUM(V79,W79,AA79,AB79,AC79,AE79,AG79,AI79,AM79,AO79),SUM(LARGE((V79,W79,AA79,AB79,AC79,AE79,AG79,AI79,AM79,AO79),{1;2;3;4;5;6;7}))))+(IF(COUNT(X79,AD79,AF79,AH79,AJ79,AN79)&lt;5,SUM(X79,AD79,AF79,AH79,AJ79,AN79),SUM(LARGE((X79,AD79,AF79,AH79,AJ79,AN79),{1;2;3;4;5}))))+U79</f>
        <v>167</v>
      </c>
      <c r="O79" s="413"/>
      <c r="P79" s="405">
        <f t="array" ref="P79">IF(S79="n",((IF(COUNT(V79,W79,AA79,AB79,AC79,AE79,AG79,AI79,AM79,AO79)&lt;7,SUM(V79,W79,AA79,AB79,AC79,AE79,AG79,AI79,AM79,AO79),SUM(LARGE((V79,W79,AA79,AB79,AC79,AE79,AG79,AI79,AM79,AO79),{1;2;3;4;5;6;7}))))+(IF(COUNT(Y79,AD79,AF79,AH79,AK79,AN79)&lt;5,SUM(Y79,AD79,AF79,AH79,AK79,AN79),SUM(LARGE((Y79,AD79,AF79,AH79,AK79,AN79),{1;2;3;4;5}))))+U79),0)</f>
        <v>0</v>
      </c>
      <c r="Q79" s="661"/>
      <c r="R79" s="405">
        <f t="array" ref="R79">IF(T79="j",((IF(COUNT(V79,W79,AA79,AB79,AC79,AE79,AG79,AI79,AM79,AO79)&lt;7,SUM(V79,W79,AA79,AB79,AC79,AE79,AG79,AI79,AM79,AO79),SUM(LARGE((V79,W79,AA79,AB79,AC79,AE79,AG79,AI79,AM79,AO79),{1;2;3;4;5;6;7}))))+(IF(COUNT(Z79,AD79,AF79,AH79,AJ79,AN79)&lt;5,SUM(Z79,AD79,AF79,AH79,AJ79,AN79),SUM(LARGE((Z79,AD79,AF79,AH79,AJ79,AN79),{1;2;3;4;5}))))+U79),0)</f>
        <v>0</v>
      </c>
      <c r="S79" s="64"/>
      <c r="T79" s="64"/>
      <c r="U79" s="173"/>
      <c r="V79" s="141" t="s">
        <v>397</v>
      </c>
      <c r="W79" s="141" t="s">
        <v>397</v>
      </c>
      <c r="X79" s="141" t="s">
        <v>397</v>
      </c>
      <c r="Y79" s="614"/>
      <c r="Z79" s="611"/>
      <c r="AA79" s="141" t="s">
        <v>397</v>
      </c>
      <c r="AB79" s="15"/>
      <c r="AC79" s="15"/>
      <c r="AD79" s="15"/>
      <c r="AE79" s="15"/>
      <c r="AF79" s="15"/>
      <c r="AG79" s="15"/>
      <c r="AH79" s="15">
        <v>111</v>
      </c>
      <c r="AI79" s="15">
        <v>56</v>
      </c>
      <c r="AJ79" s="15"/>
      <c r="AK79" s="613"/>
      <c r="AL79" s="15"/>
      <c r="AM79" s="15"/>
      <c r="AN79" s="15"/>
      <c r="AO79" s="15"/>
      <c r="AP79" s="33">
        <f t="shared" si="20"/>
        <v>2</v>
      </c>
      <c r="AQ79" s="440">
        <f t="shared" si="21"/>
        <v>0</v>
      </c>
      <c r="AR79" s="441">
        <f t="shared" si="22"/>
        <v>0</v>
      </c>
      <c r="AS79" s="34">
        <f t="shared" si="23"/>
        <v>0</v>
      </c>
      <c r="AT79" s="4">
        <f t="shared" si="24"/>
        <v>3</v>
      </c>
      <c r="AU79" s="285">
        <f t="shared" si="25"/>
        <v>1</v>
      </c>
    </row>
    <row r="80" spans="1:47" x14ac:dyDescent="0.2">
      <c r="A80" s="59">
        <v>47</v>
      </c>
      <c r="B80" s="438">
        <f t="shared" si="13"/>
        <v>46</v>
      </c>
      <c r="C80" s="432">
        <f t="shared" si="14"/>
        <v>10167</v>
      </c>
      <c r="D80" s="61" t="s">
        <v>327</v>
      </c>
      <c r="E80" s="438" t="str">
        <f t="shared" si="15"/>
        <v/>
      </c>
      <c r="F80" s="431">
        <f t="shared" si="16"/>
        <v>0</v>
      </c>
      <c r="G80" s="660" t="s">
        <v>327</v>
      </c>
      <c r="H80" s="438" t="str">
        <f t="shared" si="17"/>
        <v/>
      </c>
      <c r="I80" s="658">
        <f t="shared" si="18"/>
        <v>0</v>
      </c>
      <c r="J80" s="154">
        <f t="shared" si="19"/>
        <v>71</v>
      </c>
      <c r="K80" s="139">
        <v>72</v>
      </c>
      <c r="L80" s="601" t="s">
        <v>520</v>
      </c>
      <c r="M80" s="139">
        <v>167</v>
      </c>
      <c r="N80" s="446">
        <f t="array" ref="N80">(IF(COUNT(V80,W80,AA80,AB80,AC80,AE80,AG80,AI80,AM80,AO80)&lt;7,SUM(V80,W80,AA80,AB80,AC80,AE80,AG80,AI80,AM80,AO80),SUM(LARGE((V80,W80,AA80,AB80,AC80,AE80,AG80,AI80,AM80,AO80),{1;2;3;4;5;6;7}))))+(IF(COUNT(X80,AD80,AF80,AH80,AJ80,AN80)&lt;5,SUM(X80,AD80,AF80,AH80,AJ80,AN80),SUM(LARGE((X80,AD80,AF80,AH80,AJ80,AN80),{1;2;3;4;5}))))+U80</f>
        <v>167</v>
      </c>
      <c r="O80" s="413"/>
      <c r="P80" s="405">
        <f t="array" ref="P80">IF(S80="n",((IF(COUNT(V80,W80,AA80,AB80,AC80,AE80,AG80,AI80,AM80,AO80)&lt;7,SUM(V80,W80,AA80,AB80,AC80,AE80,AG80,AI80,AM80,AO80),SUM(LARGE((V80,W80,AA80,AB80,AC80,AE80,AG80,AI80,AM80,AO80),{1;2;3;4;5;6;7}))))+(IF(COUNT(Y80,AD80,AF80,AH80,AK80,AN80)&lt;5,SUM(Y80,AD80,AF80,AH80,AK80,AN80),SUM(LARGE((Y80,AD80,AF80,AH80,AK80,AN80),{1;2;3;4;5}))))+U80),0)</f>
        <v>0</v>
      </c>
      <c r="Q80" s="661"/>
      <c r="R80" s="405">
        <f t="array" ref="R80">IF(T80="j",((IF(COUNT(V80,W80,AA80,AB80,AC80,AE80,AG80,AI80,AM80,AO80)&lt;7,SUM(V80,W80,AA80,AB80,AC80,AE80,AG80,AI80,AM80,AO80),SUM(LARGE((V80,W80,AA80,AB80,AC80,AE80,AG80,AI80,AM80,AO80),{1;2;3;4;5;6;7}))))+(IF(COUNT(Z80,AD80,AF80,AH80,AJ80,AN80)&lt;5,SUM(Z80,AD80,AF80,AH80,AJ80,AN80),SUM(LARGE((Z80,AD80,AF80,AH80,AJ80,AN80),{1;2;3;4;5}))))+U80),0)</f>
        <v>0</v>
      </c>
      <c r="S80" s="64"/>
      <c r="T80" s="64"/>
      <c r="U80" s="173"/>
      <c r="V80" s="141" t="s">
        <v>397</v>
      </c>
      <c r="W80" s="141" t="s">
        <v>397</v>
      </c>
      <c r="X80" s="141" t="s">
        <v>397</v>
      </c>
      <c r="Y80" s="614"/>
      <c r="Z80" s="611"/>
      <c r="AA80" s="141" t="s">
        <v>397</v>
      </c>
      <c r="AB80" s="15">
        <v>31</v>
      </c>
      <c r="AC80" s="15">
        <v>90</v>
      </c>
      <c r="AD80" s="15"/>
      <c r="AE80" s="15"/>
      <c r="AF80" s="15"/>
      <c r="AG80" s="15">
        <v>46</v>
      </c>
      <c r="AH80" s="15"/>
      <c r="AI80" s="15"/>
      <c r="AJ80" s="15"/>
      <c r="AK80" s="613"/>
      <c r="AL80" s="15"/>
      <c r="AM80" s="15"/>
      <c r="AN80" s="15"/>
      <c r="AO80" s="15"/>
      <c r="AP80" s="33">
        <f t="shared" si="20"/>
        <v>3</v>
      </c>
      <c r="AQ80" s="440">
        <f t="shared" si="21"/>
        <v>0</v>
      </c>
      <c r="AR80" s="441">
        <f t="shared" si="22"/>
        <v>0</v>
      </c>
      <c r="AS80" s="34">
        <f t="shared" si="23"/>
        <v>0</v>
      </c>
      <c r="AT80" s="4">
        <f t="shared" si="24"/>
        <v>3</v>
      </c>
      <c r="AU80" s="285">
        <f t="shared" si="25"/>
        <v>1</v>
      </c>
    </row>
    <row r="81" spans="1:47" x14ac:dyDescent="0.2">
      <c r="A81" s="59">
        <v>48</v>
      </c>
      <c r="B81" s="438">
        <f t="shared" si="13"/>
        <v>46</v>
      </c>
      <c r="C81" s="432">
        <f t="shared" si="14"/>
        <v>10167</v>
      </c>
      <c r="D81" s="61" t="s">
        <v>327</v>
      </c>
      <c r="E81" s="438" t="str">
        <f t="shared" si="15"/>
        <v/>
      </c>
      <c r="F81" s="431">
        <f t="shared" si="16"/>
        <v>0</v>
      </c>
      <c r="G81" s="660" t="s">
        <v>327</v>
      </c>
      <c r="H81" s="438" t="str">
        <f t="shared" si="17"/>
        <v/>
      </c>
      <c r="I81" s="658">
        <f t="shared" si="18"/>
        <v>0</v>
      </c>
      <c r="J81" s="154">
        <f t="shared" si="19"/>
        <v>71</v>
      </c>
      <c r="K81" s="139">
        <v>73</v>
      </c>
      <c r="L81" s="601" t="s">
        <v>85</v>
      </c>
      <c r="M81" s="139">
        <v>167</v>
      </c>
      <c r="N81" s="446">
        <f t="array" ref="N81">(IF(COUNT(V81,W81,AA81,AB81,AC81,AE81,AG81,AI81,AM81,AO81)&lt;7,SUM(V81,W81,AA81,AB81,AC81,AE81,AG81,AI81,AM81,AO81),SUM(LARGE((V81,W81,AA81,AB81,AC81,AE81,AG81,AI81,AM81,AO81),{1;2;3;4;5;6;7}))))+(IF(COUNT(X81,AD81,AF81,AH81,AJ81,AN81)&lt;5,SUM(X81,AD81,AF81,AH81,AJ81,AN81),SUM(LARGE((X81,AD81,AF81,AH81,AJ81,AN81),{1;2;3;4;5}))))+U81</f>
        <v>167</v>
      </c>
      <c r="O81" s="413"/>
      <c r="P81" s="405">
        <f t="array" ref="P81">IF(S81="n",((IF(COUNT(V81,W81,AA81,AB81,AC81,AE81,AG81,AI81,AM81,AO81)&lt;7,SUM(V81,W81,AA81,AB81,AC81,AE81,AG81,AI81,AM81,AO81),SUM(LARGE((V81,W81,AA81,AB81,AC81,AE81,AG81,AI81,AM81,AO81),{1;2;3;4;5;6;7}))))+(IF(COUNT(Y81,AD81,AF81,AH81,AK81,AN81)&lt;5,SUM(Y81,AD81,AF81,AH81,AK81,AN81),SUM(LARGE((Y81,AD81,AF81,AH81,AK81,AN81),{1;2;3;4;5}))))+U81),0)</f>
        <v>0</v>
      </c>
      <c r="Q81" s="661"/>
      <c r="R81" s="405">
        <f t="array" ref="R81">IF(T81="j",((IF(COUNT(V81,W81,AA81,AB81,AC81,AE81,AG81,AI81,AM81,AO81)&lt;7,SUM(V81,W81,AA81,AB81,AC81,AE81,AG81,AI81,AM81,AO81),SUM(LARGE((V81,W81,AA81,AB81,AC81,AE81,AG81,AI81,AM81,AO81),{1;2;3;4;5;6;7}))))+(IF(COUNT(Z81,AD81,AF81,AH81,AJ81,AN81)&lt;5,SUM(Z81,AD81,AF81,AH81,AJ81,AN81),SUM(LARGE((Z81,AD81,AF81,AH81,AJ81,AN81),{1;2;3;4;5}))))+U81),0)</f>
        <v>0</v>
      </c>
      <c r="S81" s="64"/>
      <c r="T81" s="64"/>
      <c r="U81" s="173">
        <v>1</v>
      </c>
      <c r="V81" s="15">
        <v>69</v>
      </c>
      <c r="W81" s="15">
        <v>60</v>
      </c>
      <c r="X81" s="141" t="s">
        <v>397</v>
      </c>
      <c r="Y81" s="614"/>
      <c r="Z81" s="611"/>
      <c r="AA81" s="141" t="s">
        <v>397</v>
      </c>
      <c r="AB81" s="141" t="s">
        <v>397</v>
      </c>
      <c r="AC81" s="15">
        <v>37</v>
      </c>
      <c r="AD81" s="15"/>
      <c r="AE81" s="141" t="s">
        <v>397</v>
      </c>
      <c r="AF81" s="15"/>
      <c r="AG81" s="15"/>
      <c r="AH81" s="15"/>
      <c r="AI81" s="15"/>
      <c r="AJ81" s="15"/>
      <c r="AK81" s="613"/>
      <c r="AL81" s="15"/>
      <c r="AM81" s="15"/>
      <c r="AN81" s="15"/>
      <c r="AO81" s="15"/>
      <c r="AP81" s="33">
        <f t="shared" si="20"/>
        <v>3</v>
      </c>
      <c r="AQ81" s="440">
        <f t="shared" si="21"/>
        <v>0</v>
      </c>
      <c r="AR81" s="441">
        <f t="shared" si="22"/>
        <v>0</v>
      </c>
      <c r="AS81" s="34">
        <f t="shared" si="23"/>
        <v>0</v>
      </c>
      <c r="AT81" s="4">
        <f t="shared" si="24"/>
        <v>3</v>
      </c>
      <c r="AU81" s="285">
        <f t="shared" si="25"/>
        <v>1</v>
      </c>
    </row>
    <row r="82" spans="1:47" x14ac:dyDescent="0.2">
      <c r="A82" s="59" t="s">
        <v>327</v>
      </c>
      <c r="B82" s="438" t="str">
        <f t="shared" si="13"/>
        <v/>
      </c>
      <c r="C82" s="432">
        <f t="shared" si="14"/>
        <v>0</v>
      </c>
      <c r="D82" s="61">
        <v>20</v>
      </c>
      <c r="E82" s="438">
        <f t="shared" si="15"/>
        <v>20</v>
      </c>
      <c r="F82" s="431">
        <f t="shared" si="16"/>
        <v>10229</v>
      </c>
      <c r="G82" s="660" t="s">
        <v>327</v>
      </c>
      <c r="H82" s="438" t="str">
        <f t="shared" si="17"/>
        <v/>
      </c>
      <c r="I82" s="658">
        <f t="shared" si="18"/>
        <v>0</v>
      </c>
      <c r="J82" s="154">
        <f t="shared" si="19"/>
        <v>71</v>
      </c>
      <c r="K82" s="139">
        <v>74</v>
      </c>
      <c r="L82" s="65" t="s">
        <v>441</v>
      </c>
      <c r="M82" s="139">
        <v>167</v>
      </c>
      <c r="N82" s="446">
        <f t="array" ref="N82">(IF(COUNT(V82,W82,AA82,AB82,AC82,AE82,AG82,AI82,AM82,AO82)&lt;7,SUM(V82,W82,AA82,AB82,AC82,AE82,AG82,AI82,AM82,AO82),SUM(LARGE((V82,W82,AA82,AB82,AC82,AE82,AG82,AI82,AM82,AO82),{1;2;3;4;5;6;7}))))+(IF(COUNT(X82,AD82,AF82,AH82,AJ82,AN82)&lt;5,SUM(X82,AD82,AF82,AH82,AJ82,AN82),SUM(LARGE((X82,AD82,AF82,AH82,AJ82,AN82),{1;2;3;4;5}))))+U82</f>
        <v>167</v>
      </c>
      <c r="O82" s="413">
        <v>229</v>
      </c>
      <c r="P82" s="405">
        <f t="array" ref="P82">IF(S82="n",((IF(COUNT(V82,W82,AA82,AB82,AC82,AE82,AG82,AI82,AM82,AO82)&lt;7,SUM(V82,W82,AA82,AB82,AC82,AE82,AG82,AI82,AM82,AO82),SUM(LARGE((V82,W82,AA82,AB82,AC82,AE82,AG82,AI82,AM82,AO82),{1;2;3;4;5;6;7}))))+(IF(COUNT(Y82,AD82,AF82,AH82,AK82,AN82)&lt;5,SUM(Y82,AD82,AF82,AH82,AK82,AN82),SUM(LARGE((Y82,AD82,AF82,AH82,AK82,AN82),{1;2;3;4;5}))))+U82),0)</f>
        <v>229</v>
      </c>
      <c r="Q82" s="661"/>
      <c r="R82" s="405">
        <f t="array" ref="R82">IF(T82="j",((IF(COUNT(V82,W82,AA82,AB82,AC82,AE82,AG82,AI82,AM82,AO82)&lt;7,SUM(V82,W82,AA82,AB82,AC82,AE82,AG82,AI82,AM82,AO82),SUM(LARGE((V82,W82,AA82,AB82,AC82,AE82,AG82,AI82,AM82,AO82),{1;2;3;4;5;6;7}))))+(IF(COUNT(Z82,AD82,AF82,AH82,AJ82,AN82)&lt;5,SUM(Z82,AD82,AF82,AH82,AJ82,AN82),SUM(LARGE((Z82,AD82,AF82,AH82,AJ82,AN82),{1;2;3;4;5}))))+U82),0)</f>
        <v>0</v>
      </c>
      <c r="S82" s="64" t="s">
        <v>35</v>
      </c>
      <c r="T82" s="64"/>
      <c r="U82" s="173"/>
      <c r="V82" s="141" t="s">
        <v>397</v>
      </c>
      <c r="W82" s="141" t="s">
        <v>397</v>
      </c>
      <c r="X82" s="15">
        <v>42</v>
      </c>
      <c r="Y82" s="613">
        <v>104</v>
      </c>
      <c r="Z82" s="610"/>
      <c r="AA82" s="141" t="s">
        <v>397</v>
      </c>
      <c r="AB82" s="15"/>
      <c r="AC82" s="15"/>
      <c r="AD82" s="141" t="s">
        <v>397</v>
      </c>
      <c r="AE82" s="15"/>
      <c r="AF82" s="15"/>
      <c r="AG82" s="15"/>
      <c r="AH82" s="15">
        <v>56</v>
      </c>
      <c r="AI82" s="15">
        <v>69</v>
      </c>
      <c r="AJ82" s="15"/>
      <c r="AK82" s="613"/>
      <c r="AL82" s="15"/>
      <c r="AM82" s="15"/>
      <c r="AN82" s="15"/>
      <c r="AO82" s="15"/>
      <c r="AP82" s="33">
        <f t="shared" si="20"/>
        <v>3</v>
      </c>
      <c r="AQ82" s="440">
        <f t="shared" si="21"/>
        <v>0</v>
      </c>
      <c r="AR82" s="441">
        <f t="shared" si="22"/>
        <v>0</v>
      </c>
      <c r="AS82" s="34">
        <f t="shared" si="23"/>
        <v>0</v>
      </c>
      <c r="AT82" s="4">
        <f t="shared" si="24"/>
        <v>3</v>
      </c>
      <c r="AU82" s="285">
        <f t="shared" si="25"/>
        <v>1</v>
      </c>
    </row>
    <row r="83" spans="1:47" x14ac:dyDescent="0.2">
      <c r="A83" s="59">
        <v>49</v>
      </c>
      <c r="B83" s="438">
        <f t="shared" si="13"/>
        <v>49</v>
      </c>
      <c r="C83" s="432">
        <f t="shared" si="14"/>
        <v>10164</v>
      </c>
      <c r="D83" s="61" t="s">
        <v>327</v>
      </c>
      <c r="E83" s="438" t="str">
        <f t="shared" si="15"/>
        <v/>
      </c>
      <c r="F83" s="431">
        <f t="shared" si="16"/>
        <v>0</v>
      </c>
      <c r="G83" s="660" t="s">
        <v>327</v>
      </c>
      <c r="H83" s="438" t="str">
        <f t="shared" si="17"/>
        <v/>
      </c>
      <c r="I83" s="658">
        <f t="shared" si="18"/>
        <v>0</v>
      </c>
      <c r="J83" s="154">
        <f t="shared" si="19"/>
        <v>75</v>
      </c>
      <c r="K83" s="139">
        <v>75</v>
      </c>
      <c r="L83" s="601" t="s">
        <v>522</v>
      </c>
      <c r="M83" s="139">
        <v>164</v>
      </c>
      <c r="N83" s="446">
        <f t="array" ref="N83">(IF(COUNT(V83,W83,AA83,AB83,AC83,AE83,AG83,AI83,AM83,AO83)&lt;7,SUM(V83,W83,AA83,AB83,AC83,AE83,AG83,AI83,AM83,AO83),SUM(LARGE((V83,W83,AA83,AB83,AC83,AE83,AG83,AI83,AM83,AO83),{1;2;3;4;5;6;7}))))+(IF(COUNT(X83,AD83,AF83,AH83,AJ83,AN83)&lt;5,SUM(X83,AD83,AF83,AH83,AJ83,AN83),SUM(LARGE((X83,AD83,AF83,AH83,AJ83,AN83),{1;2;3;4;5}))))+U83</f>
        <v>164</v>
      </c>
      <c r="O83" s="413"/>
      <c r="P83" s="405">
        <f t="array" ref="P83">IF(S83="n",((IF(COUNT(V83,W83,AA83,AB83,AC83,AE83,AG83,AI83,AM83,AO83)&lt;7,SUM(V83,W83,AA83,AB83,AC83,AE83,AG83,AI83,AM83,AO83),SUM(LARGE((V83,W83,AA83,AB83,AC83,AE83,AG83,AI83,AM83,AO83),{1;2;3;4;5;6;7}))))+(IF(COUNT(Y83,AD83,AF83,AH83,AK83,AN83)&lt;5,SUM(Y83,AD83,AF83,AH83,AK83,AN83),SUM(LARGE((Y83,AD83,AF83,AH83,AK83,AN83),{1;2;3;4;5}))))+U83),0)</f>
        <v>0</v>
      </c>
      <c r="Q83" s="661"/>
      <c r="R83" s="405">
        <f t="array" ref="R83">IF(T83="j",((IF(COUNT(V83,W83,AA83,AB83,AC83,AE83,AG83,AI83,AM83,AO83)&lt;7,SUM(V83,W83,AA83,AB83,AC83,AE83,AG83,AI83,AM83,AO83),SUM(LARGE((V83,W83,AA83,AB83,AC83,AE83,AG83,AI83,AM83,AO83),{1;2;3;4;5;6;7}))))+(IF(COUNT(Z83,AD83,AF83,AH83,AJ83,AN83)&lt;5,SUM(Z83,AD83,AF83,AH83,AJ83,AN83),SUM(LARGE((Z83,AD83,AF83,AH83,AJ83,AN83),{1;2;3;4;5}))))+U83),0)</f>
        <v>0</v>
      </c>
      <c r="S83" s="64"/>
      <c r="T83" s="64"/>
      <c r="U83" s="173"/>
      <c r="V83" s="141" t="s">
        <v>397</v>
      </c>
      <c r="W83" s="141" t="s">
        <v>397</v>
      </c>
      <c r="X83" s="141" t="s">
        <v>397</v>
      </c>
      <c r="Y83" s="614"/>
      <c r="Z83" s="611"/>
      <c r="AA83" s="141" t="s">
        <v>397</v>
      </c>
      <c r="AB83" s="15">
        <v>28</v>
      </c>
      <c r="AC83" s="15">
        <v>90</v>
      </c>
      <c r="AD83" s="15"/>
      <c r="AE83" s="15"/>
      <c r="AF83" s="15"/>
      <c r="AG83" s="15">
        <v>46</v>
      </c>
      <c r="AH83" s="15"/>
      <c r="AI83" s="15"/>
      <c r="AJ83" s="15"/>
      <c r="AK83" s="613"/>
      <c r="AL83" s="15"/>
      <c r="AM83" s="15"/>
      <c r="AN83" s="15"/>
      <c r="AO83" s="15"/>
      <c r="AP83" s="33">
        <f t="shared" si="20"/>
        <v>3</v>
      </c>
      <c r="AQ83" s="440">
        <f t="shared" si="21"/>
        <v>0</v>
      </c>
      <c r="AR83" s="441">
        <f t="shared" si="22"/>
        <v>0</v>
      </c>
      <c r="AS83" s="34">
        <f t="shared" si="23"/>
        <v>0</v>
      </c>
      <c r="AT83" s="4">
        <f t="shared" si="24"/>
        <v>3</v>
      </c>
      <c r="AU83" s="285">
        <f t="shared" si="25"/>
        <v>1</v>
      </c>
    </row>
    <row r="84" spans="1:47" x14ac:dyDescent="0.2">
      <c r="A84" s="59">
        <v>50</v>
      </c>
      <c r="B84" s="438">
        <f t="shared" si="13"/>
        <v>50</v>
      </c>
      <c r="C84" s="432">
        <f t="shared" si="14"/>
        <v>10155</v>
      </c>
      <c r="D84" s="61" t="s">
        <v>327</v>
      </c>
      <c r="E84" s="438" t="str">
        <f t="shared" si="15"/>
        <v/>
      </c>
      <c r="F84" s="431">
        <f t="shared" si="16"/>
        <v>0</v>
      </c>
      <c r="G84" s="660" t="s">
        <v>327</v>
      </c>
      <c r="H84" s="438" t="str">
        <f t="shared" si="17"/>
        <v/>
      </c>
      <c r="I84" s="658">
        <f t="shared" si="18"/>
        <v>0</v>
      </c>
      <c r="J84" s="154">
        <f t="shared" si="19"/>
        <v>76</v>
      </c>
      <c r="K84" s="139">
        <v>76</v>
      </c>
      <c r="L84" s="601" t="s">
        <v>670</v>
      </c>
      <c r="M84" s="139">
        <v>155</v>
      </c>
      <c r="N84" s="446">
        <f t="array" ref="N84">(IF(COUNT(V84,W84,AA84,AB84,AC84,AE84,AG84,AI84,AM84,AO84)&lt;7,SUM(V84,W84,AA84,AB84,AC84,AE84,AG84,AI84,AM84,AO84),SUM(LARGE((V84,W84,AA84,AB84,AC84,AE84,AG84,AI84,AM84,AO84),{1;2;3;4;5;6;7}))))+(IF(COUNT(X84,AD84,AF84,AH84,AJ84,AN84)&lt;5,SUM(X84,AD84,AF84,AH84,AJ84,AN84),SUM(LARGE((X84,AD84,AF84,AH84,AJ84,AN84),{1;2;3;4;5}))))+U84</f>
        <v>155</v>
      </c>
      <c r="O84" s="413"/>
      <c r="P84" s="405">
        <f t="array" ref="P84">IF(S84="n",((IF(COUNT(V84,W84,AA84,AB84,AC84,AE84,AG84,AI84,AM84,AO84)&lt;7,SUM(V84,W84,AA84,AB84,AC84,AE84,AG84,AI84,AM84,AO84),SUM(LARGE((V84,W84,AA84,AB84,AC84,AE84,AG84,AI84,AM84,AO84),{1;2;3;4;5;6;7}))))+(IF(COUNT(Y84,AD84,AF84,AH84,AK84,AN84)&lt;5,SUM(Y84,AD84,AF84,AH84,AK84,AN84),SUM(LARGE((Y84,AD84,AF84,AH84,AK84,AN84),{1;2;3;4;5}))))+U84),0)</f>
        <v>0</v>
      </c>
      <c r="Q84" s="661"/>
      <c r="R84" s="405">
        <f t="array" ref="R84">IF(T84="j",((IF(COUNT(V84,W84,AA84,AB84,AC84,AE84,AG84,AI84,AM84,AO84)&lt;7,SUM(V84,W84,AA84,AB84,AC84,AE84,AG84,AI84,AM84,AO84),SUM(LARGE((V84,W84,AA84,AB84,AC84,AE84,AG84,AI84,AM84,AO84),{1;2;3;4;5;6;7}))))+(IF(COUNT(Z84,AD84,AF84,AH84,AJ84,AN84)&lt;5,SUM(Z84,AD84,AF84,AH84,AJ84,AN84),SUM(LARGE((Z84,AD84,AF84,AH84,AJ84,AN84),{1;2;3;4;5}))))+U84),0)</f>
        <v>0</v>
      </c>
      <c r="S84" s="64"/>
      <c r="T84" s="64"/>
      <c r="U84" s="173"/>
      <c r="V84" s="141" t="s">
        <v>397</v>
      </c>
      <c r="W84" s="141" t="s">
        <v>397</v>
      </c>
      <c r="X84" s="141" t="s">
        <v>397</v>
      </c>
      <c r="Y84" s="614"/>
      <c r="Z84" s="611"/>
      <c r="AA84" s="141" t="s">
        <v>397</v>
      </c>
      <c r="AB84" s="15"/>
      <c r="AC84" s="15"/>
      <c r="AD84" s="15"/>
      <c r="AE84" s="15"/>
      <c r="AF84" s="15"/>
      <c r="AG84" s="15"/>
      <c r="AH84" s="15">
        <v>65</v>
      </c>
      <c r="AI84" s="15">
        <v>90</v>
      </c>
      <c r="AJ84" s="15"/>
      <c r="AK84" s="613"/>
      <c r="AL84" s="15"/>
      <c r="AM84" s="15"/>
      <c r="AN84" s="15"/>
      <c r="AO84" s="15"/>
      <c r="AP84" s="33">
        <f t="shared" si="20"/>
        <v>2</v>
      </c>
      <c r="AQ84" s="440">
        <f t="shared" si="21"/>
        <v>0</v>
      </c>
      <c r="AR84" s="441">
        <f t="shared" si="22"/>
        <v>0</v>
      </c>
      <c r="AS84" s="34">
        <f t="shared" si="23"/>
        <v>0</v>
      </c>
      <c r="AT84" s="4">
        <f t="shared" si="24"/>
        <v>3</v>
      </c>
      <c r="AU84" s="285">
        <f t="shared" si="25"/>
        <v>1</v>
      </c>
    </row>
    <row r="85" spans="1:47" x14ac:dyDescent="0.2">
      <c r="A85" s="59">
        <v>51</v>
      </c>
      <c r="B85" s="438">
        <f t="shared" si="13"/>
        <v>51</v>
      </c>
      <c r="C85" s="432">
        <f t="shared" si="14"/>
        <v>10154</v>
      </c>
      <c r="D85" s="61" t="s">
        <v>327</v>
      </c>
      <c r="E85" s="438" t="str">
        <f t="shared" si="15"/>
        <v/>
      </c>
      <c r="F85" s="431">
        <f t="shared" si="16"/>
        <v>0</v>
      </c>
      <c r="G85" s="660" t="s">
        <v>327</v>
      </c>
      <c r="H85" s="438" t="str">
        <f t="shared" si="17"/>
        <v/>
      </c>
      <c r="I85" s="658">
        <f t="shared" si="18"/>
        <v>0</v>
      </c>
      <c r="J85" s="154">
        <f t="shared" si="19"/>
        <v>77</v>
      </c>
      <c r="K85" s="139">
        <v>77</v>
      </c>
      <c r="L85" s="601" t="s">
        <v>531</v>
      </c>
      <c r="M85" s="139">
        <v>154</v>
      </c>
      <c r="N85" s="446">
        <f t="array" ref="N85">(IF(COUNT(V85,W85,AA85,AB85,AC85,AE85,AG85,AI85,AM85,AO85)&lt;7,SUM(V85,W85,AA85,AB85,AC85,AE85,AG85,AI85,AM85,AO85),SUM(LARGE((V85,W85,AA85,AB85,AC85,AE85,AG85,AI85,AM85,AO85),{1;2;3;4;5;6;7}))))+(IF(COUNT(X85,AD85,AF85,AH85,AJ85,AN85)&lt;5,SUM(X85,AD85,AF85,AH85,AJ85,AN85),SUM(LARGE((X85,AD85,AF85,AH85,AJ85,AN85),{1;2;3;4;5}))))+U85</f>
        <v>154</v>
      </c>
      <c r="O85" s="413"/>
      <c r="P85" s="405">
        <f t="array" ref="P85">IF(S85="n",((IF(COUNT(V85,W85,AA85,AB85,AC85,AE85,AG85,AI85,AM85,AO85)&lt;7,SUM(V85,W85,AA85,AB85,AC85,AE85,AG85,AI85,AM85,AO85),SUM(LARGE((V85,W85,AA85,AB85,AC85,AE85,AG85,AI85,AM85,AO85),{1;2;3;4;5;6;7}))))+(IF(COUNT(Y85,AD85,AF85,AH85,AK85,AN85)&lt;5,SUM(Y85,AD85,AF85,AH85,AK85,AN85),SUM(LARGE((Y85,AD85,AF85,AH85,AK85,AN85),{1;2;3;4;5}))))+U85),0)</f>
        <v>0</v>
      </c>
      <c r="Q85" s="661"/>
      <c r="R85" s="405">
        <f t="array" ref="R85">IF(T85="j",((IF(COUNT(V85,W85,AA85,AB85,AC85,AE85,AG85,AI85,AM85,AO85)&lt;7,SUM(V85,W85,AA85,AB85,AC85,AE85,AG85,AI85,AM85,AO85),SUM(LARGE((V85,W85,AA85,AB85,AC85,AE85,AG85,AI85,AM85,AO85),{1;2;3;4;5;6;7}))))+(IF(COUNT(Z85,AD85,AF85,AH85,AJ85,AN85)&lt;5,SUM(Z85,AD85,AF85,AH85,AJ85,AN85),SUM(LARGE((Z85,AD85,AF85,AH85,AJ85,AN85),{1;2;3;4;5}))))+U85),0)</f>
        <v>0</v>
      </c>
      <c r="S85" s="64"/>
      <c r="T85" s="64"/>
      <c r="U85" s="173"/>
      <c r="V85" s="141" t="s">
        <v>397</v>
      </c>
      <c r="W85" s="141" t="s">
        <v>397</v>
      </c>
      <c r="X85" s="141" t="s">
        <v>397</v>
      </c>
      <c r="Y85" s="614"/>
      <c r="Z85" s="611"/>
      <c r="AA85" s="141" t="s">
        <v>397</v>
      </c>
      <c r="AB85" s="15"/>
      <c r="AC85" s="15">
        <v>64</v>
      </c>
      <c r="AD85" s="15"/>
      <c r="AE85" s="15"/>
      <c r="AF85" s="15"/>
      <c r="AG85" s="15">
        <v>90</v>
      </c>
      <c r="AH85" s="15"/>
      <c r="AI85" s="15"/>
      <c r="AJ85" s="15"/>
      <c r="AK85" s="613"/>
      <c r="AL85" s="15"/>
      <c r="AM85" s="15"/>
      <c r="AN85" s="15"/>
      <c r="AO85" s="15"/>
      <c r="AP85" s="33">
        <f t="shared" si="20"/>
        <v>2</v>
      </c>
      <c r="AQ85" s="440">
        <f t="shared" si="21"/>
        <v>0</v>
      </c>
      <c r="AR85" s="441">
        <f t="shared" si="22"/>
        <v>0</v>
      </c>
      <c r="AS85" s="34">
        <f t="shared" si="23"/>
        <v>0</v>
      </c>
      <c r="AT85" s="4">
        <f t="shared" si="24"/>
        <v>3</v>
      </c>
      <c r="AU85" s="285">
        <f t="shared" si="25"/>
        <v>1</v>
      </c>
    </row>
    <row r="86" spans="1:47" x14ac:dyDescent="0.2">
      <c r="A86" s="59" t="s">
        <v>327</v>
      </c>
      <c r="B86" s="438" t="str">
        <f t="shared" si="13"/>
        <v/>
      </c>
      <c r="C86" s="432">
        <f t="shared" si="14"/>
        <v>0</v>
      </c>
      <c r="D86" s="61">
        <v>27</v>
      </c>
      <c r="E86" s="438">
        <f t="shared" si="15"/>
        <v>27</v>
      </c>
      <c r="F86" s="431">
        <f t="shared" si="16"/>
        <v>10154</v>
      </c>
      <c r="G86" s="660">
        <v>7</v>
      </c>
      <c r="H86" s="438">
        <f t="shared" si="17"/>
        <v>7</v>
      </c>
      <c r="I86" s="658">
        <f t="shared" si="18"/>
        <v>10257</v>
      </c>
      <c r="J86" s="154">
        <f t="shared" si="19"/>
        <v>77</v>
      </c>
      <c r="K86" s="139">
        <v>78</v>
      </c>
      <c r="L86" s="66" t="s">
        <v>426</v>
      </c>
      <c r="M86" s="139">
        <v>154</v>
      </c>
      <c r="N86" s="446">
        <f t="array" ref="N86">(IF(COUNT(V86,W86,AA86,AB86,AC86,AE86,AG86,AI86,AM86,AO86)&lt;7,SUM(V86,W86,AA86,AB86,AC86,AE86,AG86,AI86,AM86,AO86),SUM(LARGE((V86,W86,AA86,AB86,AC86,AE86,AG86,AI86,AM86,AO86),{1;2;3;4;5;6;7}))))+(IF(COUNT(X86,AD86,AF86,AH86,AJ86,AN86)&lt;5,SUM(X86,AD86,AF86,AH86,AJ86,AN86),SUM(LARGE((X86,AD86,AF86,AH86,AJ86,AN86),{1;2;3;4;5}))))+U86</f>
        <v>154</v>
      </c>
      <c r="O86" s="413">
        <v>154</v>
      </c>
      <c r="P86" s="405">
        <f t="array" ref="P86">IF(S86="n",((IF(COUNT(V86,W86,AA86,AB86,AC86,AE86,AG86,AI86,AM86,AO86)&lt;7,SUM(V86,W86,AA86,AB86,AC86,AE86,AG86,AI86,AM86,AO86),SUM(LARGE((V86,W86,AA86,AB86,AC86,AE86,AG86,AI86,AM86,AO86),{1;2;3;4;5;6;7}))))+(IF(COUNT(Y86,AD86,AF86,AH86,AK86,AN86)&lt;5,SUM(Y86,AD86,AF86,AH86,AK86,AN86),SUM(LARGE((Y86,AD86,AF86,AH86,AK86,AN86),{1;2;3;4;5}))))+U86),0)</f>
        <v>154</v>
      </c>
      <c r="Q86" s="661">
        <v>257</v>
      </c>
      <c r="R86" s="405">
        <f t="array" ref="R86">IF(T86="j",((IF(COUNT(V86,W86,AA86,AB86,AC86,AE86,AG86,AI86,AM86,AO86)&lt;7,SUM(V86,W86,AA86,AB86,AC86,AE86,AG86,AI86,AM86,AO86),SUM(LARGE((V86,W86,AA86,AB86,AC86,AE86,AG86,AI86,AM86,AO86),{1;2;3;4;5;6;7}))))+(IF(COUNT(Z86,AD86,AF86,AH86,AJ86,AN86)&lt;5,SUM(Z86,AD86,AF86,AH86,AJ86,AN86),SUM(LARGE((Z86,AD86,AF86,AH86,AJ86,AN86),{1;2;3;4;5}))))+U86),0)</f>
        <v>257</v>
      </c>
      <c r="S86" s="64" t="s">
        <v>35</v>
      </c>
      <c r="T86" s="64" t="s">
        <v>50</v>
      </c>
      <c r="U86" s="173"/>
      <c r="V86" s="141" t="s">
        <v>397</v>
      </c>
      <c r="W86" s="141" t="s">
        <v>397</v>
      </c>
      <c r="X86" s="15">
        <v>23</v>
      </c>
      <c r="Y86" s="613">
        <v>23</v>
      </c>
      <c r="Z86" s="610">
        <v>126</v>
      </c>
      <c r="AA86" s="141" t="s">
        <v>397</v>
      </c>
      <c r="AB86" s="15">
        <v>22</v>
      </c>
      <c r="AC86" s="15"/>
      <c r="AD86" s="141" t="s">
        <v>397</v>
      </c>
      <c r="AE86" s="15"/>
      <c r="AF86" s="15">
        <v>69</v>
      </c>
      <c r="AG86" s="15">
        <v>40</v>
      </c>
      <c r="AH86" s="15"/>
      <c r="AI86" s="15"/>
      <c r="AJ86" s="15"/>
      <c r="AK86" s="613"/>
      <c r="AL86" s="15"/>
      <c r="AM86" s="15"/>
      <c r="AN86" s="15"/>
      <c r="AO86" s="15"/>
      <c r="AP86" s="33">
        <f t="shared" si="20"/>
        <v>4</v>
      </c>
      <c r="AQ86" s="440">
        <f t="shared" si="21"/>
        <v>0</v>
      </c>
      <c r="AR86" s="441">
        <f t="shared" si="22"/>
        <v>0</v>
      </c>
      <c r="AS86" s="34">
        <f t="shared" si="23"/>
        <v>0</v>
      </c>
      <c r="AT86" s="4">
        <f t="shared" si="24"/>
        <v>3</v>
      </c>
      <c r="AU86" s="285">
        <f t="shared" si="25"/>
        <v>1</v>
      </c>
    </row>
    <row r="87" spans="1:47" x14ac:dyDescent="0.2">
      <c r="A87" s="59">
        <v>52</v>
      </c>
      <c r="B87" s="438">
        <f t="shared" si="13"/>
        <v>52</v>
      </c>
      <c r="C87" s="432">
        <f t="shared" si="14"/>
        <v>10152</v>
      </c>
      <c r="D87" s="61" t="s">
        <v>327</v>
      </c>
      <c r="E87" s="438" t="str">
        <f t="shared" si="15"/>
        <v/>
      </c>
      <c r="F87" s="431">
        <f t="shared" si="16"/>
        <v>0</v>
      </c>
      <c r="G87" s="660" t="s">
        <v>327</v>
      </c>
      <c r="H87" s="438" t="str">
        <f t="shared" si="17"/>
        <v/>
      </c>
      <c r="I87" s="658">
        <f t="shared" si="18"/>
        <v>0</v>
      </c>
      <c r="J87" s="154">
        <f t="shared" si="19"/>
        <v>79</v>
      </c>
      <c r="K87" s="139">
        <v>79</v>
      </c>
      <c r="L87" s="601" t="s">
        <v>695</v>
      </c>
      <c r="M87" s="139">
        <v>152</v>
      </c>
      <c r="N87" s="446">
        <f t="array" ref="N87">(IF(COUNT(V87,W87,AA87,AB87,AC87,AE87,AG87,AI87,AM87,AO87)&lt;7,SUM(V87,W87,AA87,AB87,AC87,AE87,AG87,AI87,AM87,AO87),SUM(LARGE((V87,W87,AA87,AB87,AC87,AE87,AG87,AI87,AM87,AO87),{1;2;3;4;5;6;7}))))+(IF(COUNT(X87,AD87,AF87,AH87,AJ87,AN87)&lt;5,SUM(X87,AD87,AF87,AH87,AJ87,AN87),SUM(LARGE((X87,AD87,AF87,AH87,AJ87,AN87),{1;2;3;4;5}))))+U87</f>
        <v>152</v>
      </c>
      <c r="O87" s="413"/>
      <c r="P87" s="405">
        <f t="array" ref="P87">IF(S87="n",((IF(COUNT(V87,W87,AA87,AB87,AC87,AE87,AG87,AI87,AM87,AO87)&lt;7,SUM(V87,W87,AA87,AB87,AC87,AE87,AG87,AI87,AM87,AO87),SUM(LARGE((V87,W87,AA87,AB87,AC87,AE87,AG87,AI87,AM87,AO87),{1;2;3;4;5;6;7}))))+(IF(COUNT(Y87,AD87,AF87,AH87,AK87,AN87)&lt;5,SUM(Y87,AD87,AF87,AH87,AK87,AN87),SUM(LARGE((Y87,AD87,AF87,AH87,AK87,AN87),{1;2;3;4;5}))))+U87),0)</f>
        <v>0</v>
      </c>
      <c r="Q87" s="661"/>
      <c r="R87" s="405">
        <f t="array" ref="R87">IF(T87="j",((IF(COUNT(V87,W87,AA87,AB87,AC87,AE87,AG87,AI87,AM87,AO87)&lt;7,SUM(V87,W87,AA87,AB87,AC87,AE87,AG87,AI87,AM87,AO87),SUM(LARGE((V87,W87,AA87,AB87,AC87,AE87,AG87,AI87,AM87,AO87),{1;2;3;4;5;6;7}))))+(IF(COUNT(Z87,AD87,AF87,AH87,AJ87,AN87)&lt;5,SUM(Z87,AD87,AF87,AH87,AJ87,AN87),SUM(LARGE((Z87,AD87,AF87,AH87,AJ87,AN87),{1;2;3;4;5}))))+U87),0)</f>
        <v>0</v>
      </c>
      <c r="S87" s="64"/>
      <c r="T87" s="64"/>
      <c r="U87" s="173"/>
      <c r="V87" s="141" t="s">
        <v>397</v>
      </c>
      <c r="W87" s="141" t="s">
        <v>397</v>
      </c>
      <c r="X87" s="141" t="s">
        <v>397</v>
      </c>
      <c r="Y87" s="614"/>
      <c r="Z87" s="611"/>
      <c r="AA87" s="141" t="s">
        <v>397</v>
      </c>
      <c r="AB87" s="15"/>
      <c r="AC87" s="15"/>
      <c r="AD87" s="15"/>
      <c r="AE87" s="15"/>
      <c r="AF87" s="15">
        <v>74</v>
      </c>
      <c r="AG87" s="15">
        <v>56</v>
      </c>
      <c r="AH87" s="15"/>
      <c r="AI87" s="15"/>
      <c r="AJ87" s="15"/>
      <c r="AK87" s="613"/>
      <c r="AL87" s="15"/>
      <c r="AM87" s="15">
        <v>22</v>
      </c>
      <c r="AN87" s="15"/>
      <c r="AO87" s="15"/>
      <c r="AP87" s="33">
        <f t="shared" si="20"/>
        <v>3</v>
      </c>
      <c r="AQ87" s="440">
        <f t="shared" si="21"/>
        <v>0</v>
      </c>
      <c r="AR87" s="441">
        <f t="shared" si="22"/>
        <v>0</v>
      </c>
      <c r="AS87" s="34">
        <f t="shared" si="23"/>
        <v>0</v>
      </c>
      <c r="AT87" s="4">
        <f t="shared" si="24"/>
        <v>3</v>
      </c>
      <c r="AU87" s="285">
        <f t="shared" si="25"/>
        <v>1</v>
      </c>
    </row>
    <row r="88" spans="1:47" x14ac:dyDescent="0.2">
      <c r="A88" s="59">
        <v>53</v>
      </c>
      <c r="B88" s="438">
        <f t="shared" si="13"/>
        <v>53</v>
      </c>
      <c r="C88" s="432">
        <f t="shared" si="14"/>
        <v>10131</v>
      </c>
      <c r="D88" s="61" t="s">
        <v>327</v>
      </c>
      <c r="E88" s="438" t="str">
        <f t="shared" si="15"/>
        <v/>
      </c>
      <c r="F88" s="431">
        <f t="shared" si="16"/>
        <v>0</v>
      </c>
      <c r="G88" s="660" t="s">
        <v>327</v>
      </c>
      <c r="H88" s="438" t="str">
        <f t="shared" si="17"/>
        <v/>
      </c>
      <c r="I88" s="658">
        <f t="shared" si="18"/>
        <v>0</v>
      </c>
      <c r="J88" s="154">
        <f t="shared" si="19"/>
        <v>80</v>
      </c>
      <c r="K88" s="139">
        <v>80</v>
      </c>
      <c r="L88" s="601" t="s">
        <v>430</v>
      </c>
      <c r="M88" s="139">
        <v>131</v>
      </c>
      <c r="N88" s="446">
        <f t="array" ref="N88">(IF(COUNT(V88,W88,AA88,AB88,AC88,AE88,AG88,AI88,AM88,AO88)&lt;7,SUM(V88,W88,AA88,AB88,AC88,AE88,AG88,AI88,AM88,AO88),SUM(LARGE((V88,W88,AA88,AB88,AC88,AE88,AG88,AI88,AM88,AO88),{1;2;3;4;5;6;7}))))+(IF(COUNT(X88,AD88,AF88,AH88,AJ88,AN88)&lt;5,SUM(X88,AD88,AF88,AH88,AJ88,AN88),SUM(LARGE((X88,AD88,AF88,AH88,AJ88,AN88),{1;2;3;4;5}))))+U88</f>
        <v>131</v>
      </c>
      <c r="O88" s="413"/>
      <c r="P88" s="405">
        <f t="array" ref="P88">IF(S88="n",((IF(COUNT(V88,W88,AA88,AB88,AC88,AE88,AG88,AI88,AM88,AO88)&lt;7,SUM(V88,W88,AA88,AB88,AC88,AE88,AG88,AI88,AM88,AO88),SUM(LARGE((V88,W88,AA88,AB88,AC88,AE88,AG88,AI88,AM88,AO88),{1;2;3;4;5;6;7}))))+(IF(COUNT(Y88,AD88,AF88,AH88,AK88,AN88)&lt;5,SUM(Y88,AD88,AF88,AH88,AK88,AN88),SUM(LARGE((Y88,AD88,AF88,AH88,AK88,AN88),{1;2;3;4;5}))))+U88),0)</f>
        <v>0</v>
      </c>
      <c r="Q88" s="661"/>
      <c r="R88" s="405">
        <f t="array" ref="R88">IF(T88="j",((IF(COUNT(V88,W88,AA88,AB88,AC88,AE88,AG88,AI88,AM88,AO88)&lt;7,SUM(V88,W88,AA88,AB88,AC88,AE88,AG88,AI88,AM88,AO88),SUM(LARGE((V88,W88,AA88,AB88,AC88,AE88,AG88,AI88,AM88,AO88),{1;2;3;4;5;6;7}))))+(IF(COUNT(Z88,AD88,AF88,AH88,AJ88,AN88)&lt;5,SUM(Z88,AD88,AF88,AH88,AJ88,AN88),SUM(LARGE((Z88,AD88,AF88,AH88,AJ88,AN88),{1;2;3;4;5}))))+U88),0)</f>
        <v>0</v>
      </c>
      <c r="S88" s="64"/>
      <c r="T88" s="64"/>
      <c r="U88" s="173"/>
      <c r="V88" s="141" t="s">
        <v>397</v>
      </c>
      <c r="W88" s="141" t="s">
        <v>397</v>
      </c>
      <c r="X88" s="141" t="s">
        <v>397</v>
      </c>
      <c r="Y88" s="614"/>
      <c r="Z88" s="611"/>
      <c r="AA88" s="15">
        <v>74</v>
      </c>
      <c r="AB88" s="15">
        <v>8</v>
      </c>
      <c r="AC88" s="15">
        <v>49</v>
      </c>
      <c r="AD88" s="15"/>
      <c r="AE88" s="141" t="s">
        <v>397</v>
      </c>
      <c r="AF88" s="15"/>
      <c r="AG88" s="15"/>
      <c r="AH88" s="15"/>
      <c r="AI88" s="15"/>
      <c r="AJ88" s="15"/>
      <c r="AK88" s="613"/>
      <c r="AL88" s="15"/>
      <c r="AM88" s="15"/>
      <c r="AN88" s="15"/>
      <c r="AO88" s="15"/>
      <c r="AP88" s="33">
        <f t="shared" si="20"/>
        <v>3</v>
      </c>
      <c r="AQ88" s="440">
        <f t="shared" si="21"/>
        <v>0</v>
      </c>
      <c r="AR88" s="441">
        <f t="shared" si="22"/>
        <v>0</v>
      </c>
      <c r="AS88" s="34">
        <f t="shared" si="23"/>
        <v>0</v>
      </c>
      <c r="AT88" s="4">
        <f t="shared" si="24"/>
        <v>3</v>
      </c>
      <c r="AU88" s="285">
        <f t="shared" si="25"/>
        <v>1</v>
      </c>
    </row>
    <row r="89" spans="1:47" x14ac:dyDescent="0.2">
      <c r="A89" s="59">
        <v>54</v>
      </c>
      <c r="B89" s="438">
        <f t="shared" si="13"/>
        <v>54</v>
      </c>
      <c r="C89" s="432">
        <f t="shared" si="14"/>
        <v>10129</v>
      </c>
      <c r="D89" s="61" t="s">
        <v>327</v>
      </c>
      <c r="E89" s="438" t="str">
        <f t="shared" si="15"/>
        <v/>
      </c>
      <c r="F89" s="431">
        <f t="shared" si="16"/>
        <v>0</v>
      </c>
      <c r="G89" s="660" t="s">
        <v>327</v>
      </c>
      <c r="H89" s="438" t="str">
        <f t="shared" si="17"/>
        <v/>
      </c>
      <c r="I89" s="658">
        <f t="shared" si="18"/>
        <v>0</v>
      </c>
      <c r="J89" s="154">
        <f t="shared" si="19"/>
        <v>81</v>
      </c>
      <c r="K89" s="139">
        <v>81</v>
      </c>
      <c r="L89" s="67" t="s">
        <v>314</v>
      </c>
      <c r="M89" s="251">
        <v>129</v>
      </c>
      <c r="N89" s="446">
        <f t="array" ref="N89">(IF(COUNT(V89,W89,AA89,AB89,AC89,AE89,AG89,AI89,AM89,AO89)&lt;7,SUM(V89,W89,AA89,AB89,AC89,AE89,AG89,AI89,AM89,AO89),SUM(LARGE((V89,W89,AA89,AB89,AC89,AE89,AG89,AI89,AM89,AO89),{1;2;3;4;5;6;7}))))+(IF(COUNT(X89,AD89,AF89,AH89,AJ89,AN89)&lt;5,SUM(X89,AD89,AF89,AH89,AJ89,AN89),SUM(LARGE((X89,AD89,AF89,AH89,AJ89,AN89),{1;2;3;4;5}))))+U89</f>
        <v>129</v>
      </c>
      <c r="O89" s="413"/>
      <c r="P89" s="405">
        <f t="array" ref="P89">IF(S89="n",((IF(COUNT(V89,W89,AA89,AB89,AC89,AE89,AG89,AI89,AM89,AO89)&lt;7,SUM(V89,W89,AA89,AB89,AC89,AE89,AG89,AI89,AM89,AO89),SUM(LARGE((V89,W89,AA89,AB89,AC89,AE89,AG89,AI89,AM89,AO89),{1;2;3;4;5;6;7}))))+(IF(COUNT(Y89,AD89,AF89,AH89,AK89,AN89)&lt;5,SUM(Y89,AD89,AF89,AH89,AK89,AN89),SUM(LARGE((Y89,AD89,AF89,AH89,AK89,AN89),{1;2;3;4;5}))))+U89),0)</f>
        <v>0</v>
      </c>
      <c r="Q89" s="661"/>
      <c r="R89" s="405">
        <f t="array" ref="R89">IF(T89="j",((IF(COUNT(V89,W89,AA89,AB89,AC89,AE89,AG89,AI89,AM89,AO89)&lt;7,SUM(V89,W89,AA89,AB89,AC89,AE89,AG89,AI89,AM89,AO89),SUM(LARGE((V89,W89,AA89,AB89,AC89,AE89,AG89,AI89,AM89,AO89),{1;2;3;4;5;6;7}))))+(IF(COUNT(Z89,AD89,AF89,AH89,AJ89,AN89)&lt;5,SUM(Z89,AD89,AF89,AH89,AJ89,AN89),SUM(LARGE((Z89,AD89,AF89,AH89,AJ89,AN89),{1;2;3;4;5}))))+U89),0)</f>
        <v>0</v>
      </c>
      <c r="S89" s="64"/>
      <c r="T89" s="64"/>
      <c r="U89" s="173">
        <v>1</v>
      </c>
      <c r="V89" s="141" t="s">
        <v>397</v>
      </c>
      <c r="W89" s="141" t="s">
        <v>397</v>
      </c>
      <c r="X89" s="141" t="s">
        <v>397</v>
      </c>
      <c r="Y89" s="614"/>
      <c r="Z89" s="611"/>
      <c r="AA89" s="141" t="s">
        <v>397</v>
      </c>
      <c r="AB89" s="15">
        <v>49</v>
      </c>
      <c r="AC89" s="15"/>
      <c r="AD89" s="15"/>
      <c r="AE89" s="15"/>
      <c r="AF89" s="15"/>
      <c r="AG89" s="15"/>
      <c r="AH89" s="15"/>
      <c r="AI89" s="15"/>
      <c r="AJ89" s="15"/>
      <c r="AK89" s="613"/>
      <c r="AL89" s="15"/>
      <c r="AM89" s="15"/>
      <c r="AN89" s="15"/>
      <c r="AO89" s="15">
        <v>79</v>
      </c>
      <c r="AP89" s="33">
        <f t="shared" si="20"/>
        <v>2</v>
      </c>
      <c r="AQ89" s="440">
        <f t="shared" si="21"/>
        <v>0</v>
      </c>
      <c r="AR89" s="441">
        <f t="shared" si="22"/>
        <v>0</v>
      </c>
      <c r="AS89" s="34">
        <f t="shared" si="23"/>
        <v>0</v>
      </c>
      <c r="AT89" s="4">
        <f t="shared" si="24"/>
        <v>3</v>
      </c>
      <c r="AU89" s="285">
        <f t="shared" si="25"/>
        <v>1</v>
      </c>
    </row>
    <row r="90" spans="1:47" x14ac:dyDescent="0.2">
      <c r="A90" s="59">
        <v>55</v>
      </c>
      <c r="B90" s="438">
        <f t="shared" si="13"/>
        <v>54</v>
      </c>
      <c r="C90" s="432">
        <f t="shared" si="14"/>
        <v>10129</v>
      </c>
      <c r="D90" s="61" t="s">
        <v>327</v>
      </c>
      <c r="E90" s="438" t="str">
        <f t="shared" si="15"/>
        <v/>
      </c>
      <c r="F90" s="431">
        <f t="shared" si="16"/>
        <v>0</v>
      </c>
      <c r="G90" s="660" t="s">
        <v>327</v>
      </c>
      <c r="H90" s="438" t="str">
        <f t="shared" si="17"/>
        <v/>
      </c>
      <c r="I90" s="658">
        <f t="shared" si="18"/>
        <v>0</v>
      </c>
      <c r="J90" s="154">
        <f t="shared" si="19"/>
        <v>81</v>
      </c>
      <c r="K90" s="139">
        <v>82</v>
      </c>
      <c r="L90" s="601" t="s">
        <v>98</v>
      </c>
      <c r="M90" s="139">
        <v>129</v>
      </c>
      <c r="N90" s="446">
        <f t="array" ref="N90">(IF(COUNT(V90,W90,AA90,AB90,AC90,AE90,AG90,AI90,AM90,AO90)&lt;7,SUM(V90,W90,AA90,AB90,AC90,AE90,AG90,AI90,AM90,AO90),SUM(LARGE((V90,W90,AA90,AB90,AC90,AE90,AG90,AI90,AM90,AO90),{1;2;3;4;5;6;7}))))+(IF(COUNT(X90,AD90,AF90,AH90,AJ90,AN90)&lt;5,SUM(X90,AD90,AF90,AH90,AJ90,AN90),SUM(LARGE((X90,AD90,AF90,AH90,AJ90,AN90),{1;2;3;4;5}))))+U90</f>
        <v>129</v>
      </c>
      <c r="O90" s="413"/>
      <c r="P90" s="405">
        <f t="array" ref="P90">IF(S90="n",((IF(COUNT(V90,W90,AA90,AB90,AC90,AE90,AG90,AI90,AM90,AO90)&lt;7,SUM(V90,W90,AA90,AB90,AC90,AE90,AG90,AI90,AM90,AO90),SUM(LARGE((V90,W90,AA90,AB90,AC90,AE90,AG90,AI90,AM90,AO90),{1;2;3;4;5;6;7}))))+(IF(COUNT(Y90,AD90,AF90,AH90,AK90,AN90)&lt;5,SUM(Y90,AD90,AF90,AH90,AK90,AN90),SUM(LARGE((Y90,AD90,AF90,AH90,AK90,AN90),{1;2;3;4;5}))))+U90),0)</f>
        <v>0</v>
      </c>
      <c r="Q90" s="661"/>
      <c r="R90" s="405">
        <f t="array" ref="R90">IF(T90="j",((IF(COUNT(V90,W90,AA90,AB90,AC90,AE90,AG90,AI90,AM90,AO90)&lt;7,SUM(V90,W90,AA90,AB90,AC90,AE90,AG90,AI90,AM90,AO90),SUM(LARGE((V90,W90,AA90,AB90,AC90,AE90,AG90,AI90,AM90,AO90),{1;2;3;4;5;6;7}))))+(IF(COUNT(Z90,AD90,AF90,AH90,AJ90,AN90)&lt;5,SUM(Z90,AD90,AF90,AH90,AJ90,AN90),SUM(LARGE((Z90,AD90,AF90,AH90,AJ90,AN90),{1;2;3;4;5}))))+U90),0)</f>
        <v>0</v>
      </c>
      <c r="S90" s="64"/>
      <c r="T90" s="64"/>
      <c r="U90" s="173">
        <v>28</v>
      </c>
      <c r="V90" s="141" t="s">
        <v>397</v>
      </c>
      <c r="W90" s="141" t="s">
        <v>397</v>
      </c>
      <c r="X90" s="141" t="s">
        <v>397</v>
      </c>
      <c r="Y90" s="614"/>
      <c r="Z90" s="611"/>
      <c r="AA90" s="141" t="s">
        <v>397</v>
      </c>
      <c r="AB90" s="15">
        <v>52</v>
      </c>
      <c r="AC90" s="15">
        <v>49</v>
      </c>
      <c r="AD90" s="15"/>
      <c r="AE90" s="15"/>
      <c r="AF90" s="15"/>
      <c r="AG90" s="15"/>
      <c r="AH90" s="15"/>
      <c r="AI90" s="15"/>
      <c r="AJ90" s="15"/>
      <c r="AK90" s="613"/>
      <c r="AL90" s="15"/>
      <c r="AM90" s="15"/>
      <c r="AN90" s="15"/>
      <c r="AO90" s="15"/>
      <c r="AP90" s="33">
        <f t="shared" si="20"/>
        <v>2</v>
      </c>
      <c r="AQ90" s="440">
        <f t="shared" si="21"/>
        <v>0</v>
      </c>
      <c r="AR90" s="441">
        <f t="shared" si="22"/>
        <v>0</v>
      </c>
      <c r="AS90" s="34">
        <f t="shared" si="23"/>
        <v>0</v>
      </c>
      <c r="AT90" s="4">
        <f t="shared" si="24"/>
        <v>3</v>
      </c>
      <c r="AU90" s="285">
        <f t="shared" si="25"/>
        <v>1</v>
      </c>
    </row>
    <row r="91" spans="1:47" x14ac:dyDescent="0.2">
      <c r="A91" s="59">
        <v>56</v>
      </c>
      <c r="B91" s="438">
        <f t="shared" si="13"/>
        <v>56</v>
      </c>
      <c r="C91" s="432">
        <f t="shared" si="14"/>
        <v>10126</v>
      </c>
      <c r="D91" s="61" t="s">
        <v>327</v>
      </c>
      <c r="E91" s="438" t="str">
        <f t="shared" si="15"/>
        <v/>
      </c>
      <c r="F91" s="431">
        <f t="shared" si="16"/>
        <v>0</v>
      </c>
      <c r="G91" s="660" t="s">
        <v>327</v>
      </c>
      <c r="H91" s="438" t="str">
        <f t="shared" si="17"/>
        <v/>
      </c>
      <c r="I91" s="658">
        <f t="shared" si="18"/>
        <v>0</v>
      </c>
      <c r="J91" s="154">
        <f t="shared" si="19"/>
        <v>83</v>
      </c>
      <c r="K91" s="139">
        <v>83</v>
      </c>
      <c r="L91" s="601" t="s">
        <v>523</v>
      </c>
      <c r="M91" s="139">
        <v>126</v>
      </c>
      <c r="N91" s="446">
        <f t="array" ref="N91">(IF(COUNT(V91,W91,AA91,AB91,AC91,AE91,AG91,AI91,AM91,AO91)&lt;7,SUM(V91,W91,AA91,AB91,AC91,AE91,AG91,AI91,AM91,AO91),SUM(LARGE((V91,W91,AA91,AB91,AC91,AE91,AG91,AI91,AM91,AO91),{1;2;3;4;5;6;7}))))+(IF(COUNT(X91,AD91,AF91,AH91,AJ91,AN91)&lt;5,SUM(X91,AD91,AF91,AH91,AJ91,AN91),SUM(LARGE((X91,AD91,AF91,AH91,AJ91,AN91),{1;2;3;4;5}))))+U91</f>
        <v>126</v>
      </c>
      <c r="O91" s="413"/>
      <c r="P91" s="405">
        <f t="array" ref="P91">IF(S91="n",((IF(COUNT(V91,W91,AA91,AB91,AC91,AE91,AG91,AI91,AM91,AO91)&lt;7,SUM(V91,W91,AA91,AB91,AC91,AE91,AG91,AI91,AM91,AO91),SUM(LARGE((V91,W91,AA91,AB91,AC91,AE91,AG91,AI91,AM91,AO91),{1;2;3;4;5;6;7}))))+(IF(COUNT(Y91,AD91,AF91,AH91,AK91,AN91)&lt;5,SUM(Y91,AD91,AF91,AH91,AK91,AN91),SUM(LARGE((Y91,AD91,AF91,AH91,AK91,AN91),{1;2;3;4;5}))))+U91),0)</f>
        <v>0</v>
      </c>
      <c r="Q91" s="661"/>
      <c r="R91" s="405">
        <f t="array" ref="R91">IF(T91="j",((IF(COUNT(V91,W91,AA91,AB91,AC91,AE91,AG91,AI91,AM91,AO91)&lt;7,SUM(V91,W91,AA91,AB91,AC91,AE91,AG91,AI91,AM91,AO91),SUM(LARGE((V91,W91,AA91,AB91,AC91,AE91,AG91,AI91,AM91,AO91),{1;2;3;4;5;6;7}))))+(IF(COUNT(Z91,AD91,AF91,AH91,AJ91,AN91)&lt;5,SUM(Z91,AD91,AF91,AH91,AJ91,AN91),SUM(LARGE((Z91,AD91,AF91,AH91,AJ91,AN91),{1;2;3;4;5}))))+U91),0)</f>
        <v>0</v>
      </c>
      <c r="S91" s="64"/>
      <c r="T91" s="64"/>
      <c r="U91" s="173"/>
      <c r="V91" s="141" t="s">
        <v>397</v>
      </c>
      <c r="W91" s="141" t="s">
        <v>397</v>
      </c>
      <c r="X91" s="141" t="s">
        <v>397</v>
      </c>
      <c r="Y91" s="614"/>
      <c r="Z91" s="611"/>
      <c r="AA91" s="141" t="s">
        <v>397</v>
      </c>
      <c r="AB91" s="15">
        <v>28</v>
      </c>
      <c r="AC91" s="15">
        <v>52</v>
      </c>
      <c r="AD91" s="15"/>
      <c r="AE91" s="15"/>
      <c r="AF91" s="15"/>
      <c r="AG91" s="15">
        <v>46</v>
      </c>
      <c r="AH91" s="15"/>
      <c r="AI91" s="15"/>
      <c r="AJ91" s="15"/>
      <c r="AK91" s="613"/>
      <c r="AL91" s="15"/>
      <c r="AM91" s="15"/>
      <c r="AN91" s="15"/>
      <c r="AO91" s="15"/>
      <c r="AP91" s="33">
        <f t="shared" si="20"/>
        <v>3</v>
      </c>
      <c r="AQ91" s="440">
        <f t="shared" si="21"/>
        <v>0</v>
      </c>
      <c r="AR91" s="441">
        <f t="shared" si="22"/>
        <v>0</v>
      </c>
      <c r="AS91" s="34">
        <f t="shared" si="23"/>
        <v>0</v>
      </c>
      <c r="AT91" s="4">
        <f t="shared" si="24"/>
        <v>3</v>
      </c>
      <c r="AU91" s="285">
        <f t="shared" si="25"/>
        <v>1</v>
      </c>
    </row>
    <row r="92" spans="1:47" x14ac:dyDescent="0.2">
      <c r="A92" s="59" t="s">
        <v>327</v>
      </c>
      <c r="B92" s="438" t="str">
        <f t="shared" si="13"/>
        <v/>
      </c>
      <c r="C92" s="432">
        <f t="shared" si="14"/>
        <v>0</v>
      </c>
      <c r="D92" s="61">
        <v>28</v>
      </c>
      <c r="E92" s="438">
        <f t="shared" si="15"/>
        <v>28</v>
      </c>
      <c r="F92" s="431">
        <f t="shared" si="16"/>
        <v>10121</v>
      </c>
      <c r="G92" s="660" t="s">
        <v>327</v>
      </c>
      <c r="H92" s="438" t="str">
        <f t="shared" si="17"/>
        <v/>
      </c>
      <c r="I92" s="658">
        <f t="shared" si="18"/>
        <v>0</v>
      </c>
      <c r="J92" s="154">
        <f t="shared" si="19"/>
        <v>84</v>
      </c>
      <c r="K92" s="139">
        <v>84</v>
      </c>
      <c r="L92" s="65" t="s">
        <v>521</v>
      </c>
      <c r="M92" s="139">
        <v>121</v>
      </c>
      <c r="N92" s="446">
        <f t="array" ref="N92">(IF(COUNT(V92,W92,AA92,AB92,AC92,AE92,AG92,AI92,AM92,AO92)&lt;7,SUM(V92,W92,AA92,AB92,AC92,AE92,AG92,AI92,AM92,AO92),SUM(LARGE((V92,W92,AA92,AB92,AC92,AE92,AG92,AI92,AM92,AO92),{1;2;3;4;5;6;7}))))+(IF(COUNT(X92,AD92,AF92,AH92,AJ92,AN92)&lt;5,SUM(X92,AD92,AF92,AH92,AJ92,AN92),SUM(LARGE((X92,AD92,AF92,AH92,AJ92,AN92),{1;2;3;4;5}))))+U92</f>
        <v>121</v>
      </c>
      <c r="O92" s="413">
        <v>121</v>
      </c>
      <c r="P92" s="405">
        <f t="array" ref="P92">IF(S92="n",((IF(COUNT(V92,W92,AA92,AB92,AC92,AE92,AG92,AI92,AM92,AO92)&lt;7,SUM(V92,W92,AA92,AB92,AC92,AE92,AG92,AI92,AM92,AO92),SUM(LARGE((V92,W92,AA92,AB92,AC92,AE92,AG92,AI92,AM92,AO92),{1;2;3;4;5;6;7}))))+(IF(COUNT(Y92,AD92,AF92,AH92,AK92,AN92)&lt;5,SUM(Y92,AD92,AF92,AH92,AK92,AN92),SUM(LARGE((Y92,AD92,AF92,AH92,AK92,AN92),{1;2;3;4;5}))))+U92),0)</f>
        <v>121</v>
      </c>
      <c r="Q92" s="661"/>
      <c r="R92" s="405">
        <f t="array" ref="R92">IF(T92="j",((IF(COUNT(V92,W92,AA92,AB92,AC92,AE92,AG92,AI92,AM92,AO92)&lt;7,SUM(V92,W92,AA92,AB92,AC92,AE92,AG92,AI92,AM92,AO92),SUM(LARGE((V92,W92,AA92,AB92,AC92,AE92,AG92,AI92,AM92,AO92),{1;2;3;4;5;6;7}))))+(IF(COUNT(Z92,AD92,AF92,AH92,AJ92,AN92)&lt;5,SUM(Z92,AD92,AF92,AH92,AJ92,AN92),SUM(LARGE((Z92,AD92,AF92,AH92,AJ92,AN92),{1;2;3;4;5}))))+U92),0)</f>
        <v>0</v>
      </c>
      <c r="S92" s="64" t="s">
        <v>35</v>
      </c>
      <c r="T92" s="64"/>
      <c r="U92" s="173"/>
      <c r="V92" s="141" t="s">
        <v>397</v>
      </c>
      <c r="W92" s="141" t="s">
        <v>397</v>
      </c>
      <c r="X92" s="141" t="s">
        <v>397</v>
      </c>
      <c r="Y92" s="614"/>
      <c r="Z92" s="611"/>
      <c r="AA92" s="141" t="s">
        <v>397</v>
      </c>
      <c r="AB92" s="15">
        <v>31</v>
      </c>
      <c r="AC92" s="15">
        <v>90</v>
      </c>
      <c r="AD92" s="15"/>
      <c r="AE92" s="15"/>
      <c r="AF92" s="15"/>
      <c r="AG92" s="15"/>
      <c r="AH92" s="15"/>
      <c r="AI92" s="15"/>
      <c r="AJ92" s="15"/>
      <c r="AK92" s="613"/>
      <c r="AL92" s="15"/>
      <c r="AM92" s="15"/>
      <c r="AN92" s="15"/>
      <c r="AO92" s="15"/>
      <c r="AP92" s="33">
        <f t="shared" si="20"/>
        <v>2</v>
      </c>
      <c r="AQ92" s="440">
        <f t="shared" si="21"/>
        <v>0</v>
      </c>
      <c r="AR92" s="441">
        <f t="shared" si="22"/>
        <v>0</v>
      </c>
      <c r="AS92" s="34">
        <f t="shared" si="23"/>
        <v>0</v>
      </c>
      <c r="AT92" s="4">
        <f t="shared" si="24"/>
        <v>3</v>
      </c>
      <c r="AU92" s="285">
        <f t="shared" si="25"/>
        <v>1</v>
      </c>
    </row>
    <row r="93" spans="1:47" x14ac:dyDescent="0.2">
      <c r="A93" s="59">
        <v>57</v>
      </c>
      <c r="B93" s="438">
        <f t="shared" si="13"/>
        <v>57</v>
      </c>
      <c r="C93" s="432">
        <f t="shared" si="14"/>
        <v>10115</v>
      </c>
      <c r="D93" s="61" t="s">
        <v>327</v>
      </c>
      <c r="E93" s="438" t="str">
        <f t="shared" si="15"/>
        <v/>
      </c>
      <c r="F93" s="431">
        <f t="shared" si="16"/>
        <v>0</v>
      </c>
      <c r="G93" s="660" t="s">
        <v>327</v>
      </c>
      <c r="H93" s="438" t="str">
        <f t="shared" si="17"/>
        <v/>
      </c>
      <c r="I93" s="658">
        <f t="shared" si="18"/>
        <v>0</v>
      </c>
      <c r="J93" s="154">
        <f t="shared" si="19"/>
        <v>85</v>
      </c>
      <c r="K93" s="139">
        <v>85</v>
      </c>
      <c r="L93" s="601" t="s">
        <v>711</v>
      </c>
      <c r="M93" s="139">
        <v>115</v>
      </c>
      <c r="N93" s="446">
        <f t="array" ref="N93">(IF(COUNT(V93,W93,AA93,AB93,AC93,AE93,AG93,AI93,AM93,AO93)&lt;7,SUM(V93,W93,AA93,AB93,AC93,AE93,AG93,AI93,AM93,AO93),SUM(LARGE((V93,W93,AA93,AB93,AC93,AE93,AG93,AI93,AM93,AO93),{1;2;3;4;5;6;7}))))+(IF(COUNT(X93,AD93,AF93,AH93,AJ93,AN93)&lt;5,SUM(X93,AD93,AF93,AH93,AJ93,AN93),SUM(LARGE((X93,AD93,AF93,AH93,AJ93,AN93),{1;2;3;4;5}))))+U93</f>
        <v>115</v>
      </c>
      <c r="O93" s="413"/>
      <c r="P93" s="405">
        <f t="array" ref="P93">IF(S93="n",((IF(COUNT(V93,W93,AA93,AB93,AC93,AE93,AG93,AI93,AM93,AO93)&lt;7,SUM(V93,W93,AA93,AB93,AC93,AE93,AG93,AI93,AM93,AO93),SUM(LARGE((V93,W93,AA93,AB93,AC93,AE93,AG93,AI93,AM93,AO93),{1;2;3;4;5;6;7}))))+(IF(COUNT(Y93,AD93,AF93,AH93,AK93,AN93)&lt;5,SUM(Y93,AD93,AF93,AH93,AK93,AN93),SUM(LARGE((Y93,AD93,AF93,AH93,AK93,AN93),{1;2;3;4;5}))))+U93),0)</f>
        <v>0</v>
      </c>
      <c r="Q93" s="661"/>
      <c r="R93" s="405">
        <f t="array" ref="R93">IF(T93="j",((IF(COUNT(V93,W93,AA93,AB93,AC93,AE93,AG93,AI93,AM93,AO93)&lt;7,SUM(V93,W93,AA93,AB93,AC93,AE93,AG93,AI93,AM93,AO93),SUM(LARGE((V93,W93,AA93,AB93,AC93,AE93,AG93,AI93,AM93,AO93),{1;2;3;4;5;6;7}))))+(IF(COUNT(Z93,AD93,AF93,AH93,AJ93,AN93)&lt;5,SUM(Z93,AD93,AF93,AH93,AJ93,AN93),SUM(LARGE((Z93,AD93,AF93,AH93,AJ93,AN93),{1;2;3;4;5}))))+U93),0)</f>
        <v>0</v>
      </c>
      <c r="S93" s="64"/>
      <c r="T93" s="64"/>
      <c r="U93" s="173"/>
      <c r="V93" s="141" t="s">
        <v>397</v>
      </c>
      <c r="W93" s="141" t="s">
        <v>397</v>
      </c>
      <c r="X93" s="141" t="s">
        <v>397</v>
      </c>
      <c r="Y93" s="614"/>
      <c r="Z93" s="611"/>
      <c r="AA93" s="141" t="s">
        <v>397</v>
      </c>
      <c r="AB93" s="15"/>
      <c r="AC93" s="15"/>
      <c r="AD93" s="15"/>
      <c r="AE93" s="15"/>
      <c r="AF93" s="15"/>
      <c r="AG93" s="15">
        <v>115</v>
      </c>
      <c r="AH93" s="15"/>
      <c r="AI93" s="15"/>
      <c r="AJ93" s="15"/>
      <c r="AK93" s="613"/>
      <c r="AL93" s="15"/>
      <c r="AM93" s="15"/>
      <c r="AN93" s="15"/>
      <c r="AO93" s="15"/>
      <c r="AP93" s="33">
        <f t="shared" si="20"/>
        <v>1</v>
      </c>
      <c r="AQ93" s="440">
        <f t="shared" si="21"/>
        <v>1</v>
      </c>
      <c r="AR93" s="441">
        <f t="shared" si="22"/>
        <v>1</v>
      </c>
      <c r="AS93" s="34">
        <f t="shared" si="23"/>
        <v>0</v>
      </c>
      <c r="AT93" s="4">
        <f t="shared" si="24"/>
        <v>3</v>
      </c>
      <c r="AU93" s="285">
        <f t="shared" si="25"/>
        <v>1</v>
      </c>
    </row>
    <row r="94" spans="1:47" x14ac:dyDescent="0.2">
      <c r="A94" s="59">
        <v>57</v>
      </c>
      <c r="B94" s="438">
        <f t="shared" si="13"/>
        <v>57</v>
      </c>
      <c r="C94" s="432">
        <f t="shared" si="14"/>
        <v>10115</v>
      </c>
      <c r="D94" s="61" t="s">
        <v>327</v>
      </c>
      <c r="E94" s="438" t="str">
        <f t="shared" si="15"/>
        <v/>
      </c>
      <c r="F94" s="431">
        <f t="shared" si="16"/>
        <v>0</v>
      </c>
      <c r="G94" s="660" t="s">
        <v>327</v>
      </c>
      <c r="H94" s="438" t="str">
        <f t="shared" si="17"/>
        <v/>
      </c>
      <c r="I94" s="658">
        <f t="shared" si="18"/>
        <v>0</v>
      </c>
      <c r="J94" s="154">
        <f t="shared" si="19"/>
        <v>85</v>
      </c>
      <c r="K94" s="139">
        <v>85</v>
      </c>
      <c r="L94" s="67" t="s">
        <v>879</v>
      </c>
      <c r="M94" s="251">
        <v>115</v>
      </c>
      <c r="N94" s="446">
        <f t="array" ref="N94">(IF(COUNT(V94,W94,AA94,AB94,AC94,AE94,AG94,AI94,AM94,AO94)&lt;7,SUM(V94,W94,AA94,AB94,AC94,AE94,AG94,AI94,AM94,AO94),SUM(LARGE((V94,W94,AA94,AB94,AC94,AE94,AG94,AI94,AM94,AO94),{1;2;3;4;5;6;7}))))+(IF(COUNT(X94,AD94,AF94,AH94,AJ94,AN94)&lt;5,SUM(X94,AD94,AF94,AH94,AJ94,AN94),SUM(LARGE((X94,AD94,AF94,AH94,AJ94,AN94),{1;2;3;4;5}))))+U94</f>
        <v>115</v>
      </c>
      <c r="O94" s="413"/>
      <c r="P94" s="405">
        <f t="array" ref="P94">IF(S94="n",((IF(COUNT(V94,W94,AA94,AB94,AC94,AE94,AG94,AI94,AM94,AO94)&lt;7,SUM(V94,W94,AA94,AB94,AC94,AE94,AG94,AI94,AM94,AO94),SUM(LARGE((V94,W94,AA94,AB94,AC94,AE94,AG94,AI94,AM94,AO94),{1;2;3;4;5;6;7}))))+(IF(COUNT(Y94,AD94,AF94,AH94,AK94,AN94)&lt;5,SUM(Y94,AD94,AF94,AH94,AK94,AN94),SUM(LARGE((Y94,AD94,AF94,AH94,AK94,AN94),{1;2;3;4;5}))))+U94),0)</f>
        <v>0</v>
      </c>
      <c r="Q94" s="661"/>
      <c r="R94" s="405">
        <f t="array" ref="R94">IF(T94="j",((IF(COUNT(V94,W94,AA94,AB94,AC94,AE94,AG94,AI94,AM94,AO94)&lt;7,SUM(V94,W94,AA94,AB94,AC94,AE94,AG94,AI94,AM94,AO94),SUM(LARGE((V94,W94,AA94,AB94,AC94,AE94,AG94,AI94,AM94,AO94),{1;2;3;4;5;6;7}))))+(IF(COUNT(Z94,AD94,AF94,AH94,AJ94,AN94)&lt;5,SUM(Z94,AD94,AF94,AH94,AJ94,AN94),SUM(LARGE((Z94,AD94,AF94,AH94,AJ94,AN94),{1;2;3;4;5}))))+U94),0)</f>
        <v>0</v>
      </c>
      <c r="S94" s="64"/>
      <c r="T94" s="64"/>
      <c r="U94" s="173"/>
      <c r="V94" s="141" t="s">
        <v>397</v>
      </c>
      <c r="W94" s="141" t="s">
        <v>397</v>
      </c>
      <c r="X94" s="141" t="s">
        <v>397</v>
      </c>
      <c r="Y94" s="614"/>
      <c r="Z94" s="611"/>
      <c r="AA94" s="141" t="s">
        <v>397</v>
      </c>
      <c r="AB94" s="15"/>
      <c r="AC94" s="15"/>
      <c r="AD94" s="15"/>
      <c r="AE94" s="15"/>
      <c r="AF94" s="15"/>
      <c r="AG94" s="15"/>
      <c r="AH94" s="15"/>
      <c r="AI94" s="15"/>
      <c r="AJ94" s="15"/>
      <c r="AK94" s="613"/>
      <c r="AL94" s="15"/>
      <c r="AM94" s="15"/>
      <c r="AN94" s="15"/>
      <c r="AO94" s="15">
        <v>115</v>
      </c>
      <c r="AP94" s="33">
        <f t="shared" si="20"/>
        <v>1</v>
      </c>
      <c r="AQ94" s="440">
        <f t="shared" si="21"/>
        <v>1</v>
      </c>
      <c r="AR94" s="441">
        <f t="shared" si="22"/>
        <v>1</v>
      </c>
      <c r="AS94" s="34">
        <f t="shared" si="23"/>
        <v>0</v>
      </c>
      <c r="AT94" s="4">
        <f t="shared" si="24"/>
        <v>3</v>
      </c>
      <c r="AU94" s="285">
        <f t="shared" si="25"/>
        <v>1</v>
      </c>
    </row>
    <row r="95" spans="1:47" x14ac:dyDescent="0.2">
      <c r="A95" s="59">
        <v>57</v>
      </c>
      <c r="B95" s="438">
        <v>59</v>
      </c>
      <c r="C95" s="432">
        <f t="shared" si="14"/>
        <v>10115</v>
      </c>
      <c r="D95" s="61" t="s">
        <v>327</v>
      </c>
      <c r="E95" s="438" t="str">
        <f t="shared" si="15"/>
        <v/>
      </c>
      <c r="F95" s="431">
        <f t="shared" si="16"/>
        <v>0</v>
      </c>
      <c r="G95" s="660" t="s">
        <v>327</v>
      </c>
      <c r="H95" s="438" t="str">
        <f t="shared" si="17"/>
        <v/>
      </c>
      <c r="I95" s="658">
        <f t="shared" si="18"/>
        <v>0</v>
      </c>
      <c r="J95" s="154">
        <f t="shared" si="19"/>
        <v>85</v>
      </c>
      <c r="K95" s="139">
        <v>87</v>
      </c>
      <c r="L95" s="601" t="s">
        <v>534</v>
      </c>
      <c r="M95" s="139">
        <v>115</v>
      </c>
      <c r="N95" s="446">
        <f t="array" ref="N95">(IF(COUNT(V95,W95,AA95,AB95,AC95,AE95,AG95,AI95,AM95,AO95)&lt;7,SUM(V95,W95,AA95,AB95,AC95,AE95,AG95,AI95,AM95,AO95),SUM(LARGE((V95,W95,AA95,AB95,AC95,AE95,AG95,AI95,AM95,AO95),{1;2;3;4;5;6;7}))))+(IF(COUNT(X95,AD95,AF95,AH95,AJ95,AN95)&lt;5,SUM(X95,AD95,AF95,AH95,AJ95,AN95),SUM(LARGE((X95,AD95,AF95,AH95,AJ95,AN95),{1;2;3;4;5}))))+U95</f>
        <v>115</v>
      </c>
      <c r="O95" s="413"/>
      <c r="P95" s="405">
        <f t="array" ref="P95">IF(S95="n",((IF(COUNT(V95,W95,AA95,AB95,AC95,AE95,AG95,AI95,AM95,AO95)&lt;7,SUM(V95,W95,AA95,AB95,AC95,AE95,AG95,AI95,AM95,AO95),SUM(LARGE((V95,W95,AA95,AB95,AC95,AE95,AG95,AI95,AM95,AO95),{1;2;3;4;5;6;7}))))+(IF(COUNT(Y95,AD95,AF95,AH95,AK95,AN95)&lt;5,SUM(Y95,AD95,AF95,AH95,AK95,AN95),SUM(LARGE((Y95,AD95,AF95,AH95,AK95,AN95),{1;2;3;4;5}))))+U95),0)</f>
        <v>0</v>
      </c>
      <c r="Q95" s="661"/>
      <c r="R95" s="405">
        <f t="array" ref="R95">IF(T95="j",((IF(COUNT(V95,W95,AA95,AB95,AC95,AE95,AG95,AI95,AM95,AO95)&lt;7,SUM(V95,W95,AA95,AB95,AC95,AE95,AG95,AI95,AM95,AO95),SUM(LARGE((V95,W95,AA95,AB95,AC95,AE95,AG95,AI95,AM95,AO95),{1;2;3;4;5;6;7}))))+(IF(COUNT(Z95,AD95,AF95,AH95,AJ95,AN95)&lt;5,SUM(Z95,AD95,AF95,AH95,AJ95,AN95),SUM(LARGE((Z95,AD95,AF95,AH95,AJ95,AN95),{1;2;3;4;5}))))+U95),0)</f>
        <v>0</v>
      </c>
      <c r="S95" s="64"/>
      <c r="T95" s="64"/>
      <c r="U95" s="173"/>
      <c r="V95" s="141" t="s">
        <v>397</v>
      </c>
      <c r="W95" s="141" t="s">
        <v>397</v>
      </c>
      <c r="X95" s="141" t="s">
        <v>397</v>
      </c>
      <c r="Y95" s="614"/>
      <c r="Z95" s="611"/>
      <c r="AA95" s="141" t="s">
        <v>397</v>
      </c>
      <c r="AB95" s="15"/>
      <c r="AC95" s="15">
        <v>46</v>
      </c>
      <c r="AD95" s="15"/>
      <c r="AE95" s="15"/>
      <c r="AF95" s="15"/>
      <c r="AG95" s="15">
        <v>69</v>
      </c>
      <c r="AH95" s="15"/>
      <c r="AI95" s="15"/>
      <c r="AJ95" s="15"/>
      <c r="AK95" s="613"/>
      <c r="AL95" s="15"/>
      <c r="AM95" s="15"/>
      <c r="AN95" s="15"/>
      <c r="AO95" s="15"/>
      <c r="AP95" s="33">
        <f t="shared" si="20"/>
        <v>2</v>
      </c>
      <c r="AQ95" s="440">
        <f t="shared" si="21"/>
        <v>0</v>
      </c>
      <c r="AR95" s="441">
        <f t="shared" si="22"/>
        <v>0</v>
      </c>
      <c r="AS95" s="34">
        <f t="shared" si="23"/>
        <v>0</v>
      </c>
      <c r="AT95" s="4">
        <f t="shared" si="24"/>
        <v>3</v>
      </c>
      <c r="AU95" s="285">
        <f t="shared" si="25"/>
        <v>1</v>
      </c>
    </row>
    <row r="96" spans="1:47" x14ac:dyDescent="0.2">
      <c r="A96" s="59">
        <v>60</v>
      </c>
      <c r="B96" s="438">
        <f t="shared" ref="B96:B159" si="26">IF(N96=0,"",IF(S96="n","",RANK(C96,C$9:C$176,0)))</f>
        <v>60</v>
      </c>
      <c r="C96" s="432">
        <f t="shared" si="14"/>
        <v>10114</v>
      </c>
      <c r="D96" s="61" t="s">
        <v>327</v>
      </c>
      <c r="E96" s="438" t="str">
        <f t="shared" si="15"/>
        <v/>
      </c>
      <c r="F96" s="431">
        <f t="shared" si="16"/>
        <v>0</v>
      </c>
      <c r="G96" s="660" t="s">
        <v>327</v>
      </c>
      <c r="H96" s="438" t="str">
        <f t="shared" si="17"/>
        <v/>
      </c>
      <c r="I96" s="658">
        <f t="shared" si="18"/>
        <v>0</v>
      </c>
      <c r="J96" s="154">
        <f t="shared" si="19"/>
        <v>88</v>
      </c>
      <c r="K96" s="139">
        <v>88</v>
      </c>
      <c r="L96" s="67" t="s">
        <v>91</v>
      </c>
      <c r="M96" s="251">
        <v>114</v>
      </c>
      <c r="N96" s="446">
        <f t="array" ref="N96">(IF(COUNT(V96,W96,AA96,AB96,AC96,AE96,AG96,AI96,AM96,AO96)&lt;7,SUM(V96,W96,AA96,AB96,AC96,AE96,AG96,AI96,AM96,AO96),SUM(LARGE((V96,W96,AA96,AB96,AC96,AE96,AG96,AI96,AM96,AO96),{1;2;3;4;5;6;7}))))+(IF(COUNT(X96,AD96,AF96,AH96,AJ96,AN96)&lt;5,SUM(X96,AD96,AF96,AH96,AJ96,AN96),SUM(LARGE((X96,AD96,AF96,AH96,AJ96,AN96),{1;2;3;4;5}))))+U96</f>
        <v>114</v>
      </c>
      <c r="O96" s="413"/>
      <c r="P96" s="405">
        <f t="array" ref="P96">IF(S96="n",((IF(COUNT(V96,W96,AA96,AB96,AC96,AE96,AG96,AI96,AM96,AO96)&lt;7,SUM(V96,W96,AA96,AB96,AC96,AE96,AG96,AI96,AM96,AO96),SUM(LARGE((V96,W96,AA96,AB96,AC96,AE96,AG96,AI96,AM96,AO96),{1;2;3;4;5;6;7}))))+(IF(COUNT(Y96,AD96,AF96,AH96,AK96,AN96)&lt;5,SUM(Y96,AD96,AF96,AH96,AK96,AN96),SUM(LARGE((Y96,AD96,AF96,AH96,AK96,AN96),{1;2;3;4;5}))))+U96),0)</f>
        <v>0</v>
      </c>
      <c r="Q96" s="661"/>
      <c r="R96" s="405">
        <f t="array" ref="R96">IF(T96="j",((IF(COUNT(V96,W96,AA96,AB96,AC96,AE96,AG96,AI96,AM96,AO96)&lt;7,SUM(V96,W96,AA96,AB96,AC96,AE96,AG96,AI96,AM96,AO96),SUM(LARGE((V96,W96,AA96,AB96,AC96,AE96,AG96,AI96,AM96,AO96),{1;2;3;4;5;6;7}))))+(IF(COUNT(Z96,AD96,AF96,AH96,AJ96,AN96)&lt;5,SUM(Z96,AD96,AF96,AH96,AJ96,AN96),SUM(LARGE((Z96,AD96,AF96,AH96,AJ96,AN96),{1;2;3;4;5}))))+U96),0)</f>
        <v>0</v>
      </c>
      <c r="S96" s="64"/>
      <c r="T96" s="64"/>
      <c r="U96" s="173">
        <v>1</v>
      </c>
      <c r="V96" s="141" t="s">
        <v>397</v>
      </c>
      <c r="W96" s="141" t="s">
        <v>397</v>
      </c>
      <c r="X96" s="141" t="s">
        <v>397</v>
      </c>
      <c r="Y96" s="614"/>
      <c r="Z96" s="611"/>
      <c r="AA96" s="141" t="s">
        <v>397</v>
      </c>
      <c r="AB96" s="15">
        <v>34</v>
      </c>
      <c r="AC96" s="15"/>
      <c r="AD96" s="15"/>
      <c r="AE96" s="15"/>
      <c r="AF96" s="15"/>
      <c r="AG96" s="15"/>
      <c r="AH96" s="15"/>
      <c r="AI96" s="15"/>
      <c r="AJ96" s="15"/>
      <c r="AK96" s="613"/>
      <c r="AL96" s="15"/>
      <c r="AM96" s="15"/>
      <c r="AN96" s="15"/>
      <c r="AO96" s="15">
        <v>79</v>
      </c>
      <c r="AP96" s="33">
        <f t="shared" si="20"/>
        <v>2</v>
      </c>
      <c r="AQ96" s="440">
        <f t="shared" si="21"/>
        <v>0</v>
      </c>
      <c r="AR96" s="441">
        <f t="shared" si="22"/>
        <v>0</v>
      </c>
      <c r="AS96" s="34">
        <f t="shared" si="23"/>
        <v>0</v>
      </c>
      <c r="AT96" s="4">
        <f t="shared" si="24"/>
        <v>3</v>
      </c>
      <c r="AU96" s="285">
        <f t="shared" si="25"/>
        <v>1</v>
      </c>
    </row>
    <row r="97" spans="1:47" x14ac:dyDescent="0.2">
      <c r="A97" s="59">
        <v>61</v>
      </c>
      <c r="B97" s="438">
        <f t="shared" si="26"/>
        <v>61</v>
      </c>
      <c r="C97" s="432">
        <f t="shared" si="14"/>
        <v>10111</v>
      </c>
      <c r="D97" s="61" t="s">
        <v>327</v>
      </c>
      <c r="E97" s="438" t="str">
        <f t="shared" si="15"/>
        <v/>
      </c>
      <c r="F97" s="431">
        <f t="shared" si="16"/>
        <v>0</v>
      </c>
      <c r="G97" s="660" t="s">
        <v>327</v>
      </c>
      <c r="H97" s="438" t="str">
        <f t="shared" si="17"/>
        <v/>
      </c>
      <c r="I97" s="658">
        <f t="shared" si="18"/>
        <v>0</v>
      </c>
      <c r="J97" s="154">
        <f t="shared" si="19"/>
        <v>89</v>
      </c>
      <c r="K97" s="139">
        <v>89</v>
      </c>
      <c r="L97" s="602" t="s">
        <v>878</v>
      </c>
      <c r="M97" s="251">
        <v>111</v>
      </c>
      <c r="N97" s="446">
        <f t="array" ref="N97">(IF(COUNT(V97,W97,AA97,AB97,AC97,AE97,AG97,AI97,AM97,AO97)&lt;7,SUM(V97,W97,AA97,AB97,AC97,AE97,AG97,AI97,AM97,AO97),SUM(LARGE((V97,W97,AA97,AB97,AC97,AE97,AG97,AI97,AM97,AO97),{1;2;3;4;5;6;7}))))+(IF(COUNT(X97,AD97,AF97,AH97,AJ97,AN97)&lt;5,SUM(X97,AD97,AF97,AH97,AJ97,AN97),SUM(LARGE((X97,AD97,AF97,AH97,AJ97,AN97),{1;2;3;4;5}))))+U97</f>
        <v>111</v>
      </c>
      <c r="O97" s="413"/>
      <c r="P97" s="405">
        <f t="array" ref="P97">IF(S97="n",((IF(COUNT(V97,W97,AA97,AB97,AC97,AE97,AG97,AI97,AM97,AO97)&lt;7,SUM(V97,W97,AA97,AB97,AC97,AE97,AG97,AI97,AM97,AO97),SUM(LARGE((V97,W97,AA97,AB97,AC97,AE97,AG97,AI97,AM97,AO97),{1;2;3;4;5;6;7}))))+(IF(COUNT(Y97,AD97,AF97,AH97,AK97,AN97)&lt;5,SUM(Y97,AD97,AF97,AH97,AK97,AN97),SUM(LARGE((Y97,AD97,AF97,AH97,AK97,AN97),{1;2;3;4;5}))))+U97),0)</f>
        <v>0</v>
      </c>
      <c r="Q97" s="661"/>
      <c r="R97" s="405">
        <f t="array" ref="R97">IF(T97="j",((IF(COUNT(V97,W97,AA97,AB97,AC97,AE97,AG97,AI97,AM97,AO97)&lt;7,SUM(V97,W97,AA97,AB97,AC97,AE97,AG97,AI97,AM97,AO97),SUM(LARGE((V97,W97,AA97,AB97,AC97,AE97,AG97,AI97,AM97,AO97),{1;2;3;4;5;6;7}))))+(IF(COUNT(Z97,AD97,AF97,AH97,AJ97,AN97)&lt;5,SUM(Z97,AD97,AF97,AH97,AJ97,AN97),SUM(LARGE((Z97,AD97,AF97,AH97,AJ97,AN97),{1;2;3;4;5}))))+U97),0)</f>
        <v>0</v>
      </c>
      <c r="S97" s="64"/>
      <c r="T97" s="64"/>
      <c r="U97" s="173"/>
      <c r="V97" s="141" t="s">
        <v>397</v>
      </c>
      <c r="W97" s="141" t="s">
        <v>397</v>
      </c>
      <c r="X97" s="141" t="s">
        <v>397</v>
      </c>
      <c r="Y97" s="614"/>
      <c r="Z97" s="611"/>
      <c r="AA97" s="141" t="s">
        <v>397</v>
      </c>
      <c r="AB97" s="15"/>
      <c r="AC97" s="15"/>
      <c r="AD97" s="15"/>
      <c r="AE97" s="15"/>
      <c r="AF97" s="15"/>
      <c r="AG97" s="15"/>
      <c r="AH97" s="15"/>
      <c r="AI97" s="15"/>
      <c r="AJ97" s="15"/>
      <c r="AK97" s="613"/>
      <c r="AL97" s="15"/>
      <c r="AM97" s="15"/>
      <c r="AN97" s="15">
        <v>111</v>
      </c>
      <c r="AO97" s="15"/>
      <c r="AP97" s="33">
        <f t="shared" si="20"/>
        <v>1</v>
      </c>
      <c r="AQ97" s="440">
        <f t="shared" si="21"/>
        <v>0</v>
      </c>
      <c r="AR97" s="441">
        <f t="shared" si="22"/>
        <v>0</v>
      </c>
      <c r="AS97" s="34">
        <f t="shared" si="23"/>
        <v>0</v>
      </c>
      <c r="AT97" s="4">
        <f t="shared" si="24"/>
        <v>3</v>
      </c>
      <c r="AU97" s="285">
        <f t="shared" si="25"/>
        <v>1</v>
      </c>
    </row>
    <row r="98" spans="1:47" x14ac:dyDescent="0.2">
      <c r="A98" s="59" t="s">
        <v>327</v>
      </c>
      <c r="B98" s="438" t="str">
        <f t="shared" si="26"/>
        <v/>
      </c>
      <c r="C98" s="432">
        <f t="shared" si="14"/>
        <v>0</v>
      </c>
      <c r="D98" s="61">
        <v>29</v>
      </c>
      <c r="E98" s="438">
        <f t="shared" si="15"/>
        <v>29</v>
      </c>
      <c r="F98" s="431">
        <f t="shared" si="16"/>
        <v>10109</v>
      </c>
      <c r="G98" s="660" t="s">
        <v>327</v>
      </c>
      <c r="H98" s="438" t="str">
        <f t="shared" si="17"/>
        <v/>
      </c>
      <c r="I98" s="658">
        <f t="shared" si="18"/>
        <v>0</v>
      </c>
      <c r="J98" s="154">
        <f t="shared" si="19"/>
        <v>90</v>
      </c>
      <c r="K98" s="139">
        <v>90</v>
      </c>
      <c r="L98" s="70" t="s">
        <v>81</v>
      </c>
      <c r="M98" s="139">
        <v>109</v>
      </c>
      <c r="N98" s="446">
        <f t="array" ref="N98">(IF(COUNT(V98,W98,AA98,AB98,AC98,AE98,AG98,AI98,AM98,AO98)&lt;7,SUM(V98,W98,AA98,AB98,AC98,AE98,AG98,AI98,AM98,AO98),SUM(LARGE((V98,W98,AA98,AB98,AC98,AE98,AG98,AI98,AM98,AO98),{1;2;3;4;5;6;7}))))+(IF(COUNT(X98,AD98,AF98,AH98,AJ98,AN98)&lt;5,SUM(X98,AD98,AF98,AH98,AJ98,AN98),SUM(LARGE((X98,AD98,AF98,AH98,AJ98,AN98),{1;2;3;4;5}))))+U98</f>
        <v>109</v>
      </c>
      <c r="O98" s="413">
        <v>109</v>
      </c>
      <c r="P98" s="405">
        <f t="array" ref="P98">IF(S98="n",((IF(COUNT(V98,W98,AA98,AB98,AC98,AE98,AG98,AI98,AM98,AO98)&lt;7,SUM(V98,W98,AA98,AB98,AC98,AE98,AG98,AI98,AM98,AO98),SUM(LARGE((V98,W98,AA98,AB98,AC98,AE98,AG98,AI98,AM98,AO98),{1;2;3;4;5;6;7}))))+(IF(COUNT(Y98,AD98,AF98,AH98,AK98,AN98)&lt;5,SUM(Y98,AD98,AF98,AH98,AK98,AN98),SUM(LARGE((Y98,AD98,AF98,AH98,AK98,AN98),{1;2;3;4;5}))))+U98),0)</f>
        <v>109</v>
      </c>
      <c r="Q98" s="661"/>
      <c r="R98" s="405">
        <f t="array" ref="R98">IF(T98="j",((IF(COUNT(V98,W98,AA98,AB98,AC98,AE98,AG98,AI98,AM98,AO98)&lt;7,SUM(V98,W98,AA98,AB98,AC98,AE98,AG98,AI98,AM98,AO98),SUM(LARGE((V98,W98,AA98,AB98,AC98,AE98,AG98,AI98,AM98,AO98),{1;2;3;4;5;6;7}))))+(IF(COUNT(Z98,AD98,AF98,AH98,AJ98,AN98)&lt;5,SUM(Z98,AD98,AF98,AH98,AJ98,AN98),SUM(LARGE((Z98,AD98,AF98,AH98,AJ98,AN98),{1;2;3;4;5}))))+U98),0)</f>
        <v>0</v>
      </c>
      <c r="S98" s="64" t="s">
        <v>35</v>
      </c>
      <c r="T98" s="64"/>
      <c r="U98" s="173">
        <v>1</v>
      </c>
      <c r="V98" s="141" t="s">
        <v>397</v>
      </c>
      <c r="W98" s="141" t="s">
        <v>397</v>
      </c>
      <c r="X98" s="141" t="s">
        <v>397</v>
      </c>
      <c r="Y98" s="614"/>
      <c r="Z98" s="611"/>
      <c r="AA98" s="141" t="s">
        <v>397</v>
      </c>
      <c r="AB98" s="15"/>
      <c r="AC98" s="15"/>
      <c r="AD98" s="15"/>
      <c r="AE98" s="15">
        <v>56</v>
      </c>
      <c r="AF98" s="15"/>
      <c r="AG98" s="15">
        <v>52</v>
      </c>
      <c r="AH98" s="15"/>
      <c r="AI98" s="15"/>
      <c r="AJ98" s="15"/>
      <c r="AK98" s="613"/>
      <c r="AL98" s="15"/>
      <c r="AM98" s="15"/>
      <c r="AN98" s="15"/>
      <c r="AO98" s="15"/>
      <c r="AP98" s="33">
        <f t="shared" si="20"/>
        <v>2</v>
      </c>
      <c r="AQ98" s="440">
        <f t="shared" si="21"/>
        <v>0</v>
      </c>
      <c r="AR98" s="441">
        <f t="shared" si="22"/>
        <v>0</v>
      </c>
      <c r="AS98" s="34">
        <f t="shared" si="23"/>
        <v>0</v>
      </c>
      <c r="AT98" s="4">
        <f t="shared" si="24"/>
        <v>3</v>
      </c>
      <c r="AU98" s="285">
        <f t="shared" si="25"/>
        <v>1</v>
      </c>
    </row>
    <row r="99" spans="1:47" x14ac:dyDescent="0.2">
      <c r="A99" s="59" t="s">
        <v>327</v>
      </c>
      <c r="B99" s="438" t="str">
        <f t="shared" si="26"/>
        <v/>
      </c>
      <c r="C99" s="432">
        <f t="shared" si="14"/>
        <v>0</v>
      </c>
      <c r="D99" s="61">
        <v>30</v>
      </c>
      <c r="E99" s="438">
        <f t="shared" si="15"/>
        <v>29</v>
      </c>
      <c r="F99" s="431">
        <f t="shared" si="16"/>
        <v>10109</v>
      </c>
      <c r="G99" s="660" t="s">
        <v>327</v>
      </c>
      <c r="H99" s="438" t="str">
        <f t="shared" si="17"/>
        <v/>
      </c>
      <c r="I99" s="658">
        <f t="shared" si="18"/>
        <v>0</v>
      </c>
      <c r="J99" s="154">
        <f t="shared" si="19"/>
        <v>90</v>
      </c>
      <c r="K99" s="139">
        <v>91</v>
      </c>
      <c r="L99" s="65" t="s">
        <v>318</v>
      </c>
      <c r="M99" s="139">
        <v>109</v>
      </c>
      <c r="N99" s="446">
        <f t="array" ref="N99">(IF(COUNT(V99,W99,AA99,AB99,AC99,AE99,AG99,AI99,AM99,AO99)&lt;7,SUM(V99,W99,AA99,AB99,AC99,AE99,AG99,AI99,AM99,AO99),SUM(LARGE((V99,W99,AA99,AB99,AC99,AE99,AG99,AI99,AM99,AO99),{1;2;3;4;5;6;7}))))+(IF(COUNT(X99,AD99,AF99,AH99,AJ99,AN99)&lt;5,SUM(X99,AD99,AF99,AH99,AJ99,AN99),SUM(LARGE((X99,AD99,AF99,AH99,AJ99,AN99),{1;2;3;4;5}))))+U99</f>
        <v>109</v>
      </c>
      <c r="O99" s="413">
        <v>109</v>
      </c>
      <c r="P99" s="405">
        <f t="array" ref="P99">IF(S99="n",((IF(COUNT(V99,W99,AA99,AB99,AC99,AE99,AG99,AI99,AM99,AO99)&lt;7,SUM(V99,W99,AA99,AB99,AC99,AE99,AG99,AI99,AM99,AO99),SUM(LARGE((V99,W99,AA99,AB99,AC99,AE99,AG99,AI99,AM99,AO99),{1;2;3;4;5;6;7}))))+(IF(COUNT(Y99,AD99,AF99,AH99,AK99,AN99)&lt;5,SUM(Y99,AD99,AF99,AH99,AK99,AN99),SUM(LARGE((Y99,AD99,AF99,AH99,AK99,AN99),{1;2;3;4;5}))))+U99),0)</f>
        <v>109</v>
      </c>
      <c r="Q99" s="661"/>
      <c r="R99" s="405">
        <f t="array" ref="R99">IF(T99="j",((IF(COUNT(V99,W99,AA99,AB99,AC99,AE99,AG99,AI99,AM99,AO99)&lt;7,SUM(V99,W99,AA99,AB99,AC99,AE99,AG99,AI99,AM99,AO99),SUM(LARGE((V99,W99,AA99,AB99,AC99,AE99,AG99,AI99,AM99,AO99),{1;2;3;4;5;6;7}))))+(IF(COUNT(Z99,AD99,AF99,AH99,AJ99,AN99)&lt;5,SUM(Z99,AD99,AF99,AH99,AJ99,AN99),SUM(LARGE((Z99,AD99,AF99,AH99,AJ99,AN99),{1;2;3;4;5}))))+U99),0)</f>
        <v>0</v>
      </c>
      <c r="S99" s="64" t="s">
        <v>35</v>
      </c>
      <c r="T99" s="64"/>
      <c r="U99" s="173">
        <v>1</v>
      </c>
      <c r="V99" s="141" t="s">
        <v>397</v>
      </c>
      <c r="W99" s="141" t="s">
        <v>397</v>
      </c>
      <c r="X99" s="141" t="s">
        <v>397</v>
      </c>
      <c r="Y99" s="614"/>
      <c r="Z99" s="611"/>
      <c r="AA99" s="141" t="s">
        <v>397</v>
      </c>
      <c r="AB99" s="15">
        <v>10</v>
      </c>
      <c r="AC99" s="15"/>
      <c r="AD99" s="15"/>
      <c r="AE99" s="15"/>
      <c r="AF99" s="15"/>
      <c r="AG99" s="15"/>
      <c r="AH99" s="15"/>
      <c r="AI99" s="15"/>
      <c r="AJ99" s="15"/>
      <c r="AK99" s="613"/>
      <c r="AL99" s="15"/>
      <c r="AM99" s="15">
        <v>46</v>
      </c>
      <c r="AN99" s="15"/>
      <c r="AO99" s="15">
        <v>52</v>
      </c>
      <c r="AP99" s="33">
        <f t="shared" si="20"/>
        <v>3</v>
      </c>
      <c r="AQ99" s="440">
        <f t="shared" si="21"/>
        <v>0</v>
      </c>
      <c r="AR99" s="441">
        <f t="shared" si="22"/>
        <v>0</v>
      </c>
      <c r="AS99" s="34">
        <f t="shared" si="23"/>
        <v>0</v>
      </c>
      <c r="AT99" s="4">
        <f t="shared" si="24"/>
        <v>3</v>
      </c>
      <c r="AU99" s="285">
        <f t="shared" si="25"/>
        <v>1</v>
      </c>
    </row>
    <row r="100" spans="1:47" x14ac:dyDescent="0.2">
      <c r="A100" s="59">
        <v>62</v>
      </c>
      <c r="B100" s="438">
        <f t="shared" si="26"/>
        <v>62</v>
      </c>
      <c r="C100" s="432">
        <f t="shared" si="14"/>
        <v>10107</v>
      </c>
      <c r="D100" s="61" t="s">
        <v>327</v>
      </c>
      <c r="E100" s="438" t="str">
        <f t="shared" si="15"/>
        <v/>
      </c>
      <c r="F100" s="431">
        <f t="shared" si="16"/>
        <v>0</v>
      </c>
      <c r="G100" s="660" t="s">
        <v>327</v>
      </c>
      <c r="H100" s="438" t="str">
        <f t="shared" si="17"/>
        <v/>
      </c>
      <c r="I100" s="658">
        <f t="shared" si="18"/>
        <v>0</v>
      </c>
      <c r="J100" s="154">
        <f t="shared" si="19"/>
        <v>92</v>
      </c>
      <c r="K100" s="139">
        <v>92</v>
      </c>
      <c r="L100" s="601" t="s">
        <v>323</v>
      </c>
      <c r="M100" s="139">
        <v>107</v>
      </c>
      <c r="N100" s="446">
        <f t="array" ref="N100">(IF(COUNT(V100,W100,AA100,AB100,AC100,AE100,AG100,AI100,AM100,AO100)&lt;7,SUM(V100,W100,AA100,AB100,AC100,AE100,AG100,AI100,AM100,AO100),SUM(LARGE((V100,W100,AA100,AB100,AC100,AE100,AG100,AI100,AM100,AO100),{1;2;3;4;5;6;7}))))+(IF(COUNT(X100,AD100,AF100,AH100,AJ100,AN100)&lt;5,SUM(X100,AD100,AF100,AH100,AJ100,AN100),SUM(LARGE((X100,AD100,AF100,AH100,AJ100,AN100),{1;2;3;4;5}))))+U100</f>
        <v>107</v>
      </c>
      <c r="O100" s="413"/>
      <c r="P100" s="405">
        <f t="array" ref="P100">IF(S100="n",((IF(COUNT(V100,W100,AA100,AB100,AC100,AE100,AG100,AI100,AM100,AO100)&lt;7,SUM(V100,W100,AA100,AB100,AC100,AE100,AG100,AI100,AM100,AO100),SUM(LARGE((V100,W100,AA100,AB100,AC100,AE100,AG100,AI100,AM100,AO100),{1;2;3;4;5;6;7}))))+(IF(COUNT(Y100,AD100,AF100,AH100,AK100,AN100)&lt;5,SUM(Y100,AD100,AF100,AH100,AK100,AN100),SUM(LARGE((Y100,AD100,AF100,AH100,AK100,AN100),{1;2;3;4;5}))))+U100),0)</f>
        <v>0</v>
      </c>
      <c r="Q100" s="661"/>
      <c r="R100" s="405">
        <f t="array" ref="R100">IF(T100="j",((IF(COUNT(V100,W100,AA100,AB100,AC100,AE100,AG100,AI100,AM100,AO100)&lt;7,SUM(V100,W100,AA100,AB100,AC100,AE100,AG100,AI100,AM100,AO100),SUM(LARGE((V100,W100,AA100,AB100,AC100,AE100,AG100,AI100,AM100,AO100),{1;2;3;4;5;6;7}))))+(IF(COUNT(Z100,AD100,AF100,AH100,AJ100,AN100)&lt;5,SUM(Z100,AD100,AF100,AH100,AJ100,AN100),SUM(LARGE((Z100,AD100,AF100,AH100,AJ100,AN100),{1;2;3;4;5}))))+U100),0)</f>
        <v>0</v>
      </c>
      <c r="S100" s="64"/>
      <c r="T100" s="64"/>
      <c r="U100" s="173">
        <v>1</v>
      </c>
      <c r="V100" s="15">
        <v>69</v>
      </c>
      <c r="W100" s="141" t="s">
        <v>397</v>
      </c>
      <c r="X100" s="141" t="s">
        <v>397</v>
      </c>
      <c r="Y100" s="614"/>
      <c r="Z100" s="611"/>
      <c r="AA100" s="141" t="s">
        <v>397</v>
      </c>
      <c r="AB100" s="141" t="s">
        <v>397</v>
      </c>
      <c r="AC100" s="15">
        <v>37</v>
      </c>
      <c r="AD100" s="15"/>
      <c r="AE100" s="15"/>
      <c r="AF100" s="15"/>
      <c r="AG100" s="15"/>
      <c r="AH100" s="15"/>
      <c r="AI100" s="15"/>
      <c r="AJ100" s="15"/>
      <c r="AK100" s="613"/>
      <c r="AL100" s="15"/>
      <c r="AM100" s="15"/>
      <c r="AN100" s="15"/>
      <c r="AO100" s="15"/>
      <c r="AP100" s="33">
        <f t="shared" si="20"/>
        <v>2</v>
      </c>
      <c r="AQ100" s="440">
        <f t="shared" si="21"/>
        <v>0</v>
      </c>
      <c r="AR100" s="441">
        <f t="shared" si="22"/>
        <v>0</v>
      </c>
      <c r="AS100" s="34">
        <f t="shared" si="23"/>
        <v>0</v>
      </c>
      <c r="AT100" s="4">
        <f t="shared" si="24"/>
        <v>3</v>
      </c>
      <c r="AU100" s="285">
        <f t="shared" si="25"/>
        <v>1</v>
      </c>
    </row>
    <row r="101" spans="1:47" x14ac:dyDescent="0.2">
      <c r="A101" s="59">
        <v>63</v>
      </c>
      <c r="B101" s="438">
        <f t="shared" si="26"/>
        <v>63</v>
      </c>
      <c r="C101" s="432">
        <f t="shared" si="14"/>
        <v>10104</v>
      </c>
      <c r="D101" s="61" t="s">
        <v>327</v>
      </c>
      <c r="E101" s="438" t="str">
        <f t="shared" si="15"/>
        <v/>
      </c>
      <c r="F101" s="431">
        <f t="shared" si="16"/>
        <v>0</v>
      </c>
      <c r="G101" s="660" t="s">
        <v>327</v>
      </c>
      <c r="H101" s="438" t="str">
        <f t="shared" si="17"/>
        <v/>
      </c>
      <c r="I101" s="658">
        <f t="shared" si="18"/>
        <v>0</v>
      </c>
      <c r="J101" s="154">
        <f t="shared" si="19"/>
        <v>93</v>
      </c>
      <c r="K101" s="139">
        <v>93</v>
      </c>
      <c r="L101" s="601" t="s">
        <v>877</v>
      </c>
      <c r="M101" s="139">
        <v>104</v>
      </c>
      <c r="N101" s="446">
        <f t="array" ref="N101">(IF(COUNT(V101,W101,AA101,AB101,AC101,AE101,AG101,AI101,AM101,AO101)&lt;7,SUM(V101,W101,AA101,AB101,AC101,AE101,AG101,AI101,AM101,AO101),SUM(LARGE((V101,W101,AA101,AB101,AC101,AE101,AG101,AI101,AM101,AO101),{1;2;3;4;5;6;7}))))+(IF(COUNT(X101,AD101,AF101,AH101,AJ101,AN101)&lt;5,SUM(X101,AD101,AF101,AH101,AJ101,AN101),SUM(LARGE((X101,AD101,AF101,AH101,AJ101,AN101),{1;2;3;4;5}))))+U101</f>
        <v>104</v>
      </c>
      <c r="O101" s="413"/>
      <c r="P101" s="405">
        <f t="array" ref="P101">IF(S101="n",((IF(COUNT(V101,W101,AA101,AB101,AC101,AE101,AG101,AI101,AM101,AO101)&lt;7,SUM(V101,W101,AA101,AB101,AC101,AE101,AG101,AI101,AM101,AO101),SUM(LARGE((V101,W101,AA101,AB101,AC101,AE101,AG101,AI101,AM101,AO101),{1;2;3;4;5;6;7}))))+(IF(COUNT(Y101,AD101,AF101,AH101,AK101,AN101)&lt;5,SUM(Y101,AD101,AF101,AH101,AK101,AN101),SUM(LARGE((Y101,AD101,AF101,AH101,AK101,AN101),{1;2;3;4;5}))))+U101),0)</f>
        <v>0</v>
      </c>
      <c r="Q101" s="661"/>
      <c r="R101" s="405">
        <f t="array" ref="R101">IF(T101="j",((IF(COUNT(V101,W101,AA101,AB101,AC101,AE101,AG101,AI101,AM101,AO101)&lt;7,SUM(V101,W101,AA101,AB101,AC101,AE101,AG101,AI101,AM101,AO101),SUM(LARGE((V101,W101,AA101,AB101,AC101,AE101,AG101,AI101,AM101,AO101),{1;2;3;4;5;6;7}))))+(IF(COUNT(Z101,AD101,AF101,AH101,AJ101,AN101)&lt;5,SUM(Z101,AD101,AF101,AH101,AJ101,AN101),SUM(LARGE((Z101,AD101,AF101,AH101,AJ101,AN101),{1;2;3;4;5}))))+U101),0)</f>
        <v>0</v>
      </c>
      <c r="S101" s="64"/>
      <c r="T101" s="64"/>
      <c r="U101" s="173"/>
      <c r="V101" s="141" t="s">
        <v>397</v>
      </c>
      <c r="W101" s="141" t="s">
        <v>397</v>
      </c>
      <c r="X101" s="141" t="s">
        <v>397</v>
      </c>
      <c r="Y101" s="614"/>
      <c r="Z101" s="611"/>
      <c r="AA101" s="141" t="s">
        <v>397</v>
      </c>
      <c r="AB101" s="15"/>
      <c r="AC101" s="15"/>
      <c r="AD101" s="15"/>
      <c r="AE101" s="15"/>
      <c r="AF101" s="15"/>
      <c r="AG101" s="15"/>
      <c r="AH101" s="15"/>
      <c r="AI101" s="15"/>
      <c r="AJ101" s="15"/>
      <c r="AK101" s="613"/>
      <c r="AL101" s="15"/>
      <c r="AM101" s="15"/>
      <c r="AN101" s="15">
        <v>104</v>
      </c>
      <c r="AO101" s="15"/>
      <c r="AP101" s="33">
        <f t="shared" si="20"/>
        <v>1</v>
      </c>
      <c r="AQ101" s="440">
        <f t="shared" si="21"/>
        <v>0</v>
      </c>
      <c r="AR101" s="441">
        <f t="shared" si="22"/>
        <v>0</v>
      </c>
      <c r="AS101" s="34">
        <f t="shared" si="23"/>
        <v>0</v>
      </c>
      <c r="AT101" s="4">
        <f t="shared" si="24"/>
        <v>3</v>
      </c>
      <c r="AU101" s="285">
        <f t="shared" si="25"/>
        <v>1</v>
      </c>
    </row>
    <row r="102" spans="1:47" x14ac:dyDescent="0.2">
      <c r="A102" s="59" t="s">
        <v>327</v>
      </c>
      <c r="B102" s="438" t="str">
        <f t="shared" si="26"/>
        <v/>
      </c>
      <c r="C102" s="432">
        <f t="shared" si="14"/>
        <v>0</v>
      </c>
      <c r="D102" s="61">
        <v>31</v>
      </c>
      <c r="E102" s="438">
        <f t="shared" si="15"/>
        <v>31</v>
      </c>
      <c r="F102" s="431">
        <f t="shared" si="16"/>
        <v>10097</v>
      </c>
      <c r="G102" s="660" t="s">
        <v>327</v>
      </c>
      <c r="H102" s="438" t="str">
        <f t="shared" si="17"/>
        <v/>
      </c>
      <c r="I102" s="658">
        <f t="shared" si="18"/>
        <v>0</v>
      </c>
      <c r="J102" s="154">
        <f t="shared" si="19"/>
        <v>94</v>
      </c>
      <c r="K102" s="139">
        <v>94</v>
      </c>
      <c r="L102" s="65" t="s">
        <v>89</v>
      </c>
      <c r="M102" s="139">
        <v>97</v>
      </c>
      <c r="N102" s="446">
        <f t="array" ref="N102">(IF(COUNT(V102,W102,AA102,AB102,AC102,AE102,AG102,AI102,AM102,AO102)&lt;7,SUM(V102,W102,AA102,AB102,AC102,AE102,AG102,AI102,AM102,AO102),SUM(LARGE((V102,W102,AA102,AB102,AC102,AE102,AG102,AI102,AM102,AO102),{1;2;3;4;5;6;7}))))+(IF(COUNT(X102,AD102,AF102,AH102,AJ102,AN102)&lt;5,SUM(X102,AD102,AF102,AH102,AJ102,AN102),SUM(LARGE((X102,AD102,AF102,AH102,AJ102,AN102),{1;2;3;4;5}))))+U102</f>
        <v>97</v>
      </c>
      <c r="O102" s="413">
        <v>97</v>
      </c>
      <c r="P102" s="405">
        <f t="array" ref="P102">IF(S102="n",((IF(COUNT(V102,W102,AA102,AB102,AC102,AE102,AG102,AI102,AM102,AO102)&lt;7,SUM(V102,W102,AA102,AB102,AC102,AE102,AG102,AI102,AM102,AO102),SUM(LARGE((V102,W102,AA102,AB102,AC102,AE102,AG102,AI102,AM102,AO102),{1;2;3;4;5;6;7}))))+(IF(COUNT(Y102,AD102,AF102,AH102,AK102,AN102)&lt;5,SUM(Y102,AD102,AF102,AH102,AK102,AN102),SUM(LARGE((Y102,AD102,AF102,AH102,AK102,AN102),{1;2;3;4;5}))))+U102),0)</f>
        <v>97</v>
      </c>
      <c r="Q102" s="661"/>
      <c r="R102" s="405">
        <f t="array" ref="R102">IF(T102="j",((IF(COUNT(V102,W102,AA102,AB102,AC102,AE102,AG102,AI102,AM102,AO102)&lt;7,SUM(V102,W102,AA102,AB102,AC102,AE102,AG102,AI102,AM102,AO102),SUM(LARGE((V102,W102,AA102,AB102,AC102,AE102,AG102,AI102,AM102,AO102),{1;2;3;4;5;6;7}))))+(IF(COUNT(Z102,AD102,AF102,AH102,AJ102,AN102)&lt;5,SUM(Z102,AD102,AF102,AH102,AJ102,AN102),SUM(LARGE((Z102,AD102,AF102,AH102,AJ102,AN102),{1;2;3;4;5}))))+U102),0)</f>
        <v>0</v>
      </c>
      <c r="S102" s="64" t="s">
        <v>35</v>
      </c>
      <c r="T102" s="64"/>
      <c r="U102" s="173">
        <v>1</v>
      </c>
      <c r="V102" s="141" t="s">
        <v>397</v>
      </c>
      <c r="W102" s="141" t="s">
        <v>397</v>
      </c>
      <c r="X102" s="141" t="s">
        <v>397</v>
      </c>
      <c r="Y102" s="614"/>
      <c r="Z102" s="611"/>
      <c r="AA102" s="141" t="s">
        <v>397</v>
      </c>
      <c r="AB102" s="15"/>
      <c r="AC102" s="15"/>
      <c r="AD102" s="15">
        <v>96</v>
      </c>
      <c r="AE102" s="15"/>
      <c r="AF102" s="15"/>
      <c r="AG102" s="15"/>
      <c r="AH102" s="15"/>
      <c r="AI102" s="15"/>
      <c r="AJ102" s="15"/>
      <c r="AK102" s="613"/>
      <c r="AL102" s="15"/>
      <c r="AM102" s="15"/>
      <c r="AN102" s="15"/>
      <c r="AO102" s="15"/>
      <c r="AP102" s="33">
        <f t="shared" si="20"/>
        <v>1</v>
      </c>
      <c r="AQ102" s="440">
        <f t="shared" si="21"/>
        <v>0</v>
      </c>
      <c r="AR102" s="441">
        <f t="shared" si="22"/>
        <v>0</v>
      </c>
      <c r="AS102" s="34">
        <f t="shared" si="23"/>
        <v>0</v>
      </c>
      <c r="AT102" s="4">
        <f t="shared" si="24"/>
        <v>3</v>
      </c>
      <c r="AU102" s="285">
        <f t="shared" si="25"/>
        <v>1</v>
      </c>
    </row>
    <row r="103" spans="1:47" x14ac:dyDescent="0.2">
      <c r="A103" s="59">
        <v>64</v>
      </c>
      <c r="B103" s="438">
        <f t="shared" si="26"/>
        <v>64</v>
      </c>
      <c r="C103" s="432">
        <f t="shared" si="14"/>
        <v>10095</v>
      </c>
      <c r="D103" s="61" t="s">
        <v>327</v>
      </c>
      <c r="E103" s="438" t="str">
        <f t="shared" si="15"/>
        <v/>
      </c>
      <c r="F103" s="431">
        <f t="shared" si="16"/>
        <v>0</v>
      </c>
      <c r="G103" s="660">
        <v>9</v>
      </c>
      <c r="H103" s="438">
        <f t="shared" si="17"/>
        <v>9</v>
      </c>
      <c r="I103" s="658">
        <f t="shared" si="18"/>
        <v>10095</v>
      </c>
      <c r="J103" s="154">
        <f t="shared" si="19"/>
        <v>95</v>
      </c>
      <c r="K103" s="139">
        <v>95</v>
      </c>
      <c r="L103" s="166" t="s">
        <v>532</v>
      </c>
      <c r="M103" s="139">
        <v>95</v>
      </c>
      <c r="N103" s="446">
        <f t="array" ref="N103">(IF(COUNT(V103,W103,AA103,AB103,AC103,AE103,AG103,AI103,AM103,AO103)&lt;7,SUM(V103,W103,AA103,AB103,AC103,AE103,AG103,AI103,AM103,AO103),SUM(LARGE((V103,W103,AA103,AB103,AC103,AE103,AG103,AI103,AM103,AO103),{1;2;3;4;5;6;7}))))+(IF(COUNT(X103,AD103,AF103,AH103,AJ103,AN103)&lt;5,SUM(X103,AD103,AF103,AH103,AJ103,AN103),SUM(LARGE((X103,AD103,AF103,AH103,AJ103,AN103),{1;2;3;4;5}))))+U103</f>
        <v>95</v>
      </c>
      <c r="O103" s="413"/>
      <c r="P103" s="405">
        <f t="array" ref="P103">IF(S103="n",((IF(COUNT(V103,W103,AA103,AB103,AC103,AE103,AG103,AI103,AM103,AO103)&lt;7,SUM(V103,W103,AA103,AB103,AC103,AE103,AG103,AI103,AM103,AO103),SUM(LARGE((V103,W103,AA103,AB103,AC103,AE103,AG103,AI103,AM103,AO103),{1;2;3;4;5;6;7}))))+(IF(COUNT(Y103,AD103,AF103,AH103,AK103,AN103)&lt;5,SUM(Y103,AD103,AF103,AH103,AK103,AN103),SUM(LARGE((Y103,AD103,AF103,AH103,AK103,AN103),{1;2;3;4;5}))))+U103),0)</f>
        <v>0</v>
      </c>
      <c r="Q103" s="661">
        <v>95</v>
      </c>
      <c r="R103" s="405">
        <f t="array" ref="R103">IF(T103="j",((IF(COUNT(V103,W103,AA103,AB103,AC103,AE103,AG103,AI103,AM103,AO103)&lt;7,SUM(V103,W103,AA103,AB103,AC103,AE103,AG103,AI103,AM103,AO103),SUM(LARGE((V103,W103,AA103,AB103,AC103,AE103,AG103,AI103,AM103,AO103),{1;2;3;4;5;6;7}))))+(IF(COUNT(Z103,AD103,AF103,AH103,AJ103,AN103)&lt;5,SUM(Z103,AD103,AF103,AH103,AJ103,AN103),SUM(LARGE((Z103,AD103,AF103,AH103,AJ103,AN103),{1;2;3;4;5}))))+U103),0)</f>
        <v>95</v>
      </c>
      <c r="S103" s="64"/>
      <c r="T103" s="64" t="s">
        <v>50</v>
      </c>
      <c r="U103" s="173"/>
      <c r="V103" s="141" t="s">
        <v>397</v>
      </c>
      <c r="W103" s="141" t="s">
        <v>397</v>
      </c>
      <c r="X103" s="141" t="s">
        <v>397</v>
      </c>
      <c r="Y103" s="614"/>
      <c r="Z103" s="611"/>
      <c r="AA103" s="141" t="s">
        <v>397</v>
      </c>
      <c r="AB103" s="15"/>
      <c r="AC103" s="15">
        <v>46</v>
      </c>
      <c r="AD103" s="15"/>
      <c r="AE103" s="15"/>
      <c r="AF103" s="15"/>
      <c r="AG103" s="15">
        <v>49</v>
      </c>
      <c r="AH103" s="15"/>
      <c r="AI103" s="15"/>
      <c r="AJ103" s="15"/>
      <c r="AK103" s="613"/>
      <c r="AL103" s="15"/>
      <c r="AM103" s="15"/>
      <c r="AN103" s="15"/>
      <c r="AO103" s="15"/>
      <c r="AP103" s="33">
        <f t="shared" si="20"/>
        <v>2</v>
      </c>
      <c r="AQ103" s="440">
        <f t="shared" si="21"/>
        <v>0</v>
      </c>
      <c r="AR103" s="441">
        <f t="shared" si="22"/>
        <v>0</v>
      </c>
      <c r="AS103" s="34">
        <f t="shared" si="23"/>
        <v>0</v>
      </c>
      <c r="AT103" s="4">
        <f t="shared" si="24"/>
        <v>3</v>
      </c>
      <c r="AU103" s="285">
        <f t="shared" si="25"/>
        <v>1</v>
      </c>
    </row>
    <row r="104" spans="1:47" x14ac:dyDescent="0.2">
      <c r="A104" s="59">
        <v>64</v>
      </c>
      <c r="B104" s="438">
        <f t="shared" si="26"/>
        <v>64</v>
      </c>
      <c r="C104" s="432">
        <f t="shared" si="14"/>
        <v>10095</v>
      </c>
      <c r="D104" s="61" t="s">
        <v>327</v>
      </c>
      <c r="E104" s="438" t="str">
        <f t="shared" si="15"/>
        <v/>
      </c>
      <c r="F104" s="431">
        <f t="shared" si="16"/>
        <v>0</v>
      </c>
      <c r="G104" s="660" t="s">
        <v>327</v>
      </c>
      <c r="H104" s="438" t="str">
        <f t="shared" si="17"/>
        <v/>
      </c>
      <c r="I104" s="658">
        <f t="shared" si="18"/>
        <v>0</v>
      </c>
      <c r="J104" s="154">
        <f t="shared" si="19"/>
        <v>95</v>
      </c>
      <c r="K104" s="139">
        <v>95</v>
      </c>
      <c r="L104" s="601" t="s">
        <v>535</v>
      </c>
      <c r="M104" s="139">
        <v>95</v>
      </c>
      <c r="N104" s="446">
        <f t="array" ref="N104">(IF(COUNT(V104,W104,AA104,AB104,AC104,AE104,AG104,AI104,AM104,AO104)&lt;7,SUM(V104,W104,AA104,AB104,AC104,AE104,AG104,AI104,AM104,AO104),SUM(LARGE((V104,W104,AA104,AB104,AC104,AE104,AG104,AI104,AM104,AO104),{1;2;3;4;5;6;7}))))+(IF(COUNT(X104,AD104,AF104,AH104,AJ104,AN104)&lt;5,SUM(X104,AD104,AF104,AH104,AJ104,AN104),SUM(LARGE((X104,AD104,AF104,AH104,AJ104,AN104),{1;2;3;4;5}))))+U104</f>
        <v>95</v>
      </c>
      <c r="O104" s="413"/>
      <c r="P104" s="405">
        <f t="array" ref="P104">IF(S104="n",((IF(COUNT(V104,W104,AA104,AB104,AC104,AE104,AG104,AI104,AM104,AO104)&lt;7,SUM(V104,W104,AA104,AB104,AC104,AE104,AG104,AI104,AM104,AO104),SUM(LARGE((V104,W104,AA104,AB104,AC104,AE104,AG104,AI104,AM104,AO104),{1;2;3;4;5;6;7}))))+(IF(COUNT(Y104,AD104,AF104,AH104,AK104,AN104)&lt;5,SUM(Y104,AD104,AF104,AH104,AK104,AN104),SUM(LARGE((Y104,AD104,AF104,AH104,AK104,AN104),{1;2;3;4;5}))))+U104),0)</f>
        <v>0</v>
      </c>
      <c r="Q104" s="661"/>
      <c r="R104" s="405">
        <f t="array" ref="R104">IF(T104="j",((IF(COUNT(V104,W104,AA104,AB104,AC104,AE104,AG104,AI104,AM104,AO104)&lt;7,SUM(V104,W104,AA104,AB104,AC104,AE104,AG104,AI104,AM104,AO104),SUM(LARGE((V104,W104,AA104,AB104,AC104,AE104,AG104,AI104,AM104,AO104),{1;2;3;4;5;6;7}))))+(IF(COUNT(Z104,AD104,AF104,AH104,AJ104,AN104)&lt;5,SUM(Z104,AD104,AF104,AH104,AJ104,AN104),SUM(LARGE((Z104,AD104,AF104,AH104,AJ104,AN104),{1;2;3;4;5}))))+U104),0)</f>
        <v>0</v>
      </c>
      <c r="S104" s="64"/>
      <c r="T104" s="64"/>
      <c r="U104" s="173"/>
      <c r="V104" s="141" t="s">
        <v>397</v>
      </c>
      <c r="W104" s="141" t="s">
        <v>397</v>
      </c>
      <c r="X104" s="141" t="s">
        <v>397</v>
      </c>
      <c r="Y104" s="614"/>
      <c r="Z104" s="611"/>
      <c r="AA104" s="141" t="s">
        <v>397</v>
      </c>
      <c r="AB104" s="15"/>
      <c r="AC104" s="15">
        <v>46</v>
      </c>
      <c r="AD104" s="15"/>
      <c r="AE104" s="15"/>
      <c r="AF104" s="15"/>
      <c r="AG104" s="15">
        <v>49</v>
      </c>
      <c r="AH104" s="15"/>
      <c r="AI104" s="15"/>
      <c r="AJ104" s="15"/>
      <c r="AK104" s="613"/>
      <c r="AL104" s="15"/>
      <c r="AM104" s="15"/>
      <c r="AN104" s="15"/>
      <c r="AO104" s="15"/>
      <c r="AP104" s="33">
        <f t="shared" si="20"/>
        <v>2</v>
      </c>
      <c r="AQ104" s="440">
        <f t="shared" si="21"/>
        <v>0</v>
      </c>
      <c r="AR104" s="441">
        <f t="shared" si="22"/>
        <v>0</v>
      </c>
      <c r="AS104" s="34">
        <f t="shared" si="23"/>
        <v>0</v>
      </c>
      <c r="AT104" s="4">
        <f t="shared" si="24"/>
        <v>3</v>
      </c>
      <c r="AU104" s="285">
        <f t="shared" si="25"/>
        <v>1</v>
      </c>
    </row>
    <row r="105" spans="1:47" x14ac:dyDescent="0.2">
      <c r="A105" s="59">
        <v>66</v>
      </c>
      <c r="B105" s="438">
        <f t="shared" si="26"/>
        <v>66</v>
      </c>
      <c r="C105" s="432">
        <f t="shared" si="14"/>
        <v>10093</v>
      </c>
      <c r="D105" s="61" t="s">
        <v>327</v>
      </c>
      <c r="E105" s="438" t="str">
        <f t="shared" si="15"/>
        <v/>
      </c>
      <c r="F105" s="431">
        <f t="shared" si="16"/>
        <v>0</v>
      </c>
      <c r="G105" s="660" t="s">
        <v>327</v>
      </c>
      <c r="H105" s="438" t="str">
        <f t="shared" si="17"/>
        <v/>
      </c>
      <c r="I105" s="658">
        <f t="shared" si="18"/>
        <v>0</v>
      </c>
      <c r="J105" s="154">
        <f t="shared" si="19"/>
        <v>97</v>
      </c>
      <c r="K105" s="139">
        <v>97</v>
      </c>
      <c r="L105" s="601" t="s">
        <v>100</v>
      </c>
      <c r="M105" s="139">
        <v>93</v>
      </c>
      <c r="N105" s="446">
        <f t="array" ref="N105">(IF(COUNT(V105,W105,AA105,AB105,AC105,AE105,AG105,AI105,AM105,AO105)&lt;7,SUM(V105,W105,AA105,AB105,AC105,AE105,AG105,AI105,AM105,AO105),SUM(LARGE((V105,W105,AA105,AB105,AC105,AE105,AG105,AI105,AM105,AO105),{1;2;3;4;5;6;7}))))+(IF(COUNT(X105,AD105,AF105,AH105,AJ105,AN105)&lt;5,SUM(X105,AD105,AF105,AH105,AJ105,AN105),SUM(LARGE((X105,AD105,AF105,AH105,AJ105,AN105),{1;2;3;4;5}))))+U105</f>
        <v>93</v>
      </c>
      <c r="O105" s="413"/>
      <c r="P105" s="405">
        <f t="array" ref="P105">IF(S105="n",((IF(COUNT(V105,W105,AA105,AB105,AC105,AE105,AG105,AI105,AM105,AO105)&lt;7,SUM(V105,W105,AA105,AB105,AC105,AE105,AG105,AI105,AM105,AO105),SUM(LARGE((V105,W105,AA105,AB105,AC105,AE105,AG105,AI105,AM105,AO105),{1;2;3;4;5;6;7}))))+(IF(COUNT(Y105,AD105,AF105,AH105,AK105,AN105)&lt;5,SUM(Y105,AD105,AF105,AH105,AK105,AN105),SUM(LARGE((Y105,AD105,AF105,AH105,AK105,AN105),{1;2;3;4;5}))))+U105),0)</f>
        <v>0</v>
      </c>
      <c r="Q105" s="661"/>
      <c r="R105" s="405">
        <f t="array" ref="R105">IF(T105="j",((IF(COUNT(V105,W105,AA105,AB105,AC105,AE105,AG105,AI105,AM105,AO105)&lt;7,SUM(V105,W105,AA105,AB105,AC105,AE105,AG105,AI105,AM105,AO105),SUM(LARGE((V105,W105,AA105,AB105,AC105,AE105,AG105,AI105,AM105,AO105),{1;2;3;4;5;6;7}))))+(IF(COUNT(Z105,AD105,AF105,AH105,AJ105,AN105)&lt;5,SUM(Z105,AD105,AF105,AH105,AJ105,AN105),SUM(LARGE((Z105,AD105,AF105,AH105,AJ105,AN105),{1;2;3;4;5}))))+U105),0)</f>
        <v>0</v>
      </c>
      <c r="S105" s="64"/>
      <c r="T105" s="64"/>
      <c r="U105" s="173">
        <v>1</v>
      </c>
      <c r="V105" s="141" t="s">
        <v>397</v>
      </c>
      <c r="W105" s="141" t="s">
        <v>397</v>
      </c>
      <c r="X105" s="141" t="s">
        <v>397</v>
      </c>
      <c r="Y105" s="614"/>
      <c r="Z105" s="611"/>
      <c r="AA105" s="141" t="s">
        <v>397</v>
      </c>
      <c r="AB105" s="15"/>
      <c r="AC105" s="15"/>
      <c r="AD105" s="15"/>
      <c r="AE105" s="15"/>
      <c r="AF105" s="15"/>
      <c r="AG105" s="15">
        <v>52</v>
      </c>
      <c r="AH105" s="15"/>
      <c r="AI105" s="15"/>
      <c r="AJ105" s="15"/>
      <c r="AK105" s="613"/>
      <c r="AL105" s="15"/>
      <c r="AM105" s="15">
        <v>40</v>
      </c>
      <c r="AN105" s="15"/>
      <c r="AO105" s="15"/>
      <c r="AP105" s="33">
        <f t="shared" si="20"/>
        <v>2</v>
      </c>
      <c r="AQ105" s="440">
        <f t="shared" si="21"/>
        <v>0</v>
      </c>
      <c r="AR105" s="441">
        <f t="shared" si="22"/>
        <v>0</v>
      </c>
      <c r="AS105" s="34">
        <f t="shared" si="23"/>
        <v>0</v>
      </c>
      <c r="AT105" s="4">
        <f t="shared" si="24"/>
        <v>3</v>
      </c>
      <c r="AU105" s="285">
        <f t="shared" si="25"/>
        <v>1</v>
      </c>
    </row>
    <row r="106" spans="1:47" x14ac:dyDescent="0.2">
      <c r="A106" s="59">
        <v>67</v>
      </c>
      <c r="B106" s="438">
        <f t="shared" si="26"/>
        <v>67</v>
      </c>
      <c r="C106" s="432">
        <f t="shared" si="14"/>
        <v>10092</v>
      </c>
      <c r="D106" s="61" t="s">
        <v>327</v>
      </c>
      <c r="E106" s="438" t="str">
        <f t="shared" si="15"/>
        <v/>
      </c>
      <c r="F106" s="431">
        <f t="shared" si="16"/>
        <v>0</v>
      </c>
      <c r="G106" s="660" t="s">
        <v>327</v>
      </c>
      <c r="H106" s="438" t="str">
        <f t="shared" si="17"/>
        <v/>
      </c>
      <c r="I106" s="658">
        <f t="shared" si="18"/>
        <v>0</v>
      </c>
      <c r="J106" s="154">
        <f t="shared" si="19"/>
        <v>98</v>
      </c>
      <c r="K106" s="139">
        <v>98</v>
      </c>
      <c r="L106" s="601" t="s">
        <v>716</v>
      </c>
      <c r="M106" s="139">
        <v>92</v>
      </c>
      <c r="N106" s="446">
        <f t="array" ref="N106">(IF(COUNT(V106,W106,AA106,AB106,AC106,AE106,AG106,AI106,AM106,AO106)&lt;7,SUM(V106,W106,AA106,AB106,AC106,AE106,AG106,AI106,AM106,AO106),SUM(LARGE((V106,W106,AA106,AB106,AC106,AE106,AG106,AI106,AM106,AO106),{1;2;3;4;5;6;7}))))+(IF(COUNT(X106,AD106,AF106,AH106,AJ106,AN106)&lt;5,SUM(X106,AD106,AF106,AH106,AJ106,AN106),SUM(LARGE((X106,AD106,AF106,AH106,AJ106,AN106),{1;2;3;4;5}))))+U106</f>
        <v>92</v>
      </c>
      <c r="O106" s="413"/>
      <c r="P106" s="405">
        <f t="array" ref="P106">IF(S106="n",((IF(COUNT(V106,W106,AA106,AB106,AC106,AE106,AG106,AI106,AM106,AO106)&lt;7,SUM(V106,W106,AA106,AB106,AC106,AE106,AG106,AI106,AM106,AO106),SUM(LARGE((V106,W106,AA106,AB106,AC106,AE106,AG106,AI106,AM106,AO106),{1;2;3;4;5;6;7}))))+(IF(COUNT(Y106,AD106,AF106,AH106,AK106,AN106)&lt;5,SUM(Y106,AD106,AF106,AH106,AK106,AN106),SUM(LARGE((Y106,AD106,AF106,AH106,AK106,AN106),{1;2;3;4;5}))))+U106),0)</f>
        <v>0</v>
      </c>
      <c r="Q106" s="661"/>
      <c r="R106" s="405">
        <f t="array" ref="R106">IF(T106="j",((IF(COUNT(V106,W106,AA106,AB106,AC106,AE106,AG106,AI106,AM106,AO106)&lt;7,SUM(V106,W106,AA106,AB106,AC106,AE106,AG106,AI106,AM106,AO106),SUM(LARGE((V106,W106,AA106,AB106,AC106,AE106,AG106,AI106,AM106,AO106),{1;2;3;4;5;6;7}))))+(IF(COUNT(Z106,AD106,AF106,AH106,AJ106,AN106)&lt;5,SUM(Z106,AD106,AF106,AH106,AJ106,AN106),SUM(LARGE((Z106,AD106,AF106,AH106,AJ106,AN106),{1;2;3;4;5}))))+U106),0)</f>
        <v>0</v>
      </c>
      <c r="S106" s="64"/>
      <c r="T106" s="64"/>
      <c r="U106" s="173"/>
      <c r="V106" s="141" t="s">
        <v>397</v>
      </c>
      <c r="W106" s="141" t="s">
        <v>397</v>
      </c>
      <c r="X106" s="141" t="s">
        <v>397</v>
      </c>
      <c r="Y106" s="614"/>
      <c r="Z106" s="611"/>
      <c r="AA106" s="141" t="s">
        <v>397</v>
      </c>
      <c r="AB106" s="15"/>
      <c r="AC106" s="15"/>
      <c r="AD106" s="15"/>
      <c r="AE106" s="15"/>
      <c r="AF106" s="15"/>
      <c r="AG106" s="15">
        <v>64</v>
      </c>
      <c r="AH106" s="15"/>
      <c r="AI106" s="15"/>
      <c r="AJ106" s="15"/>
      <c r="AK106" s="613"/>
      <c r="AL106" s="15"/>
      <c r="AM106" s="15">
        <v>28</v>
      </c>
      <c r="AN106" s="15"/>
      <c r="AO106" s="15"/>
      <c r="AP106" s="33">
        <f t="shared" si="20"/>
        <v>2</v>
      </c>
      <c r="AQ106" s="440">
        <f t="shared" si="21"/>
        <v>0</v>
      </c>
      <c r="AR106" s="441">
        <f t="shared" si="22"/>
        <v>0</v>
      </c>
      <c r="AS106" s="34">
        <f t="shared" si="23"/>
        <v>0</v>
      </c>
      <c r="AT106" s="4">
        <f t="shared" si="24"/>
        <v>3</v>
      </c>
      <c r="AU106" s="285">
        <f t="shared" si="25"/>
        <v>1</v>
      </c>
    </row>
    <row r="107" spans="1:47" x14ac:dyDescent="0.2">
      <c r="A107" s="59">
        <v>68</v>
      </c>
      <c r="B107" s="438">
        <f t="shared" si="26"/>
        <v>68</v>
      </c>
      <c r="C107" s="432">
        <f t="shared" si="14"/>
        <v>10091</v>
      </c>
      <c r="D107" s="61" t="s">
        <v>327</v>
      </c>
      <c r="E107" s="438" t="str">
        <f t="shared" si="15"/>
        <v/>
      </c>
      <c r="F107" s="431">
        <f t="shared" si="16"/>
        <v>0</v>
      </c>
      <c r="G107" s="660" t="s">
        <v>327</v>
      </c>
      <c r="H107" s="438" t="str">
        <f t="shared" si="17"/>
        <v/>
      </c>
      <c r="I107" s="658">
        <f t="shared" si="18"/>
        <v>0</v>
      </c>
      <c r="J107" s="154">
        <f t="shared" si="19"/>
        <v>99</v>
      </c>
      <c r="K107" s="139">
        <v>99</v>
      </c>
      <c r="L107" s="601" t="s">
        <v>712</v>
      </c>
      <c r="M107" s="139">
        <v>91</v>
      </c>
      <c r="N107" s="446">
        <f t="array" ref="N107">(IF(COUNT(V107,W107,AA107,AB107,AC107,AE107,AG107,AI107,AM107,AO107)&lt;7,SUM(V107,W107,AA107,AB107,AC107,AE107,AG107,AI107,AM107,AO107),SUM(LARGE((V107,W107,AA107,AB107,AC107,AE107,AG107,AI107,AM107,AO107),{1;2;3;4;5;6;7}))))+(IF(COUNT(X107,AD107,AF107,AH107,AJ107,AN107)&lt;5,SUM(X107,AD107,AF107,AH107,AJ107,AN107),SUM(LARGE((X107,AD107,AF107,AH107,AJ107,AN107),{1;2;3;4;5}))))+U107</f>
        <v>91</v>
      </c>
      <c r="O107" s="413"/>
      <c r="P107" s="405">
        <f t="array" ref="P107">IF(S107="n",((IF(COUNT(V107,W107,AA107,AB107,AC107,AE107,AG107,AI107,AM107,AO107)&lt;7,SUM(V107,W107,AA107,AB107,AC107,AE107,AG107,AI107,AM107,AO107),SUM(LARGE((V107,W107,AA107,AB107,AC107,AE107,AG107,AI107,AM107,AO107),{1;2;3;4;5;6;7}))))+(IF(COUNT(Y107,AD107,AF107,AH107,AK107,AN107)&lt;5,SUM(Y107,AD107,AF107,AH107,AK107,AN107),SUM(LARGE((Y107,AD107,AF107,AH107,AK107,AN107),{1;2;3;4;5}))))+U107),0)</f>
        <v>0</v>
      </c>
      <c r="Q107" s="661"/>
      <c r="R107" s="405">
        <f t="array" ref="R107">IF(T107="j",((IF(COUNT(V107,W107,AA107,AB107,AC107,AE107,AG107,AI107,AM107,AO107)&lt;7,SUM(V107,W107,AA107,AB107,AC107,AE107,AG107,AI107,AM107,AO107),SUM(LARGE((V107,W107,AA107,AB107,AC107,AE107,AG107,AI107,AM107,AO107),{1;2;3;4;5;6;7}))))+(IF(COUNT(Z107,AD107,AF107,AH107,AJ107,AN107)&lt;5,SUM(Z107,AD107,AF107,AH107,AJ107,AN107),SUM(LARGE((Z107,AD107,AF107,AH107,AJ107,AN107),{1;2;3;4;5}))))+U107),0)</f>
        <v>0</v>
      </c>
      <c r="S107" s="64"/>
      <c r="T107" s="64"/>
      <c r="U107" s="173"/>
      <c r="V107" s="141" t="s">
        <v>397</v>
      </c>
      <c r="W107" s="141" t="s">
        <v>397</v>
      </c>
      <c r="X107" s="141" t="s">
        <v>397</v>
      </c>
      <c r="Y107" s="614"/>
      <c r="Z107" s="611"/>
      <c r="AA107" s="141" t="s">
        <v>397</v>
      </c>
      <c r="AB107" s="15"/>
      <c r="AC107" s="15"/>
      <c r="AD107" s="15"/>
      <c r="AE107" s="15"/>
      <c r="AF107" s="15"/>
      <c r="AG107" s="15">
        <v>60</v>
      </c>
      <c r="AH107" s="15"/>
      <c r="AI107" s="15"/>
      <c r="AJ107" s="15"/>
      <c r="AK107" s="613"/>
      <c r="AL107" s="15"/>
      <c r="AM107" s="15">
        <v>31</v>
      </c>
      <c r="AN107" s="15"/>
      <c r="AO107" s="15"/>
      <c r="AP107" s="33">
        <f t="shared" si="20"/>
        <v>2</v>
      </c>
      <c r="AQ107" s="440">
        <f t="shared" si="21"/>
        <v>0</v>
      </c>
      <c r="AR107" s="441">
        <f t="shared" si="22"/>
        <v>0</v>
      </c>
      <c r="AS107" s="34">
        <f t="shared" si="23"/>
        <v>0</v>
      </c>
      <c r="AT107" s="4">
        <f t="shared" si="24"/>
        <v>3</v>
      </c>
      <c r="AU107" s="285">
        <f t="shared" si="25"/>
        <v>1</v>
      </c>
    </row>
    <row r="108" spans="1:47" x14ac:dyDescent="0.2">
      <c r="A108" s="59">
        <v>68</v>
      </c>
      <c r="B108" s="438">
        <f t="shared" si="26"/>
        <v>68</v>
      </c>
      <c r="C108" s="432">
        <f t="shared" si="14"/>
        <v>10091</v>
      </c>
      <c r="D108" s="61" t="s">
        <v>327</v>
      </c>
      <c r="E108" s="438" t="str">
        <f t="shared" si="15"/>
        <v/>
      </c>
      <c r="F108" s="431">
        <f t="shared" si="16"/>
        <v>0</v>
      </c>
      <c r="G108" s="660" t="s">
        <v>327</v>
      </c>
      <c r="H108" s="438" t="str">
        <f t="shared" si="17"/>
        <v/>
      </c>
      <c r="I108" s="658">
        <f t="shared" si="18"/>
        <v>0</v>
      </c>
      <c r="J108" s="154">
        <f t="shared" si="19"/>
        <v>99</v>
      </c>
      <c r="K108" s="139">
        <v>99</v>
      </c>
      <c r="L108" s="601" t="s">
        <v>714</v>
      </c>
      <c r="M108" s="139">
        <v>91</v>
      </c>
      <c r="N108" s="446">
        <f t="array" ref="N108">(IF(COUNT(V108,W108,AA108,AB108,AC108,AE108,AG108,AI108,AM108,AO108)&lt;7,SUM(V108,W108,AA108,AB108,AC108,AE108,AG108,AI108,AM108,AO108),SUM(LARGE((V108,W108,AA108,AB108,AC108,AE108,AG108,AI108,AM108,AO108),{1;2;3;4;5;6;7}))))+(IF(COUNT(X108,AD108,AF108,AH108,AJ108,AN108)&lt;5,SUM(X108,AD108,AF108,AH108,AJ108,AN108),SUM(LARGE((X108,AD108,AF108,AH108,AJ108,AN108),{1;2;3;4;5}))))+U108</f>
        <v>91</v>
      </c>
      <c r="O108" s="413"/>
      <c r="P108" s="405">
        <f t="array" ref="P108">IF(S108="n",((IF(COUNT(V108,W108,AA108,AB108,AC108,AE108,AG108,AI108,AM108,AO108)&lt;7,SUM(V108,W108,AA108,AB108,AC108,AE108,AG108,AI108,AM108,AO108),SUM(LARGE((V108,W108,AA108,AB108,AC108,AE108,AG108,AI108,AM108,AO108),{1;2;3;4;5;6;7}))))+(IF(COUNT(Y108,AD108,AF108,AH108,AK108,AN108)&lt;5,SUM(Y108,AD108,AF108,AH108,AK108,AN108),SUM(LARGE((Y108,AD108,AF108,AH108,AK108,AN108),{1;2;3;4;5}))))+U108),0)</f>
        <v>0</v>
      </c>
      <c r="Q108" s="661"/>
      <c r="R108" s="405">
        <f t="array" ref="R108">IF(T108="j",((IF(COUNT(V108,W108,AA108,AB108,AC108,AE108,AG108,AI108,AM108,AO108)&lt;7,SUM(V108,W108,AA108,AB108,AC108,AE108,AG108,AI108,AM108,AO108),SUM(LARGE((V108,W108,AA108,AB108,AC108,AE108,AG108,AI108,AM108,AO108),{1;2;3;4;5;6;7}))))+(IF(COUNT(Z108,AD108,AF108,AH108,AJ108,AN108)&lt;5,SUM(Z108,AD108,AF108,AH108,AJ108,AN108),SUM(LARGE((Z108,AD108,AF108,AH108,AJ108,AN108),{1;2;3;4;5}))))+U108),0)</f>
        <v>0</v>
      </c>
      <c r="S108" s="64"/>
      <c r="T108" s="64"/>
      <c r="U108" s="173"/>
      <c r="V108" s="141" t="s">
        <v>397</v>
      </c>
      <c r="W108" s="141" t="s">
        <v>397</v>
      </c>
      <c r="X108" s="141" t="s">
        <v>397</v>
      </c>
      <c r="Y108" s="614"/>
      <c r="Z108" s="611"/>
      <c r="AA108" s="141" t="s">
        <v>397</v>
      </c>
      <c r="AB108" s="15"/>
      <c r="AC108" s="15"/>
      <c r="AD108" s="15"/>
      <c r="AE108" s="15"/>
      <c r="AF108" s="15"/>
      <c r="AG108" s="15">
        <v>60</v>
      </c>
      <c r="AH108" s="15"/>
      <c r="AI108" s="15"/>
      <c r="AJ108" s="15"/>
      <c r="AK108" s="613"/>
      <c r="AL108" s="15"/>
      <c r="AM108" s="15">
        <v>31</v>
      </c>
      <c r="AN108" s="15"/>
      <c r="AO108" s="15"/>
      <c r="AP108" s="33">
        <f t="shared" si="20"/>
        <v>2</v>
      </c>
      <c r="AQ108" s="440">
        <f t="shared" si="21"/>
        <v>0</v>
      </c>
      <c r="AR108" s="441">
        <f t="shared" si="22"/>
        <v>0</v>
      </c>
      <c r="AS108" s="34">
        <f t="shared" si="23"/>
        <v>0</v>
      </c>
      <c r="AT108" s="4">
        <f t="shared" si="24"/>
        <v>3</v>
      </c>
      <c r="AU108" s="285">
        <f t="shared" si="25"/>
        <v>1</v>
      </c>
    </row>
    <row r="109" spans="1:47" x14ac:dyDescent="0.2">
      <c r="A109" s="59" t="s">
        <v>327</v>
      </c>
      <c r="B109" s="438" t="str">
        <f t="shared" si="26"/>
        <v/>
      </c>
      <c r="C109" s="432">
        <f t="shared" si="14"/>
        <v>0</v>
      </c>
      <c r="D109" s="61">
        <v>32</v>
      </c>
      <c r="E109" s="438">
        <f t="shared" si="15"/>
        <v>32</v>
      </c>
      <c r="F109" s="431">
        <f t="shared" si="16"/>
        <v>10090</v>
      </c>
      <c r="G109" s="660" t="s">
        <v>327</v>
      </c>
      <c r="H109" s="438" t="str">
        <f t="shared" si="17"/>
        <v/>
      </c>
      <c r="I109" s="658">
        <f t="shared" si="18"/>
        <v>0</v>
      </c>
      <c r="J109" s="154">
        <f t="shared" si="19"/>
        <v>101</v>
      </c>
      <c r="K109" s="139">
        <v>101</v>
      </c>
      <c r="L109" s="65" t="s">
        <v>742</v>
      </c>
      <c r="M109" s="139">
        <v>90</v>
      </c>
      <c r="N109" s="446">
        <f t="array" ref="N109">(IF(COUNT(V109,W109,AA109,AB109,AC109,AE109,AG109,AI109,AM109,AO109)&lt;7,SUM(V109,W109,AA109,AB109,AC109,AE109,AG109,AI109,AM109,AO109),SUM(LARGE((V109,W109,AA109,AB109,AC109,AE109,AG109,AI109,AM109,AO109),{1;2;3;4;5;6;7}))))+(IF(COUNT(X109,AD109,AF109,AH109,AJ109,AN109)&lt;5,SUM(X109,AD109,AF109,AH109,AJ109,AN109),SUM(LARGE((X109,AD109,AF109,AH109,AJ109,AN109),{1;2;3;4;5}))))+U109</f>
        <v>90</v>
      </c>
      <c r="O109" s="413">
        <v>90</v>
      </c>
      <c r="P109" s="405">
        <f t="array" ref="P109">IF(S109="n",((IF(COUNT(V109,W109,AA109,AB109,AC109,AE109,AG109,AI109,AM109,AO109)&lt;7,SUM(V109,W109,AA109,AB109,AC109,AE109,AG109,AI109,AM109,AO109),SUM(LARGE((V109,W109,AA109,AB109,AC109,AE109,AG109,AI109,AM109,AO109),{1;2;3;4;5;6;7}))))+(IF(COUNT(Y109,AD109,AF109,AH109,AK109,AN109)&lt;5,SUM(Y109,AD109,AF109,AH109,AK109,AN109),SUM(LARGE((Y109,AD109,AF109,AH109,AK109,AN109),{1;2;3;4;5}))))+U109),0)</f>
        <v>90</v>
      </c>
      <c r="Q109" s="661"/>
      <c r="R109" s="405">
        <f t="array" ref="R109">IF(T109="j",((IF(COUNT(V109,W109,AA109,AB109,AC109,AE109,AG109,AI109,AM109,AO109)&lt;7,SUM(V109,W109,AA109,AB109,AC109,AE109,AG109,AI109,AM109,AO109),SUM(LARGE((V109,W109,AA109,AB109,AC109,AE109,AG109,AI109,AM109,AO109),{1;2;3;4;5;6;7}))))+(IF(COUNT(Z109,AD109,AF109,AH109,AJ109,AN109)&lt;5,SUM(Z109,AD109,AF109,AH109,AJ109,AN109),SUM(LARGE((Z109,AD109,AF109,AH109,AJ109,AN109),{1;2;3;4;5}))))+U109),0)</f>
        <v>0</v>
      </c>
      <c r="S109" s="64" t="s">
        <v>35</v>
      </c>
      <c r="T109" s="64"/>
      <c r="U109" s="173"/>
      <c r="V109" s="141" t="s">
        <v>397</v>
      </c>
      <c r="W109" s="141" t="s">
        <v>397</v>
      </c>
      <c r="X109" s="141" t="s">
        <v>397</v>
      </c>
      <c r="Y109" s="614"/>
      <c r="Z109" s="611"/>
      <c r="AA109" s="141" t="s">
        <v>397</v>
      </c>
      <c r="AB109" s="15"/>
      <c r="AC109" s="15"/>
      <c r="AD109" s="15"/>
      <c r="AE109" s="15"/>
      <c r="AF109" s="15"/>
      <c r="AG109" s="15">
        <v>90</v>
      </c>
      <c r="AH109" s="15"/>
      <c r="AI109" s="15"/>
      <c r="AJ109" s="15"/>
      <c r="AK109" s="613"/>
      <c r="AL109" s="15"/>
      <c r="AM109" s="15"/>
      <c r="AN109" s="15"/>
      <c r="AO109" s="15"/>
      <c r="AP109" s="33">
        <f t="shared" si="20"/>
        <v>1</v>
      </c>
      <c r="AQ109" s="440">
        <f t="shared" si="21"/>
        <v>0</v>
      </c>
      <c r="AR109" s="441">
        <f t="shared" si="22"/>
        <v>0</v>
      </c>
      <c r="AS109" s="34">
        <f t="shared" si="23"/>
        <v>0</v>
      </c>
      <c r="AT109" s="4">
        <f t="shared" si="24"/>
        <v>3</v>
      </c>
      <c r="AU109" s="285">
        <f t="shared" si="25"/>
        <v>1</v>
      </c>
    </row>
    <row r="110" spans="1:47" x14ac:dyDescent="0.2">
      <c r="A110" s="59">
        <v>70</v>
      </c>
      <c r="B110" s="438">
        <f t="shared" si="26"/>
        <v>70</v>
      </c>
      <c r="C110" s="432">
        <f t="shared" si="14"/>
        <v>10088</v>
      </c>
      <c r="D110" s="61" t="s">
        <v>327</v>
      </c>
      <c r="E110" s="438" t="str">
        <f t="shared" si="15"/>
        <v/>
      </c>
      <c r="F110" s="431">
        <f t="shared" si="16"/>
        <v>0</v>
      </c>
      <c r="G110" s="660" t="s">
        <v>327</v>
      </c>
      <c r="H110" s="438" t="str">
        <f t="shared" si="17"/>
        <v/>
      </c>
      <c r="I110" s="658">
        <f t="shared" si="18"/>
        <v>0</v>
      </c>
      <c r="J110" s="154">
        <f t="shared" si="19"/>
        <v>102</v>
      </c>
      <c r="K110" s="139">
        <v>102</v>
      </c>
      <c r="L110" s="601" t="s">
        <v>96</v>
      </c>
      <c r="M110" s="139">
        <v>88</v>
      </c>
      <c r="N110" s="446">
        <f t="array" ref="N110">(IF(COUNT(V110,W110,AA110,AB110,AC110,AE110,AG110,AI110,AM110,AO110)&lt;7,SUM(V110,W110,AA110,AB110,AC110,AE110,AG110,AI110,AM110,AO110),SUM(LARGE((V110,W110,AA110,AB110,AC110,AE110,AG110,AI110,AM110,AO110),{1;2;3;4;5;6;7}))))+(IF(COUNT(X110,AD110,AF110,AH110,AJ110,AN110)&lt;5,SUM(X110,AD110,AF110,AH110,AJ110,AN110),SUM(LARGE((X110,AD110,AF110,AH110,AJ110,AN110),{1;2;3;4;5}))))+U110</f>
        <v>88</v>
      </c>
      <c r="O110" s="413"/>
      <c r="P110" s="405">
        <f t="array" ref="P110">IF(S110="n",((IF(COUNT(V110,W110,AA110,AB110,AC110,AE110,AG110,AI110,AM110,AO110)&lt;7,SUM(V110,W110,AA110,AB110,AC110,AE110,AG110,AI110,AM110,AO110),SUM(LARGE((V110,W110,AA110,AB110,AC110,AE110,AG110,AI110,AM110,AO110),{1;2;3;4;5;6;7}))))+(IF(COUNT(Y110,AD110,AF110,AH110,AK110,AN110)&lt;5,SUM(Y110,AD110,AF110,AH110,AK110,AN110),SUM(LARGE((Y110,AD110,AF110,AH110,AK110,AN110),{1;2;3;4;5}))))+U110),0)</f>
        <v>0</v>
      </c>
      <c r="Q110" s="661"/>
      <c r="R110" s="405">
        <f t="array" ref="R110">IF(T110="j",((IF(COUNT(V110,W110,AA110,AB110,AC110,AE110,AG110,AI110,AM110,AO110)&lt;7,SUM(V110,W110,AA110,AB110,AC110,AE110,AG110,AI110,AM110,AO110),SUM(LARGE((V110,W110,AA110,AB110,AC110,AE110,AG110,AI110,AM110,AO110),{1;2;3;4;5;6;7}))))+(IF(COUNT(Z110,AD110,AF110,AH110,AJ110,AN110)&lt;5,SUM(Z110,AD110,AF110,AH110,AJ110,AN110),SUM(LARGE((Z110,AD110,AF110,AH110,AJ110,AN110),{1;2;3;4;5}))))+U110),0)</f>
        <v>0</v>
      </c>
      <c r="S110" s="64"/>
      <c r="T110" s="64"/>
      <c r="U110" s="173">
        <v>1</v>
      </c>
      <c r="V110" s="141" t="s">
        <v>397</v>
      </c>
      <c r="W110" s="141" t="s">
        <v>397</v>
      </c>
      <c r="X110" s="141" t="s">
        <v>397</v>
      </c>
      <c r="Y110" s="614"/>
      <c r="Z110" s="611"/>
      <c r="AA110" s="141" t="s">
        <v>397</v>
      </c>
      <c r="AB110" s="15">
        <v>10</v>
      </c>
      <c r="AC110" s="15"/>
      <c r="AD110" s="15"/>
      <c r="AE110" s="15"/>
      <c r="AF110" s="15"/>
      <c r="AG110" s="15"/>
      <c r="AH110" s="15"/>
      <c r="AI110" s="15"/>
      <c r="AJ110" s="15"/>
      <c r="AK110" s="613"/>
      <c r="AL110" s="15"/>
      <c r="AM110" s="15">
        <v>25</v>
      </c>
      <c r="AN110" s="15"/>
      <c r="AO110" s="15">
        <v>52</v>
      </c>
      <c r="AP110" s="33">
        <f t="shared" si="20"/>
        <v>3</v>
      </c>
      <c r="AQ110" s="440">
        <f t="shared" si="21"/>
        <v>0</v>
      </c>
      <c r="AR110" s="441">
        <f t="shared" si="22"/>
        <v>0</v>
      </c>
      <c r="AS110" s="34">
        <f t="shared" si="23"/>
        <v>0</v>
      </c>
      <c r="AT110" s="4">
        <f t="shared" si="24"/>
        <v>3</v>
      </c>
      <c r="AU110" s="285">
        <f t="shared" si="25"/>
        <v>1</v>
      </c>
    </row>
    <row r="111" spans="1:47" x14ac:dyDescent="0.2">
      <c r="A111" s="59">
        <v>71</v>
      </c>
      <c r="B111" s="438">
        <f t="shared" si="26"/>
        <v>71</v>
      </c>
      <c r="C111" s="432">
        <f t="shared" si="14"/>
        <v>10087</v>
      </c>
      <c r="D111" s="61" t="s">
        <v>327</v>
      </c>
      <c r="E111" s="438" t="str">
        <f t="shared" si="15"/>
        <v/>
      </c>
      <c r="F111" s="431">
        <f t="shared" si="16"/>
        <v>0</v>
      </c>
      <c r="G111" s="660" t="s">
        <v>327</v>
      </c>
      <c r="H111" s="438" t="str">
        <f t="shared" si="17"/>
        <v/>
      </c>
      <c r="I111" s="658">
        <f t="shared" si="18"/>
        <v>0</v>
      </c>
      <c r="J111" s="154">
        <f t="shared" si="19"/>
        <v>103</v>
      </c>
      <c r="K111" s="139">
        <v>103</v>
      </c>
      <c r="L111" s="67" t="s">
        <v>82</v>
      </c>
      <c r="M111" s="251">
        <v>87</v>
      </c>
      <c r="N111" s="446">
        <f t="array" ref="N111">(IF(COUNT(V111,W111,AA111,AB111,AC111,AE111,AG111,AI111,AM111,AO111)&lt;7,SUM(V111,W111,AA111,AB111,AC111,AE111,AG111,AI111,AM111,AO111),SUM(LARGE((V111,W111,AA111,AB111,AC111,AE111,AG111,AI111,AM111,AO111),{1;2;3;4;5;6;7}))))+(IF(COUNT(X111,AD111,AF111,AH111,AJ111,AN111)&lt;5,SUM(X111,AD111,AF111,AH111,AJ111,AN111),SUM(LARGE((X111,AD111,AF111,AH111,AJ111,AN111),{1;2;3;4;5}))))+U111</f>
        <v>87</v>
      </c>
      <c r="O111" s="413"/>
      <c r="P111" s="405">
        <f t="array" ref="P111">IF(S111="n",((IF(COUNT(V111,W111,AA111,AB111,AC111,AE111,AG111,AI111,AM111,AO111)&lt;7,SUM(V111,W111,AA111,AB111,AC111,AE111,AG111,AI111,AM111,AO111),SUM(LARGE((V111,W111,AA111,AB111,AC111,AE111,AG111,AI111,AM111,AO111),{1;2;3;4;5;6;7}))))+(IF(COUNT(Y111,AD111,AF111,AH111,AK111,AN111)&lt;5,SUM(Y111,AD111,AF111,AH111,AK111,AN111),SUM(LARGE((Y111,AD111,AF111,AH111,AK111,AN111),{1;2;3;4;5}))))+U111),0)</f>
        <v>0</v>
      </c>
      <c r="Q111" s="661"/>
      <c r="R111" s="405">
        <f t="array" ref="R111">IF(T111="j",((IF(COUNT(V111,W111,AA111,AB111,AC111,AE111,AG111,AI111,AM111,AO111)&lt;7,SUM(V111,W111,AA111,AB111,AC111,AE111,AG111,AI111,AM111,AO111),SUM(LARGE((V111,W111,AA111,AB111,AC111,AE111,AG111,AI111,AM111,AO111),{1;2;3;4;5;6;7}))))+(IF(COUNT(Z111,AD111,AF111,AH111,AJ111,AN111)&lt;5,SUM(Z111,AD111,AF111,AH111,AJ111,AN111),SUM(LARGE((Z111,AD111,AF111,AH111,AJ111,AN111),{1;2;3;4;5}))))+U111),0)</f>
        <v>0</v>
      </c>
      <c r="S111" s="64"/>
      <c r="T111" s="64"/>
      <c r="U111" s="173">
        <v>1</v>
      </c>
      <c r="V111" s="141" t="s">
        <v>397</v>
      </c>
      <c r="W111" s="141" t="s">
        <v>397</v>
      </c>
      <c r="X111" s="141" t="s">
        <v>397</v>
      </c>
      <c r="Y111" s="614"/>
      <c r="Z111" s="611"/>
      <c r="AA111" s="141" t="s">
        <v>397</v>
      </c>
      <c r="AB111" s="15">
        <v>34</v>
      </c>
      <c r="AC111" s="15"/>
      <c r="AD111" s="15"/>
      <c r="AE111" s="15"/>
      <c r="AF111" s="15"/>
      <c r="AG111" s="15"/>
      <c r="AH111" s="15"/>
      <c r="AI111" s="15"/>
      <c r="AJ111" s="15"/>
      <c r="AK111" s="613"/>
      <c r="AL111" s="15"/>
      <c r="AM111" s="15">
        <v>52</v>
      </c>
      <c r="AN111" s="15"/>
      <c r="AO111" s="15"/>
      <c r="AP111" s="33">
        <f t="shared" si="20"/>
        <v>2</v>
      </c>
      <c r="AQ111" s="440">
        <f t="shared" si="21"/>
        <v>0</v>
      </c>
      <c r="AR111" s="441">
        <f t="shared" si="22"/>
        <v>0</v>
      </c>
      <c r="AS111" s="34">
        <f t="shared" si="23"/>
        <v>0</v>
      </c>
      <c r="AT111" s="4">
        <f t="shared" si="24"/>
        <v>3</v>
      </c>
      <c r="AU111" s="285">
        <f t="shared" si="25"/>
        <v>1</v>
      </c>
    </row>
    <row r="112" spans="1:47" x14ac:dyDescent="0.2">
      <c r="A112" s="59">
        <v>72</v>
      </c>
      <c r="B112" s="438">
        <f t="shared" si="26"/>
        <v>72</v>
      </c>
      <c r="C112" s="432">
        <f t="shared" si="14"/>
        <v>10086</v>
      </c>
      <c r="D112" s="61" t="s">
        <v>327</v>
      </c>
      <c r="E112" s="438" t="str">
        <f t="shared" si="15"/>
        <v/>
      </c>
      <c r="F112" s="431">
        <f t="shared" si="16"/>
        <v>0</v>
      </c>
      <c r="G112" s="660" t="s">
        <v>327</v>
      </c>
      <c r="H112" s="438" t="str">
        <f t="shared" si="17"/>
        <v/>
      </c>
      <c r="I112" s="658">
        <f t="shared" si="18"/>
        <v>0</v>
      </c>
      <c r="J112" s="154">
        <f t="shared" si="19"/>
        <v>104</v>
      </c>
      <c r="K112" s="139">
        <v>104</v>
      </c>
      <c r="L112" s="345" t="s">
        <v>517</v>
      </c>
      <c r="M112" s="139">
        <v>86</v>
      </c>
      <c r="N112" s="446">
        <f t="array" ref="N112">(IF(COUNT(V112,W112,AA112,AB112,AC112,AE112,AG112,AI112,AM112,AO112)&lt;7,SUM(V112,W112,AA112,AB112,AC112,AE112,AG112,AI112,AM112,AO112),SUM(LARGE((V112,W112,AA112,AB112,AC112,AE112,AG112,AI112,AM112,AO112),{1;2;3;4;5;6;7}))))+(IF(COUNT(X112,AD112,AF112,AH112,AJ112,AN112)&lt;5,SUM(X112,AD112,AF112,AH112,AJ112,AN112),SUM(LARGE((X112,AD112,AF112,AH112,AJ112,AN112),{1;2;3;4;5}))))+U112</f>
        <v>86</v>
      </c>
      <c r="O112" s="413"/>
      <c r="P112" s="405">
        <f t="array" ref="P112">IF(S112="n",((IF(COUNT(V112,W112,AA112,AB112,AC112,AE112,AG112,AI112,AM112,AO112)&lt;7,SUM(V112,W112,AA112,AB112,AC112,AE112,AG112,AI112,AM112,AO112),SUM(LARGE((V112,W112,AA112,AB112,AC112,AE112,AG112,AI112,AM112,AO112),{1;2;3;4;5;6;7}))))+(IF(COUNT(Y112,AD112,AF112,AH112,AK112,AN112)&lt;5,SUM(Y112,AD112,AF112,AH112,AK112,AN112),SUM(LARGE((Y112,AD112,AF112,AH112,AK112,AN112),{1;2;3;4;5}))))+U112),0)</f>
        <v>0</v>
      </c>
      <c r="Q112" s="661"/>
      <c r="R112" s="405">
        <f t="array" ref="R112">IF(T112="j",((IF(COUNT(V112,W112,AA112,AB112,AC112,AE112,AG112,AI112,AM112,AO112)&lt;7,SUM(V112,W112,AA112,AB112,AC112,AE112,AG112,AI112,AM112,AO112),SUM(LARGE((V112,W112,AA112,AB112,AC112,AE112,AG112,AI112,AM112,AO112),{1;2;3;4;5;6;7}))))+(IF(COUNT(Z112,AD112,AF112,AH112,AJ112,AN112)&lt;5,SUM(Z112,AD112,AF112,AH112,AJ112,AN112),SUM(LARGE((Z112,AD112,AF112,AH112,AJ112,AN112),{1;2;3;4;5}))))+U112),0)</f>
        <v>0</v>
      </c>
      <c r="S112" s="64"/>
      <c r="T112" s="64"/>
      <c r="U112" s="173"/>
      <c r="V112" s="141" t="s">
        <v>397</v>
      </c>
      <c r="W112" s="141" t="s">
        <v>397</v>
      </c>
      <c r="X112" s="141" t="s">
        <v>397</v>
      </c>
      <c r="Y112" s="614"/>
      <c r="Z112" s="611"/>
      <c r="AA112" s="141" t="s">
        <v>397</v>
      </c>
      <c r="AB112" s="15">
        <v>43</v>
      </c>
      <c r="AC112" s="15">
        <v>43</v>
      </c>
      <c r="AD112" s="15"/>
      <c r="AE112" s="15"/>
      <c r="AF112" s="15"/>
      <c r="AG112" s="15"/>
      <c r="AH112" s="15"/>
      <c r="AI112" s="15"/>
      <c r="AJ112" s="15"/>
      <c r="AK112" s="613"/>
      <c r="AL112" s="15"/>
      <c r="AM112" s="15"/>
      <c r="AN112" s="15"/>
      <c r="AO112" s="15"/>
      <c r="AP112" s="33">
        <f t="shared" si="20"/>
        <v>2</v>
      </c>
      <c r="AQ112" s="440">
        <f t="shared" si="21"/>
        <v>0</v>
      </c>
      <c r="AR112" s="441">
        <f t="shared" si="22"/>
        <v>0</v>
      </c>
      <c r="AS112" s="34">
        <f t="shared" si="23"/>
        <v>0</v>
      </c>
      <c r="AT112" s="4">
        <f t="shared" si="24"/>
        <v>3</v>
      </c>
      <c r="AU112" s="285">
        <f t="shared" si="25"/>
        <v>1</v>
      </c>
    </row>
    <row r="113" spans="1:47" x14ac:dyDescent="0.2">
      <c r="A113" s="59">
        <v>73</v>
      </c>
      <c r="B113" s="438">
        <f t="shared" si="26"/>
        <v>73</v>
      </c>
      <c r="C113" s="432">
        <f t="shared" si="14"/>
        <v>10084</v>
      </c>
      <c r="D113" s="61" t="s">
        <v>327</v>
      </c>
      <c r="E113" s="438" t="str">
        <f t="shared" si="15"/>
        <v/>
      </c>
      <c r="F113" s="431">
        <f t="shared" si="16"/>
        <v>0</v>
      </c>
      <c r="G113" s="660" t="s">
        <v>327</v>
      </c>
      <c r="H113" s="438" t="str">
        <f t="shared" si="17"/>
        <v/>
      </c>
      <c r="I113" s="658">
        <f t="shared" si="18"/>
        <v>0</v>
      </c>
      <c r="J113" s="154">
        <f t="shared" si="19"/>
        <v>105</v>
      </c>
      <c r="K113" s="139">
        <v>105</v>
      </c>
      <c r="L113" s="234" t="s">
        <v>421</v>
      </c>
      <c r="M113" s="139">
        <v>84</v>
      </c>
      <c r="N113" s="446">
        <f t="array" ref="N113">(IF(COUNT(V113,W113,AA113,AB113,AC113,AE113,AG113,AI113,AM113,AO113)&lt;7,SUM(V113,W113,AA113,AB113,AC113,AE113,AG113,AI113,AM113,AO113),SUM(LARGE((V113,W113,AA113,AB113,AC113,AE113,AG113,AI113,AM113,AO113),{1;2;3;4;5;6;7}))))+(IF(COUNT(X113,AD113,AF113,AH113,AJ113,AN113)&lt;5,SUM(X113,AD113,AF113,AH113,AJ113,AN113),SUM(LARGE((X113,AD113,AF113,AH113,AJ113,AN113),{1;2;3;4;5}))))+U113</f>
        <v>84</v>
      </c>
      <c r="O113" s="413"/>
      <c r="P113" s="405">
        <f t="array" ref="P113">IF(S113="n",((IF(COUNT(V113,W113,AA113,AB113,AC113,AE113,AG113,AI113,AM113,AO113)&lt;7,SUM(V113,W113,AA113,AB113,AC113,AE113,AG113,AI113,AM113,AO113),SUM(LARGE((V113,W113,AA113,AB113,AC113,AE113,AG113,AI113,AM113,AO113),{1;2;3;4;5;6;7}))))+(IF(COUNT(Y113,AD113,AF113,AH113,AK113,AN113)&lt;5,SUM(Y113,AD113,AF113,AH113,AK113,AN113),SUM(LARGE((Y113,AD113,AF113,AH113,AK113,AN113),{1;2;3;4;5}))))+U113),0)</f>
        <v>0</v>
      </c>
      <c r="Q113" s="661"/>
      <c r="R113" s="405">
        <f t="array" ref="R113">IF(T113="j",((IF(COUNT(V113,W113,AA113,AB113,AC113,AE113,AG113,AI113,AM113,AO113)&lt;7,SUM(V113,W113,AA113,AB113,AC113,AE113,AG113,AI113,AM113,AO113),SUM(LARGE((V113,W113,AA113,AB113,AC113,AE113,AG113,AI113,AM113,AO113),{1;2;3;4;5;6;7}))))+(IF(COUNT(Z113,AD113,AF113,AH113,AJ113,AN113)&lt;5,SUM(Z113,AD113,AF113,AH113,AJ113,AN113),SUM(LARGE((Z113,AD113,AF113,AH113,AJ113,AN113),{1;2;3;4;5}))))+U113),0)</f>
        <v>0</v>
      </c>
      <c r="S113" s="64"/>
      <c r="T113" s="64"/>
      <c r="U113" s="173"/>
      <c r="V113" s="141" t="s">
        <v>397</v>
      </c>
      <c r="W113" s="141" t="s">
        <v>397</v>
      </c>
      <c r="X113" s="141" t="s">
        <v>397</v>
      </c>
      <c r="Y113" s="614"/>
      <c r="Z113" s="611"/>
      <c r="AA113" s="15">
        <v>84</v>
      </c>
      <c r="AB113" s="141" t="s">
        <v>397</v>
      </c>
      <c r="AC113" s="15"/>
      <c r="AD113" s="15"/>
      <c r="AE113" s="15"/>
      <c r="AF113" s="15"/>
      <c r="AG113" s="15"/>
      <c r="AH113" s="15"/>
      <c r="AI113" s="15"/>
      <c r="AJ113" s="15"/>
      <c r="AK113" s="613"/>
      <c r="AL113" s="15"/>
      <c r="AM113" s="15"/>
      <c r="AN113" s="15"/>
      <c r="AO113" s="15"/>
      <c r="AP113" s="33">
        <f t="shared" si="20"/>
        <v>1</v>
      </c>
      <c r="AQ113" s="440">
        <f t="shared" si="21"/>
        <v>0</v>
      </c>
      <c r="AR113" s="441">
        <f t="shared" si="22"/>
        <v>0</v>
      </c>
      <c r="AS113" s="34">
        <f t="shared" si="23"/>
        <v>0</v>
      </c>
      <c r="AT113" s="4">
        <f t="shared" si="24"/>
        <v>3</v>
      </c>
      <c r="AU113" s="285">
        <f t="shared" si="25"/>
        <v>1</v>
      </c>
    </row>
    <row r="114" spans="1:47" x14ac:dyDescent="0.2">
      <c r="A114" s="59">
        <v>74</v>
      </c>
      <c r="B114" s="438">
        <f t="shared" si="26"/>
        <v>74</v>
      </c>
      <c r="C114" s="432">
        <f t="shared" si="14"/>
        <v>10083</v>
      </c>
      <c r="D114" s="61" t="s">
        <v>327</v>
      </c>
      <c r="E114" s="438" t="str">
        <f t="shared" si="15"/>
        <v/>
      </c>
      <c r="F114" s="431">
        <f t="shared" si="16"/>
        <v>0</v>
      </c>
      <c r="G114" s="660">
        <v>8</v>
      </c>
      <c r="H114" s="438">
        <f t="shared" si="17"/>
        <v>8</v>
      </c>
      <c r="I114" s="658">
        <f t="shared" si="18"/>
        <v>10178</v>
      </c>
      <c r="J114" s="154">
        <f t="shared" si="19"/>
        <v>106</v>
      </c>
      <c r="K114" s="139">
        <v>106</v>
      </c>
      <c r="L114" s="166" t="s">
        <v>329</v>
      </c>
      <c r="M114" s="139">
        <v>83</v>
      </c>
      <c r="N114" s="446">
        <f t="array" ref="N114">(IF(COUNT(V114,W114,AA114,AB114,AC114,AE114,AG114,AI114,AM114,AO114)&lt;7,SUM(V114,W114,AA114,AB114,AC114,AE114,AG114,AI114,AM114,AO114),SUM(LARGE((V114,W114,AA114,AB114,AC114,AE114,AG114,AI114,AM114,AO114),{1;2;3;4;5;6;7}))))+(IF(COUNT(X114,AD114,AF114,AH114,AJ114,AN114)&lt;5,SUM(X114,AD114,AF114,AH114,AJ114,AN114),SUM(LARGE((X114,AD114,AF114,AH114,AJ114,AN114),{1;2;3;4;5}))))+U114</f>
        <v>83</v>
      </c>
      <c r="O114" s="413"/>
      <c r="P114" s="405">
        <f t="array" ref="P114">IF(S114="n",((IF(COUNT(V114,W114,AA114,AB114,AC114,AE114,AG114,AI114,AM114,AO114)&lt;7,SUM(V114,W114,AA114,AB114,AC114,AE114,AG114,AI114,AM114,AO114),SUM(LARGE((V114,W114,AA114,AB114,AC114,AE114,AG114,AI114,AM114,AO114),{1;2;3;4;5;6;7}))))+(IF(COUNT(Y114,AD114,AF114,AH114,AK114,AN114)&lt;5,SUM(Y114,AD114,AF114,AH114,AK114,AN114),SUM(LARGE((Y114,AD114,AF114,AH114,AK114,AN114),{1;2;3;4;5}))))+U114),0)</f>
        <v>0</v>
      </c>
      <c r="Q114" s="661">
        <v>178</v>
      </c>
      <c r="R114" s="405">
        <f t="array" ref="R114">IF(T114="j",((IF(COUNT(V114,W114,AA114,AB114,AC114,AE114,AG114,AI114,AM114,AO114)&lt;7,SUM(V114,W114,AA114,AB114,AC114,AE114,AG114,AI114,AM114,AO114),SUM(LARGE((V114,W114,AA114,AB114,AC114,AE114,AG114,AI114,AM114,AO114),{1;2;3;4;5;6;7}))))+(IF(COUNT(Z114,AD114,AF114,AH114,AJ114,AN114)&lt;5,SUM(Z114,AD114,AF114,AH114,AJ114,AN114),SUM(LARGE((Z114,AD114,AF114,AH114,AJ114,AN114),{1;2;3;4;5}))))+U114),0)</f>
        <v>178</v>
      </c>
      <c r="S114" s="64"/>
      <c r="T114" s="64" t="s">
        <v>50</v>
      </c>
      <c r="U114" s="173"/>
      <c r="V114" s="15">
        <v>74</v>
      </c>
      <c r="W114" s="141" t="s">
        <v>397</v>
      </c>
      <c r="X114" s="15">
        <v>9</v>
      </c>
      <c r="Y114" s="613"/>
      <c r="Z114" s="610">
        <v>104</v>
      </c>
      <c r="AA114" s="141" t="s">
        <v>397</v>
      </c>
      <c r="AB114" s="141" t="s">
        <v>397</v>
      </c>
      <c r="AC114" s="15"/>
      <c r="AD114" s="141" t="s">
        <v>397</v>
      </c>
      <c r="AE114" s="15"/>
      <c r="AF114" s="15"/>
      <c r="AG114" s="15"/>
      <c r="AH114" s="15"/>
      <c r="AI114" s="15"/>
      <c r="AJ114" s="15"/>
      <c r="AK114" s="613"/>
      <c r="AL114" s="15"/>
      <c r="AM114" s="15"/>
      <c r="AN114" s="15"/>
      <c r="AO114" s="15"/>
      <c r="AP114" s="33">
        <f t="shared" si="20"/>
        <v>2</v>
      </c>
      <c r="AQ114" s="440">
        <f t="shared" si="21"/>
        <v>0</v>
      </c>
      <c r="AR114" s="441">
        <f t="shared" si="22"/>
        <v>0</v>
      </c>
      <c r="AS114" s="34">
        <f t="shared" si="23"/>
        <v>0</v>
      </c>
      <c r="AT114" s="4">
        <f t="shared" si="24"/>
        <v>3</v>
      </c>
      <c r="AU114" s="285">
        <f t="shared" si="25"/>
        <v>1</v>
      </c>
    </row>
    <row r="115" spans="1:47" x14ac:dyDescent="0.2">
      <c r="A115" s="59">
        <v>75</v>
      </c>
      <c r="B115" s="438">
        <f t="shared" si="26"/>
        <v>74</v>
      </c>
      <c r="C115" s="432">
        <f t="shared" si="14"/>
        <v>10083</v>
      </c>
      <c r="D115" s="61" t="s">
        <v>327</v>
      </c>
      <c r="E115" s="438" t="str">
        <f t="shared" si="15"/>
        <v/>
      </c>
      <c r="F115" s="431">
        <f t="shared" si="16"/>
        <v>0</v>
      </c>
      <c r="G115" s="660" t="s">
        <v>327</v>
      </c>
      <c r="H115" s="438" t="str">
        <f t="shared" si="17"/>
        <v/>
      </c>
      <c r="I115" s="658">
        <f t="shared" si="18"/>
        <v>0</v>
      </c>
      <c r="J115" s="154">
        <f t="shared" si="19"/>
        <v>106</v>
      </c>
      <c r="K115" s="139">
        <v>107</v>
      </c>
      <c r="L115" s="601" t="s">
        <v>46</v>
      </c>
      <c r="M115" s="139">
        <v>83</v>
      </c>
      <c r="N115" s="446">
        <f t="array" ref="N115">(IF(COUNT(V115,W115,AA115,AB115,AC115,AE115,AG115,AI115,AM115,AO115)&lt;7,SUM(V115,W115,AA115,AB115,AC115,AE115,AG115,AI115,AM115,AO115),SUM(LARGE((V115,W115,AA115,AB115,AC115,AE115,AG115,AI115,AM115,AO115),{1;2;3;4;5;6;7}))))+(IF(COUNT(X115,AD115,AF115,AH115,AJ115,AN115)&lt;5,SUM(X115,AD115,AF115,AH115,AJ115,AN115),SUM(LARGE((X115,AD115,AF115,AH115,AJ115,AN115),{1;2;3;4;5}))))+U115</f>
        <v>83</v>
      </c>
      <c r="O115" s="413"/>
      <c r="P115" s="405">
        <f t="array" ref="P115">IF(S115="n",((IF(COUNT(V115,W115,AA115,AB115,AC115,AE115,AG115,AI115,AM115,AO115)&lt;7,SUM(V115,W115,AA115,AB115,AC115,AE115,AG115,AI115,AM115,AO115),SUM(LARGE((V115,W115,AA115,AB115,AC115,AE115,AG115,AI115,AM115,AO115),{1;2;3;4;5;6;7}))))+(IF(COUNT(Y115,AD115,AF115,AH115,AK115,AN115)&lt;5,SUM(Y115,AD115,AF115,AH115,AK115,AN115),SUM(LARGE((Y115,AD115,AF115,AH115,AK115,AN115),{1;2;3;4;5}))))+U115),0)</f>
        <v>0</v>
      </c>
      <c r="Q115" s="661"/>
      <c r="R115" s="405">
        <f t="array" ref="R115">IF(T115="j",((IF(COUNT(V115,W115,AA115,AB115,AC115,AE115,AG115,AI115,AM115,AO115)&lt;7,SUM(V115,W115,AA115,AB115,AC115,AE115,AG115,AI115,AM115,AO115),SUM(LARGE((V115,W115,AA115,AB115,AC115,AE115,AG115,AI115,AM115,AO115),{1;2;3;4;5;6;7}))))+(IF(COUNT(Z115,AD115,AF115,AH115,AJ115,AN115)&lt;5,SUM(Z115,AD115,AF115,AH115,AJ115,AN115),SUM(LARGE((Z115,AD115,AF115,AH115,AJ115,AN115),{1;2;3;4;5}))))+U115),0)</f>
        <v>0</v>
      </c>
      <c r="S115" s="64"/>
      <c r="T115" s="64"/>
      <c r="U115" s="173">
        <v>1</v>
      </c>
      <c r="V115" s="141" t="s">
        <v>397</v>
      </c>
      <c r="W115" s="15">
        <v>49</v>
      </c>
      <c r="X115" s="15">
        <v>33</v>
      </c>
      <c r="Y115" s="613"/>
      <c r="Z115" s="610"/>
      <c r="AA115" s="141" t="s">
        <v>397</v>
      </c>
      <c r="AB115" s="141" t="s">
        <v>397</v>
      </c>
      <c r="AC115" s="15"/>
      <c r="AD115" s="141" t="s">
        <v>397</v>
      </c>
      <c r="AE115" s="15"/>
      <c r="AF115" s="15"/>
      <c r="AG115" s="15"/>
      <c r="AH115" s="15"/>
      <c r="AI115" s="15"/>
      <c r="AJ115" s="15"/>
      <c r="AK115" s="613"/>
      <c r="AL115" s="15"/>
      <c r="AM115" s="15"/>
      <c r="AN115" s="15"/>
      <c r="AO115" s="15"/>
      <c r="AP115" s="33">
        <f t="shared" si="20"/>
        <v>2</v>
      </c>
      <c r="AQ115" s="440">
        <f t="shared" si="21"/>
        <v>0</v>
      </c>
      <c r="AR115" s="441">
        <f t="shared" si="22"/>
        <v>0</v>
      </c>
      <c r="AS115" s="34">
        <f t="shared" si="23"/>
        <v>0</v>
      </c>
      <c r="AT115" s="4">
        <f t="shared" si="24"/>
        <v>3</v>
      </c>
      <c r="AU115" s="285">
        <f t="shared" si="25"/>
        <v>1</v>
      </c>
    </row>
    <row r="116" spans="1:47" x14ac:dyDescent="0.2">
      <c r="A116" s="59">
        <v>76</v>
      </c>
      <c r="B116" s="438">
        <f t="shared" si="26"/>
        <v>76</v>
      </c>
      <c r="C116" s="432">
        <f t="shared" si="14"/>
        <v>10080</v>
      </c>
      <c r="D116" s="61" t="s">
        <v>327</v>
      </c>
      <c r="E116" s="438" t="str">
        <f t="shared" si="15"/>
        <v/>
      </c>
      <c r="F116" s="431">
        <f t="shared" si="16"/>
        <v>0</v>
      </c>
      <c r="G116" s="660" t="s">
        <v>327</v>
      </c>
      <c r="H116" s="438" t="str">
        <f t="shared" si="17"/>
        <v/>
      </c>
      <c r="I116" s="658">
        <f t="shared" si="18"/>
        <v>0</v>
      </c>
      <c r="J116" s="154">
        <f t="shared" si="19"/>
        <v>108</v>
      </c>
      <c r="K116" s="139">
        <v>108</v>
      </c>
      <c r="L116" s="601" t="s">
        <v>58</v>
      </c>
      <c r="M116" s="139">
        <v>80</v>
      </c>
      <c r="N116" s="446">
        <f t="array" ref="N116">(IF(COUNT(V116,W116,AA116,AB116,AC116,AE116,AG116,AI116,AM116,AO116)&lt;7,SUM(V116,W116,AA116,AB116,AC116,AE116,AG116,AI116,AM116,AO116),SUM(LARGE((V116,W116,AA116,AB116,AC116,AE116,AG116,AI116,AM116,AO116),{1;2;3;4;5;6;7}))))+(IF(COUNT(X116,AD116,AF116,AH116,AJ116,AN116)&lt;5,SUM(X116,AD116,AF116,AH116,AJ116,AN116),SUM(LARGE((X116,AD116,AF116,AH116,AJ116,AN116),{1;2;3;4;5}))))+U116</f>
        <v>80</v>
      </c>
      <c r="O116" s="413"/>
      <c r="P116" s="405">
        <f t="array" ref="P116">IF(S116="n",((IF(COUNT(V116,W116,AA116,AB116,AC116,AE116,AG116,AI116,AM116,AO116)&lt;7,SUM(V116,W116,AA116,AB116,AC116,AE116,AG116,AI116,AM116,AO116),SUM(LARGE((V116,W116,AA116,AB116,AC116,AE116,AG116,AI116,AM116,AO116),{1;2;3;4;5;6;7}))))+(IF(COUNT(Y116,AD116,AF116,AH116,AK116,AN116)&lt;5,SUM(Y116,AD116,AF116,AH116,AK116,AN116),SUM(LARGE((Y116,AD116,AF116,AH116,AK116,AN116),{1;2;3;4;5}))))+U116),0)</f>
        <v>0</v>
      </c>
      <c r="Q116" s="661"/>
      <c r="R116" s="405">
        <f t="array" ref="R116">IF(T116="j",((IF(COUNT(V116,W116,AA116,AB116,AC116,AE116,AG116,AI116,AM116,AO116)&lt;7,SUM(V116,W116,AA116,AB116,AC116,AE116,AG116,AI116,AM116,AO116),SUM(LARGE((V116,W116,AA116,AB116,AC116,AE116,AG116,AI116,AM116,AO116),{1;2;3;4;5;6;7}))))+(IF(COUNT(Z116,AD116,AF116,AH116,AJ116,AN116)&lt;5,SUM(Z116,AD116,AF116,AH116,AJ116,AN116),SUM(LARGE((Z116,AD116,AF116,AH116,AJ116,AN116),{1;2;3;4;5}))))+U116),0)</f>
        <v>0</v>
      </c>
      <c r="S116" s="64"/>
      <c r="T116" s="64"/>
      <c r="U116" s="173">
        <v>6</v>
      </c>
      <c r="V116" s="141" t="s">
        <v>397</v>
      </c>
      <c r="W116" s="141" t="s">
        <v>397</v>
      </c>
      <c r="X116" s="15">
        <v>74</v>
      </c>
      <c r="Y116" s="613"/>
      <c r="Z116" s="610"/>
      <c r="AA116" s="141" t="s">
        <v>397</v>
      </c>
      <c r="AB116" s="15"/>
      <c r="AC116" s="15"/>
      <c r="AD116" s="141" t="s">
        <v>397</v>
      </c>
      <c r="AE116" s="15"/>
      <c r="AF116" s="15"/>
      <c r="AG116" s="15"/>
      <c r="AH116" s="15"/>
      <c r="AI116" s="15"/>
      <c r="AJ116" s="15"/>
      <c r="AK116" s="613"/>
      <c r="AL116" s="15"/>
      <c r="AM116" s="15"/>
      <c r="AN116" s="15"/>
      <c r="AO116" s="15"/>
      <c r="AP116" s="33">
        <f t="shared" si="20"/>
        <v>1</v>
      </c>
      <c r="AQ116" s="440">
        <f t="shared" si="21"/>
        <v>0</v>
      </c>
      <c r="AR116" s="441">
        <f t="shared" si="22"/>
        <v>0</v>
      </c>
      <c r="AS116" s="34">
        <f t="shared" si="23"/>
        <v>0</v>
      </c>
      <c r="AT116" s="4">
        <f t="shared" si="24"/>
        <v>3</v>
      </c>
      <c r="AU116" s="285">
        <f t="shared" si="25"/>
        <v>1</v>
      </c>
    </row>
    <row r="117" spans="1:47" x14ac:dyDescent="0.2">
      <c r="A117" s="59" t="s">
        <v>327</v>
      </c>
      <c r="B117" s="438" t="str">
        <f t="shared" si="26"/>
        <v/>
      </c>
      <c r="C117" s="432">
        <f t="shared" si="14"/>
        <v>0</v>
      </c>
      <c r="D117" s="61">
        <v>33</v>
      </c>
      <c r="E117" s="438">
        <f t="shared" si="15"/>
        <v>33</v>
      </c>
      <c r="F117" s="431">
        <f t="shared" si="16"/>
        <v>10079</v>
      </c>
      <c r="G117" s="660" t="s">
        <v>327</v>
      </c>
      <c r="H117" s="438" t="str">
        <f t="shared" si="17"/>
        <v/>
      </c>
      <c r="I117" s="658">
        <f t="shared" si="18"/>
        <v>0</v>
      </c>
      <c r="J117" s="154">
        <f t="shared" si="19"/>
        <v>109</v>
      </c>
      <c r="K117" s="139">
        <v>109</v>
      </c>
      <c r="L117" s="65" t="s">
        <v>438</v>
      </c>
      <c r="M117" s="139">
        <v>79</v>
      </c>
      <c r="N117" s="446">
        <f t="array" ref="N117">(IF(COUNT(V117,W117,AA117,AB117,AC117,AE117,AG117,AI117,AM117,AO117)&lt;7,SUM(V117,W117,AA117,AB117,AC117,AE117,AG117,AI117,AM117,AO117),SUM(LARGE((V117,W117,AA117,AB117,AC117,AE117,AG117,AI117,AM117,AO117),{1;2;3;4;5;6;7}))))+(IF(COUNT(X117,AD117,AF117,AH117,AJ117,AN117)&lt;5,SUM(X117,AD117,AF117,AH117,AJ117,AN117),SUM(LARGE((X117,AD117,AF117,AH117,AJ117,AN117),{1;2;3;4;5}))))+U117</f>
        <v>79</v>
      </c>
      <c r="O117" s="413">
        <v>79</v>
      </c>
      <c r="P117" s="405">
        <f t="array" ref="P117">IF(S117="n",((IF(COUNT(V117,W117,AA117,AB117,AC117,AE117,AG117,AI117,AM117,AO117)&lt;7,SUM(V117,W117,AA117,AB117,AC117,AE117,AG117,AI117,AM117,AO117),SUM(LARGE((V117,W117,AA117,AB117,AC117,AE117,AG117,AI117,AM117,AO117),{1;2;3;4;5;6;7}))))+(IF(COUNT(Y117,AD117,AF117,AH117,AK117,AN117)&lt;5,SUM(Y117,AD117,AF117,AH117,AK117,AN117),SUM(LARGE((Y117,AD117,AF117,AH117,AK117,AN117),{1;2;3;4;5}))))+U117),0)</f>
        <v>79</v>
      </c>
      <c r="Q117" s="661"/>
      <c r="R117" s="405">
        <f t="array" ref="R117">IF(T117="j",((IF(COUNT(V117,W117,AA117,AB117,AC117,AE117,AG117,AI117,AM117,AO117)&lt;7,SUM(V117,W117,AA117,AB117,AC117,AE117,AG117,AI117,AM117,AO117),SUM(LARGE((V117,W117,AA117,AB117,AC117,AE117,AG117,AI117,AM117,AO117),{1;2;3;4;5;6;7}))))+(IF(COUNT(Z117,AD117,AF117,AH117,AJ117,AN117)&lt;5,SUM(Z117,AD117,AF117,AH117,AJ117,AN117),SUM(LARGE((Z117,AD117,AF117,AH117,AJ117,AN117),{1;2;3;4;5}))))+U117),0)</f>
        <v>0</v>
      </c>
      <c r="S117" s="64" t="s">
        <v>35</v>
      </c>
      <c r="T117" s="64"/>
      <c r="U117" s="173"/>
      <c r="V117" s="141" t="s">
        <v>397</v>
      </c>
      <c r="W117" s="141" t="s">
        <v>397</v>
      </c>
      <c r="X117" s="141" t="s">
        <v>397</v>
      </c>
      <c r="Y117" s="614"/>
      <c r="Z117" s="611"/>
      <c r="AA117" s="15">
        <v>79</v>
      </c>
      <c r="AB117" s="141" t="s">
        <v>397</v>
      </c>
      <c r="AC117" s="15"/>
      <c r="AD117" s="15"/>
      <c r="AE117" s="15"/>
      <c r="AF117" s="15"/>
      <c r="AG117" s="15"/>
      <c r="AH117" s="15"/>
      <c r="AI117" s="15"/>
      <c r="AJ117" s="15"/>
      <c r="AK117" s="613"/>
      <c r="AL117" s="15"/>
      <c r="AM117" s="15"/>
      <c r="AN117" s="15"/>
      <c r="AO117" s="15"/>
      <c r="AP117" s="33">
        <f t="shared" si="20"/>
        <v>1</v>
      </c>
      <c r="AQ117" s="440">
        <f t="shared" si="21"/>
        <v>0</v>
      </c>
      <c r="AR117" s="441">
        <f t="shared" si="22"/>
        <v>0</v>
      </c>
      <c r="AS117" s="34">
        <f t="shared" si="23"/>
        <v>0</v>
      </c>
      <c r="AT117" s="4">
        <f t="shared" si="24"/>
        <v>3</v>
      </c>
      <c r="AU117" s="285">
        <f t="shared" si="25"/>
        <v>1</v>
      </c>
    </row>
    <row r="118" spans="1:47" x14ac:dyDescent="0.2">
      <c r="A118" s="59" t="s">
        <v>327</v>
      </c>
      <c r="B118" s="438" t="str">
        <f t="shared" si="26"/>
        <v/>
      </c>
      <c r="C118" s="432">
        <f t="shared" si="14"/>
        <v>0</v>
      </c>
      <c r="D118" s="61">
        <v>34</v>
      </c>
      <c r="E118" s="438">
        <f t="shared" si="15"/>
        <v>34</v>
      </c>
      <c r="F118" s="431">
        <f t="shared" si="16"/>
        <v>10078</v>
      </c>
      <c r="G118" s="660" t="s">
        <v>327</v>
      </c>
      <c r="H118" s="438" t="str">
        <f t="shared" si="17"/>
        <v/>
      </c>
      <c r="I118" s="658">
        <f t="shared" si="18"/>
        <v>0</v>
      </c>
      <c r="J118" s="154">
        <f t="shared" si="19"/>
        <v>110</v>
      </c>
      <c r="K118" s="139">
        <v>110</v>
      </c>
      <c r="L118" s="66" t="s">
        <v>693</v>
      </c>
      <c r="M118" s="139">
        <v>78</v>
      </c>
      <c r="N118" s="446">
        <f t="array" ref="N118">(IF(COUNT(V118,W118,AA118,AB118,AC118,AE118,AG118,AI118,AM118,AO118)&lt;7,SUM(V118,W118,AA118,AB118,AC118,AE118,AG118,AI118,AM118,AO118),SUM(LARGE((V118,W118,AA118,AB118,AC118,AE118,AG118,AI118,AM118,AO118),{1;2;3;4;5;6;7}))))+(IF(COUNT(X118,AD118,AF118,AH118,AJ118,AN118)&lt;5,SUM(X118,AD118,AF118,AH118,AJ118,AN118),SUM(LARGE((X118,AD118,AF118,AH118,AJ118,AN118),{1;2;3;4;5}))))+U118</f>
        <v>78</v>
      </c>
      <c r="O118" s="413">
        <v>78</v>
      </c>
      <c r="P118" s="405">
        <f t="array" ref="P118">IF(S118="n",((IF(COUNT(V118,W118,AA118,AB118,AC118,AE118,AG118,AI118,AM118,AO118)&lt;7,SUM(V118,W118,AA118,AB118,AC118,AE118,AG118,AI118,AM118,AO118),SUM(LARGE((V118,W118,AA118,AB118,AC118,AE118,AG118,AI118,AM118,AO118),{1;2;3;4;5;6;7}))))+(IF(COUNT(Y118,AD118,AF118,AH118,AK118,AN118)&lt;5,SUM(Y118,AD118,AF118,AH118,AK118,AN118),SUM(LARGE((Y118,AD118,AF118,AH118,AK118,AN118),{1;2;3;4;5}))))+U118),0)</f>
        <v>78</v>
      </c>
      <c r="Q118" s="661"/>
      <c r="R118" s="405">
        <f t="array" ref="R118">IF(T118="j",((IF(COUNT(V118,W118,AA118,AB118,AC118,AE118,AG118,AI118,AM118,AO118)&lt;7,SUM(V118,W118,AA118,AB118,AC118,AE118,AG118,AI118,AM118,AO118),SUM(LARGE((V118,W118,AA118,AB118,AC118,AE118,AG118,AI118,AM118,AO118),{1;2;3;4;5;6;7}))))+(IF(COUNT(Z118,AD118,AF118,AH118,AJ118,AN118)&lt;5,SUM(Z118,AD118,AF118,AH118,AJ118,AN118),SUM(LARGE((Z118,AD118,AF118,AH118,AJ118,AN118),{1;2;3;4;5}))))+U118),0)</f>
        <v>0</v>
      </c>
      <c r="S118" s="64" t="s">
        <v>35</v>
      </c>
      <c r="T118" s="64"/>
      <c r="U118" s="173"/>
      <c r="V118" s="141" t="s">
        <v>397</v>
      </c>
      <c r="W118" s="141" t="s">
        <v>397</v>
      </c>
      <c r="X118" s="141" t="s">
        <v>397</v>
      </c>
      <c r="Y118" s="614"/>
      <c r="Z118" s="611"/>
      <c r="AA118" s="141" t="s">
        <v>397</v>
      </c>
      <c r="AB118" s="15"/>
      <c r="AC118" s="15"/>
      <c r="AD118" s="15"/>
      <c r="AE118" s="15"/>
      <c r="AF118" s="15">
        <v>78</v>
      </c>
      <c r="AG118" s="15"/>
      <c r="AH118" s="15"/>
      <c r="AI118" s="15"/>
      <c r="AJ118" s="15"/>
      <c r="AK118" s="613"/>
      <c r="AL118" s="15"/>
      <c r="AM118" s="15"/>
      <c r="AN118" s="15"/>
      <c r="AO118" s="15"/>
      <c r="AP118" s="33">
        <f t="shared" si="20"/>
        <v>1</v>
      </c>
      <c r="AQ118" s="440">
        <f t="shared" si="21"/>
        <v>0</v>
      </c>
      <c r="AR118" s="441">
        <f t="shared" si="22"/>
        <v>0</v>
      </c>
      <c r="AS118" s="34">
        <f t="shared" si="23"/>
        <v>0</v>
      </c>
      <c r="AT118" s="4">
        <f t="shared" si="24"/>
        <v>3</v>
      </c>
      <c r="AU118" s="285">
        <f t="shared" si="25"/>
        <v>1</v>
      </c>
    </row>
    <row r="119" spans="1:47" x14ac:dyDescent="0.2">
      <c r="A119" s="59">
        <v>77</v>
      </c>
      <c r="B119" s="438">
        <f t="shared" si="26"/>
        <v>77</v>
      </c>
      <c r="C119" s="432">
        <f t="shared" si="14"/>
        <v>10075</v>
      </c>
      <c r="D119" s="61" t="s">
        <v>327</v>
      </c>
      <c r="E119" s="438" t="str">
        <f t="shared" si="15"/>
        <v/>
      </c>
      <c r="F119" s="431">
        <f t="shared" si="16"/>
        <v>0</v>
      </c>
      <c r="G119" s="660" t="s">
        <v>327</v>
      </c>
      <c r="H119" s="438" t="str">
        <f t="shared" si="17"/>
        <v/>
      </c>
      <c r="I119" s="658">
        <f t="shared" si="18"/>
        <v>0</v>
      </c>
      <c r="J119" s="154">
        <f t="shared" si="19"/>
        <v>111</v>
      </c>
      <c r="K119" s="139">
        <v>111</v>
      </c>
      <c r="L119" s="601" t="s">
        <v>76</v>
      </c>
      <c r="M119" s="139">
        <v>75</v>
      </c>
      <c r="N119" s="446">
        <f t="array" ref="N119">(IF(COUNT(V119,W119,AA119,AB119,AC119,AE119,AG119,AI119,AM119,AO119)&lt;7,SUM(V119,W119,AA119,AB119,AC119,AE119,AG119,AI119,AM119,AO119),SUM(LARGE((V119,W119,AA119,AB119,AC119,AE119,AG119,AI119,AM119,AO119),{1;2;3;4;5;6;7}))))+(IF(COUNT(X119,AD119,AF119,AH119,AJ119,AN119)&lt;5,SUM(X119,AD119,AF119,AH119,AJ119,AN119),SUM(LARGE((X119,AD119,AF119,AH119,AJ119,AN119),{1;2;3;4;5}))))+U119</f>
        <v>75</v>
      </c>
      <c r="O119" s="413"/>
      <c r="P119" s="405">
        <f t="array" ref="P119">IF(S119="n",((IF(COUNT(V119,W119,AA119,AB119,AC119,AE119,AG119,AI119,AM119,AO119)&lt;7,SUM(V119,W119,AA119,AB119,AC119,AE119,AG119,AI119,AM119,AO119),SUM(LARGE((V119,W119,AA119,AB119,AC119,AE119,AG119,AI119,AM119,AO119),{1;2;3;4;5;6;7}))))+(IF(COUNT(Y119,AD119,AF119,AH119,AK119,AN119)&lt;5,SUM(Y119,AD119,AF119,AH119,AK119,AN119),SUM(LARGE((Y119,AD119,AF119,AH119,AK119,AN119),{1;2;3;4;5}))))+U119),0)</f>
        <v>0</v>
      </c>
      <c r="Q119" s="661"/>
      <c r="R119" s="405">
        <f t="array" ref="R119">IF(T119="j",((IF(COUNT(V119,W119,AA119,AB119,AC119,AE119,AG119,AI119,AM119,AO119)&lt;7,SUM(V119,W119,AA119,AB119,AC119,AE119,AG119,AI119,AM119,AO119),SUM(LARGE((V119,W119,AA119,AB119,AC119,AE119,AG119,AI119,AM119,AO119),{1;2;3;4;5;6;7}))))+(IF(COUNT(Z119,AD119,AF119,AH119,AJ119,AN119)&lt;5,SUM(Z119,AD119,AF119,AH119,AJ119,AN119),SUM(LARGE((Z119,AD119,AF119,AH119,AJ119,AN119),{1;2;3;4;5}))))+U119),0)</f>
        <v>0</v>
      </c>
      <c r="S119" s="64"/>
      <c r="T119" s="64"/>
      <c r="U119" s="173">
        <v>1</v>
      </c>
      <c r="V119" s="141" t="s">
        <v>397</v>
      </c>
      <c r="W119" s="141" t="s">
        <v>397</v>
      </c>
      <c r="X119" s="141" t="s">
        <v>397</v>
      </c>
      <c r="Y119" s="614"/>
      <c r="Z119" s="611"/>
      <c r="AA119" s="141" t="s">
        <v>397</v>
      </c>
      <c r="AB119" s="15"/>
      <c r="AC119" s="15">
        <v>74</v>
      </c>
      <c r="AD119" s="32"/>
      <c r="AE119" s="15"/>
      <c r="AF119" s="15"/>
      <c r="AG119" s="15"/>
      <c r="AH119" s="15"/>
      <c r="AI119" s="15"/>
      <c r="AJ119" s="15"/>
      <c r="AK119" s="613"/>
      <c r="AL119" s="15"/>
      <c r="AM119" s="15"/>
      <c r="AN119" s="15"/>
      <c r="AO119" s="15"/>
      <c r="AP119" s="33">
        <f t="shared" si="20"/>
        <v>1</v>
      </c>
      <c r="AQ119" s="440">
        <f t="shared" si="21"/>
        <v>0</v>
      </c>
      <c r="AR119" s="441">
        <f t="shared" si="22"/>
        <v>0</v>
      </c>
      <c r="AS119" s="34">
        <f t="shared" si="23"/>
        <v>0</v>
      </c>
      <c r="AT119" s="4">
        <f t="shared" si="24"/>
        <v>3</v>
      </c>
      <c r="AU119" s="285">
        <f t="shared" si="25"/>
        <v>1</v>
      </c>
    </row>
    <row r="120" spans="1:47" x14ac:dyDescent="0.2">
      <c r="A120" s="59">
        <v>78</v>
      </c>
      <c r="B120" s="438">
        <f t="shared" si="26"/>
        <v>78</v>
      </c>
      <c r="C120" s="432">
        <f t="shared" si="14"/>
        <v>10074</v>
      </c>
      <c r="D120" s="61" t="s">
        <v>327</v>
      </c>
      <c r="E120" s="438" t="str">
        <f t="shared" si="15"/>
        <v/>
      </c>
      <c r="F120" s="431">
        <f t="shared" si="16"/>
        <v>0</v>
      </c>
      <c r="G120" s="660">
        <v>10</v>
      </c>
      <c r="H120" s="438">
        <f t="shared" si="17"/>
        <v>10</v>
      </c>
      <c r="I120" s="658">
        <f t="shared" si="18"/>
        <v>10074</v>
      </c>
      <c r="J120" s="154">
        <f t="shared" si="19"/>
        <v>112</v>
      </c>
      <c r="K120" s="139">
        <v>112</v>
      </c>
      <c r="L120" s="224" t="s">
        <v>328</v>
      </c>
      <c r="M120" s="139">
        <v>74</v>
      </c>
      <c r="N120" s="446">
        <f t="array" ref="N120">(IF(COUNT(V120,W120,AA120,AB120,AC120,AE120,AG120,AI120,AM120,AO120)&lt;7,SUM(V120,W120,AA120,AB120,AC120,AE120,AG120,AI120,AM120,AO120),SUM(LARGE((V120,W120,AA120,AB120,AC120,AE120,AG120,AI120,AM120,AO120),{1;2;3;4;5;6;7}))))+(IF(COUNT(X120,AD120,AF120,AH120,AJ120,AN120)&lt;5,SUM(X120,AD120,AF120,AH120,AJ120,AN120),SUM(LARGE((X120,AD120,AF120,AH120,AJ120,AN120),{1;2;3;4;5}))))+U120</f>
        <v>74</v>
      </c>
      <c r="O120" s="413"/>
      <c r="P120" s="405">
        <f t="array" ref="P120">IF(S120="n",((IF(COUNT(V120,W120,AA120,AB120,AC120,AE120,AG120,AI120,AM120,AO120)&lt;7,SUM(V120,W120,AA120,AB120,AC120,AE120,AG120,AI120,AM120,AO120),SUM(LARGE((V120,W120,AA120,AB120,AC120,AE120,AG120,AI120,AM120,AO120),{1;2;3;4;5;6;7}))))+(IF(COUNT(Y120,AD120,AF120,AH120,AK120,AN120)&lt;5,SUM(Y120,AD120,AF120,AH120,AK120,AN120),SUM(LARGE((Y120,AD120,AF120,AH120,AK120,AN120),{1;2;3;4;5}))))+U120),0)</f>
        <v>0</v>
      </c>
      <c r="Q120" s="661">
        <v>74</v>
      </c>
      <c r="R120" s="405">
        <f t="array" ref="R120">IF(T120="j",((IF(COUNT(V120,W120,AA120,AB120,AC120,AE120,AG120,AI120,AM120,AO120)&lt;7,SUM(V120,W120,AA120,AB120,AC120,AE120,AG120,AI120,AM120,AO120),SUM(LARGE((V120,W120,AA120,AB120,AC120,AE120,AG120,AI120,AM120,AO120),{1;2;3;4;5;6;7}))))+(IF(COUNT(Z120,AD120,AF120,AH120,AJ120,AN120)&lt;5,SUM(Z120,AD120,AF120,AH120,AJ120,AN120),SUM(LARGE((Z120,AD120,AF120,AH120,AJ120,AN120),{1;2;3;4;5}))))+U120),0)</f>
        <v>74</v>
      </c>
      <c r="S120" s="64"/>
      <c r="T120" s="64" t="s">
        <v>50</v>
      </c>
      <c r="U120" s="173"/>
      <c r="V120" s="15">
        <v>74</v>
      </c>
      <c r="W120" s="141" t="s">
        <v>397</v>
      </c>
      <c r="X120" s="141" t="s">
        <v>397</v>
      </c>
      <c r="Y120" s="614"/>
      <c r="Z120" s="611"/>
      <c r="AA120" s="141" t="s">
        <v>397</v>
      </c>
      <c r="AB120" s="141" t="s">
        <v>397</v>
      </c>
      <c r="AC120" s="15"/>
      <c r="AD120" s="15"/>
      <c r="AE120" s="15"/>
      <c r="AF120" s="15"/>
      <c r="AG120" s="15"/>
      <c r="AH120" s="15"/>
      <c r="AI120" s="15"/>
      <c r="AJ120" s="15"/>
      <c r="AK120" s="613"/>
      <c r="AL120" s="15"/>
      <c r="AM120" s="15"/>
      <c r="AN120" s="15"/>
      <c r="AO120" s="15"/>
      <c r="AP120" s="33">
        <f t="shared" si="20"/>
        <v>1</v>
      </c>
      <c r="AQ120" s="440">
        <f t="shared" si="21"/>
        <v>0</v>
      </c>
      <c r="AR120" s="441">
        <f t="shared" si="22"/>
        <v>0</v>
      </c>
      <c r="AS120" s="34">
        <f t="shared" si="23"/>
        <v>0</v>
      </c>
      <c r="AT120" s="4">
        <f t="shared" si="24"/>
        <v>3</v>
      </c>
      <c r="AU120" s="285">
        <f t="shared" si="25"/>
        <v>1</v>
      </c>
    </row>
    <row r="121" spans="1:47" x14ac:dyDescent="0.2">
      <c r="A121" s="59">
        <v>78</v>
      </c>
      <c r="B121" s="438">
        <f t="shared" si="26"/>
        <v>78</v>
      </c>
      <c r="C121" s="432">
        <f t="shared" si="14"/>
        <v>10074</v>
      </c>
      <c r="D121" s="61" t="s">
        <v>327</v>
      </c>
      <c r="E121" s="438" t="str">
        <f t="shared" si="15"/>
        <v/>
      </c>
      <c r="F121" s="431">
        <f t="shared" si="16"/>
        <v>0</v>
      </c>
      <c r="G121" s="660" t="s">
        <v>327</v>
      </c>
      <c r="H121" s="438" t="str">
        <f t="shared" si="17"/>
        <v/>
      </c>
      <c r="I121" s="658">
        <f t="shared" si="18"/>
        <v>0</v>
      </c>
      <c r="J121" s="154">
        <f t="shared" si="19"/>
        <v>112</v>
      </c>
      <c r="K121" s="139">
        <v>112</v>
      </c>
      <c r="L121" s="601" t="s">
        <v>429</v>
      </c>
      <c r="M121" s="139">
        <v>74</v>
      </c>
      <c r="N121" s="446">
        <f t="array" ref="N121">(IF(COUNT(V121,W121,AA121,AB121,AC121,AE121,AG121,AI121,AM121,AO121)&lt;7,SUM(V121,W121,AA121,AB121,AC121,AE121,AG121,AI121,AM121,AO121),SUM(LARGE((V121,W121,AA121,AB121,AC121,AE121,AG121,AI121,AM121,AO121),{1;2;3;4;5;6;7}))))+(IF(COUNT(X121,AD121,AF121,AH121,AJ121,AN121)&lt;5,SUM(X121,AD121,AF121,AH121,AJ121,AN121),SUM(LARGE((X121,AD121,AF121,AH121,AJ121,AN121),{1;2;3;4;5}))))+U121</f>
        <v>74</v>
      </c>
      <c r="O121" s="413"/>
      <c r="P121" s="405">
        <f t="array" ref="P121">IF(S121="n",((IF(COUNT(V121,W121,AA121,AB121,AC121,AE121,AG121,AI121,AM121,AO121)&lt;7,SUM(V121,W121,AA121,AB121,AC121,AE121,AG121,AI121,AM121,AO121),SUM(LARGE((V121,W121,AA121,AB121,AC121,AE121,AG121,AI121,AM121,AO121),{1;2;3;4;5;6;7}))))+(IF(COUNT(Y121,AD121,AF121,AH121,AK121,AN121)&lt;5,SUM(Y121,AD121,AF121,AH121,AK121,AN121),SUM(LARGE((Y121,AD121,AF121,AH121,AK121,AN121),{1;2;3;4;5}))))+U121),0)</f>
        <v>0</v>
      </c>
      <c r="Q121" s="661"/>
      <c r="R121" s="405">
        <f t="array" ref="R121">IF(T121="j",((IF(COUNT(V121,W121,AA121,AB121,AC121,AE121,AG121,AI121,AM121,AO121)&lt;7,SUM(V121,W121,AA121,AB121,AC121,AE121,AG121,AI121,AM121,AO121),SUM(LARGE((V121,W121,AA121,AB121,AC121,AE121,AG121,AI121,AM121,AO121),{1;2;3;4;5;6;7}))))+(IF(COUNT(Z121,AD121,AF121,AH121,AJ121,AN121)&lt;5,SUM(Z121,AD121,AF121,AH121,AJ121,AN121),SUM(LARGE((Z121,AD121,AF121,AH121,AJ121,AN121),{1;2;3;4;5}))))+U121),0)</f>
        <v>0</v>
      </c>
      <c r="S121" s="64"/>
      <c r="T121" s="64"/>
      <c r="U121" s="173"/>
      <c r="V121" s="141" t="s">
        <v>397</v>
      </c>
      <c r="W121" s="141" t="s">
        <v>397</v>
      </c>
      <c r="X121" s="141" t="s">
        <v>397</v>
      </c>
      <c r="Y121" s="614"/>
      <c r="Z121" s="611"/>
      <c r="AA121" s="15">
        <v>74</v>
      </c>
      <c r="AB121" s="141" t="s">
        <v>397</v>
      </c>
      <c r="AC121" s="15"/>
      <c r="AD121" s="15"/>
      <c r="AE121" s="15"/>
      <c r="AF121" s="15"/>
      <c r="AG121" s="15"/>
      <c r="AH121" s="15"/>
      <c r="AI121" s="15"/>
      <c r="AJ121" s="15"/>
      <c r="AK121" s="613"/>
      <c r="AL121" s="15"/>
      <c r="AM121" s="15"/>
      <c r="AN121" s="15"/>
      <c r="AO121" s="15"/>
      <c r="AP121" s="33">
        <f t="shared" si="20"/>
        <v>1</v>
      </c>
      <c r="AQ121" s="440">
        <f t="shared" si="21"/>
        <v>0</v>
      </c>
      <c r="AR121" s="441">
        <f t="shared" si="22"/>
        <v>0</v>
      </c>
      <c r="AS121" s="34">
        <f t="shared" si="23"/>
        <v>0</v>
      </c>
      <c r="AT121" s="4">
        <f t="shared" si="24"/>
        <v>3</v>
      </c>
      <c r="AU121" s="285">
        <f t="shared" si="25"/>
        <v>1</v>
      </c>
    </row>
    <row r="122" spans="1:47" x14ac:dyDescent="0.2">
      <c r="A122" s="59" t="s">
        <v>327</v>
      </c>
      <c r="B122" s="438" t="str">
        <f t="shared" si="26"/>
        <v/>
      </c>
      <c r="C122" s="432">
        <f t="shared" si="14"/>
        <v>0</v>
      </c>
      <c r="D122" s="61">
        <v>35</v>
      </c>
      <c r="E122" s="438">
        <f t="shared" si="15"/>
        <v>35</v>
      </c>
      <c r="F122" s="431">
        <f t="shared" si="16"/>
        <v>10074</v>
      </c>
      <c r="G122" s="660" t="s">
        <v>327</v>
      </c>
      <c r="H122" s="438" t="str">
        <f t="shared" si="17"/>
        <v/>
      </c>
      <c r="I122" s="658">
        <f t="shared" si="18"/>
        <v>0</v>
      </c>
      <c r="J122" s="154">
        <f t="shared" si="19"/>
        <v>112</v>
      </c>
      <c r="K122" s="139">
        <v>112</v>
      </c>
      <c r="L122" s="65" t="s">
        <v>428</v>
      </c>
      <c r="M122" s="139">
        <v>74</v>
      </c>
      <c r="N122" s="446">
        <f t="array" ref="N122">(IF(COUNT(V122,W122,AA122,AB122,AC122,AE122,AG122,AI122,AM122,AO122)&lt;7,SUM(V122,W122,AA122,AB122,AC122,AE122,AG122,AI122,AM122,AO122),SUM(LARGE((V122,W122,AA122,AB122,AC122,AE122,AG122,AI122,AM122,AO122),{1;2;3;4;5;6;7}))))+(IF(COUNT(X122,AD122,AF122,AH122,AJ122,AN122)&lt;5,SUM(X122,AD122,AF122,AH122,AJ122,AN122),SUM(LARGE((X122,AD122,AF122,AH122,AJ122,AN122),{1;2;3;4;5}))))+U122</f>
        <v>74</v>
      </c>
      <c r="O122" s="413">
        <v>74</v>
      </c>
      <c r="P122" s="405">
        <f t="array" ref="P122">IF(S122="n",((IF(COUNT(V122,W122,AA122,AB122,AC122,AE122,AG122,AI122,AM122,AO122)&lt;7,SUM(V122,W122,AA122,AB122,AC122,AE122,AG122,AI122,AM122,AO122),SUM(LARGE((V122,W122,AA122,AB122,AC122,AE122,AG122,AI122,AM122,AO122),{1;2;3;4;5;6;7}))))+(IF(COUNT(Y122,AD122,AF122,AH122,AK122,AN122)&lt;5,SUM(Y122,AD122,AF122,AH122,AK122,AN122),SUM(LARGE((Y122,AD122,AF122,AH122,AK122,AN122),{1;2;3;4;5}))))+U122),0)</f>
        <v>74</v>
      </c>
      <c r="Q122" s="661"/>
      <c r="R122" s="405">
        <f t="array" ref="R122">IF(T122="j",((IF(COUNT(V122,W122,AA122,AB122,AC122,AE122,AG122,AI122,AM122,AO122)&lt;7,SUM(V122,W122,AA122,AB122,AC122,AE122,AG122,AI122,AM122,AO122),SUM(LARGE((V122,W122,AA122,AB122,AC122,AE122,AG122,AI122,AM122,AO122),{1;2;3;4;5;6;7}))))+(IF(COUNT(Z122,AD122,AF122,AH122,AJ122,AN122)&lt;5,SUM(Z122,AD122,AF122,AH122,AJ122,AN122),SUM(LARGE((Z122,AD122,AF122,AH122,AJ122,AN122),{1;2;3;4;5}))))+U122),0)</f>
        <v>0</v>
      </c>
      <c r="S122" s="64" t="s">
        <v>35</v>
      </c>
      <c r="T122" s="64"/>
      <c r="U122" s="173"/>
      <c r="V122" s="141" t="s">
        <v>397</v>
      </c>
      <c r="W122" s="141" t="s">
        <v>397</v>
      </c>
      <c r="X122" s="141" t="s">
        <v>397</v>
      </c>
      <c r="Y122" s="614"/>
      <c r="Z122" s="611"/>
      <c r="AA122" s="15">
        <v>74</v>
      </c>
      <c r="AB122" s="141" t="s">
        <v>397</v>
      </c>
      <c r="AC122" s="15"/>
      <c r="AD122" s="15"/>
      <c r="AE122" s="15"/>
      <c r="AF122" s="15"/>
      <c r="AG122" s="15"/>
      <c r="AH122" s="15"/>
      <c r="AI122" s="15"/>
      <c r="AJ122" s="15"/>
      <c r="AK122" s="613"/>
      <c r="AL122" s="15"/>
      <c r="AM122" s="15"/>
      <c r="AN122" s="15"/>
      <c r="AO122" s="15"/>
      <c r="AP122" s="33">
        <f t="shared" si="20"/>
        <v>1</v>
      </c>
      <c r="AQ122" s="440">
        <f t="shared" si="21"/>
        <v>0</v>
      </c>
      <c r="AR122" s="441">
        <f t="shared" si="22"/>
        <v>0</v>
      </c>
      <c r="AS122" s="34">
        <f t="shared" si="23"/>
        <v>0</v>
      </c>
      <c r="AT122" s="4">
        <f t="shared" si="24"/>
        <v>3</v>
      </c>
      <c r="AU122" s="285">
        <f t="shared" si="25"/>
        <v>1</v>
      </c>
    </row>
    <row r="123" spans="1:47" x14ac:dyDescent="0.2">
      <c r="A123" s="59">
        <v>78</v>
      </c>
      <c r="B123" s="438">
        <f t="shared" si="26"/>
        <v>78</v>
      </c>
      <c r="C123" s="432">
        <f t="shared" si="14"/>
        <v>10074</v>
      </c>
      <c r="D123" s="61" t="s">
        <v>327</v>
      </c>
      <c r="E123" s="438" t="str">
        <f t="shared" si="15"/>
        <v/>
      </c>
      <c r="F123" s="431">
        <f t="shared" si="16"/>
        <v>0</v>
      </c>
      <c r="G123" s="660" t="s">
        <v>327</v>
      </c>
      <c r="H123" s="438" t="str">
        <f t="shared" si="17"/>
        <v/>
      </c>
      <c r="I123" s="658">
        <f t="shared" si="18"/>
        <v>0</v>
      </c>
      <c r="J123" s="154">
        <f t="shared" si="19"/>
        <v>112</v>
      </c>
      <c r="K123" s="139">
        <v>112</v>
      </c>
      <c r="L123" s="601" t="s">
        <v>554</v>
      </c>
      <c r="M123" s="139">
        <v>74</v>
      </c>
      <c r="N123" s="446">
        <f t="array" ref="N123">(IF(COUNT(V123,W123,AA123,AB123,AC123,AE123,AG123,AI123,AM123,AO123)&lt;7,SUM(V123,W123,AA123,AB123,AC123,AE123,AG123,AI123,AM123,AO123),SUM(LARGE((V123,W123,AA123,AB123,AC123,AE123,AG123,AI123,AM123,AO123),{1;2;3;4;5;6;7}))))+(IF(COUNT(X123,AD123,AF123,AH123,AJ123,AN123)&lt;5,SUM(X123,AD123,AF123,AH123,AJ123,AN123),SUM(LARGE((X123,AD123,AF123,AH123,AJ123,AN123),{1;2;3;4;5}))))+U123</f>
        <v>74</v>
      </c>
      <c r="O123" s="413"/>
      <c r="P123" s="405">
        <f t="array" ref="P123">IF(S123="n",((IF(COUNT(V123,W123,AA123,AB123,AC123,AE123,AG123,AI123,AM123,AO123)&lt;7,SUM(V123,W123,AA123,AB123,AC123,AE123,AG123,AI123,AM123,AO123),SUM(LARGE((V123,W123,AA123,AB123,AC123,AE123,AG123,AI123,AM123,AO123),{1;2;3;4;5;6;7}))))+(IF(COUNT(Y123,AD123,AF123,AH123,AK123,AN123)&lt;5,SUM(Y123,AD123,AF123,AH123,AK123,AN123),SUM(LARGE((Y123,AD123,AF123,AH123,AK123,AN123),{1;2;3;4;5}))))+U123),0)</f>
        <v>0</v>
      </c>
      <c r="Q123" s="661"/>
      <c r="R123" s="405">
        <f t="array" ref="R123">IF(T123="j",((IF(COUNT(V123,W123,AA123,AB123,AC123,AE123,AG123,AI123,AM123,AO123)&lt;7,SUM(V123,W123,AA123,AB123,AC123,AE123,AG123,AI123,AM123,AO123),SUM(LARGE((V123,W123,AA123,AB123,AC123,AE123,AG123,AI123,AM123,AO123),{1;2;3;4;5;6;7}))))+(IF(COUNT(Z123,AD123,AF123,AH123,AJ123,AN123)&lt;5,SUM(Z123,AD123,AF123,AH123,AJ123,AN123),SUM(LARGE((Z123,AD123,AF123,AH123,AJ123,AN123),{1;2;3;4;5}))))+U123),0)</f>
        <v>0</v>
      </c>
      <c r="S123" s="64"/>
      <c r="T123" s="64"/>
      <c r="U123" s="173"/>
      <c r="V123" s="141" t="s">
        <v>397</v>
      </c>
      <c r="W123" s="141" t="s">
        <v>397</v>
      </c>
      <c r="X123" s="141" t="s">
        <v>397</v>
      </c>
      <c r="Y123" s="614"/>
      <c r="Z123" s="611"/>
      <c r="AA123" s="141" t="s">
        <v>397</v>
      </c>
      <c r="AB123" s="15"/>
      <c r="AC123" s="15"/>
      <c r="AD123" s="15"/>
      <c r="AE123" s="15">
        <v>74</v>
      </c>
      <c r="AF123" s="15"/>
      <c r="AG123" s="15"/>
      <c r="AH123" s="15"/>
      <c r="AI123" s="15"/>
      <c r="AJ123" s="15"/>
      <c r="AK123" s="613"/>
      <c r="AL123" s="15"/>
      <c r="AM123" s="15"/>
      <c r="AN123" s="15"/>
      <c r="AO123" s="15"/>
      <c r="AP123" s="33">
        <f t="shared" si="20"/>
        <v>1</v>
      </c>
      <c r="AQ123" s="440">
        <f t="shared" si="21"/>
        <v>0</v>
      </c>
      <c r="AR123" s="441">
        <f t="shared" si="22"/>
        <v>0</v>
      </c>
      <c r="AS123" s="34">
        <f t="shared" si="23"/>
        <v>0</v>
      </c>
      <c r="AT123" s="4">
        <f t="shared" si="24"/>
        <v>3</v>
      </c>
      <c r="AU123" s="285">
        <f t="shared" si="25"/>
        <v>1</v>
      </c>
    </row>
    <row r="124" spans="1:47" x14ac:dyDescent="0.2">
      <c r="A124" s="59">
        <v>81</v>
      </c>
      <c r="B124" s="438">
        <f t="shared" si="26"/>
        <v>81</v>
      </c>
      <c r="C124" s="432">
        <f t="shared" si="14"/>
        <v>10069</v>
      </c>
      <c r="D124" s="61" t="s">
        <v>327</v>
      </c>
      <c r="E124" s="438" t="str">
        <f t="shared" si="15"/>
        <v/>
      </c>
      <c r="F124" s="431">
        <f t="shared" si="16"/>
        <v>0</v>
      </c>
      <c r="G124" s="660" t="s">
        <v>327</v>
      </c>
      <c r="H124" s="438" t="str">
        <f t="shared" si="17"/>
        <v/>
      </c>
      <c r="I124" s="658">
        <f t="shared" si="18"/>
        <v>0</v>
      </c>
      <c r="J124" s="154">
        <f t="shared" si="19"/>
        <v>116</v>
      </c>
      <c r="K124" s="139">
        <v>116</v>
      </c>
      <c r="L124" s="601" t="s">
        <v>787</v>
      </c>
      <c r="M124" s="139">
        <v>69</v>
      </c>
      <c r="N124" s="514">
        <f t="array" ref="N124">(IF(COUNT(V124,W124,AA124,AB124,AC124,AE124,AG124,AI124,AM124,AO124)&lt;7,SUM(V124,W124,AA124,AB124,AC124,AE124,AG124,AI124,AM124,AO124),SUM(LARGE((V124,W124,AA124,AB124,AC124,AE124,AG124,AI124,AM124,AO124),{1;2;3;4;5;6;7}))))+(IF(COUNT(X124,AD124,AF124,AH124,AJ124,AN124)&lt;5,SUM(X124,AD124,AF124,AH124,AJ124,AN124),SUM(LARGE((X124,AD124,AF124,AH124,AJ124,AN124),{1;2;3;4;5}))))+U124</f>
        <v>69</v>
      </c>
      <c r="O124" s="413"/>
      <c r="P124" s="405">
        <f t="array" ref="P124">IF(S124="n",((IF(COUNT(V124,W124,AA124,AB124,AC124,AE124,AG124,AI124,AM124,AO124)&lt;7,SUM(V124,W124,AA124,AB124,AC124,AE124,AG124,AI124,AM124,AO124),SUM(LARGE((V124,W124,AA124,AB124,AC124,AE124,AG124,AI124,AM124,AO124),{1;2;3;4;5;6;7}))))+(IF(COUNT(Y124,AD124,AF124,AH124,AK124,AN124)&lt;5,SUM(Y124,AD124,AF124,AH124,AK124,AN124),SUM(LARGE((Y124,AD124,AF124,AH124,AK124,AN124),{1;2;3;4;5}))))+U124),0)</f>
        <v>0</v>
      </c>
      <c r="Q124" s="661"/>
      <c r="R124" s="405">
        <f t="array" ref="R124">IF(T124="j",((IF(COUNT(V124,W124,AA124,AB124,AC124,AE124,AG124,AI124,AM124,AO124)&lt;7,SUM(V124,W124,AA124,AB124,AC124,AE124,AG124,AI124,AM124,AO124),SUM(LARGE((V124,W124,AA124,AB124,AC124,AE124,AG124,AI124,AM124,AO124),{1;2;3;4;5;6;7}))))+(IF(COUNT(Z124,AD124,AF124,AH124,AJ124,AN124)&lt;5,SUM(Z124,AD124,AF124,AH124,AJ124,AN124),SUM(LARGE((Z124,AD124,AF124,AH124,AJ124,AN124),{1;2;3;4;5}))))+U124),0)</f>
        <v>0</v>
      </c>
      <c r="S124" s="64"/>
      <c r="T124" s="64"/>
      <c r="U124" s="173"/>
      <c r="V124" s="141" t="s">
        <v>397</v>
      </c>
      <c r="W124" s="141" t="s">
        <v>397</v>
      </c>
      <c r="X124" s="141" t="s">
        <v>397</v>
      </c>
      <c r="Y124" s="614"/>
      <c r="Z124" s="611"/>
      <c r="AA124" s="141" t="s">
        <v>397</v>
      </c>
      <c r="AB124" s="15"/>
      <c r="AC124" s="15"/>
      <c r="AD124" s="15"/>
      <c r="AE124" s="15"/>
      <c r="AF124" s="15"/>
      <c r="AG124" s="15"/>
      <c r="AH124" s="15"/>
      <c r="AI124" s="15"/>
      <c r="AJ124" s="15"/>
      <c r="AK124" s="613"/>
      <c r="AL124" s="15"/>
      <c r="AM124" s="15">
        <v>69</v>
      </c>
      <c r="AN124" s="15"/>
      <c r="AO124" s="15"/>
      <c r="AP124" s="33">
        <f t="shared" si="20"/>
        <v>1</v>
      </c>
      <c r="AQ124" s="440">
        <f t="shared" si="21"/>
        <v>0</v>
      </c>
      <c r="AR124" s="441">
        <f t="shared" si="22"/>
        <v>0</v>
      </c>
      <c r="AS124" s="34">
        <f t="shared" si="23"/>
        <v>0</v>
      </c>
      <c r="AT124" s="4">
        <f t="shared" si="24"/>
        <v>3</v>
      </c>
      <c r="AU124" s="285">
        <f t="shared" si="25"/>
        <v>1</v>
      </c>
    </row>
    <row r="125" spans="1:47" x14ac:dyDescent="0.2">
      <c r="A125" s="59">
        <v>81</v>
      </c>
      <c r="B125" s="438">
        <f t="shared" si="26"/>
        <v>81</v>
      </c>
      <c r="C125" s="432">
        <f t="shared" si="14"/>
        <v>10069</v>
      </c>
      <c r="D125" s="61" t="s">
        <v>327</v>
      </c>
      <c r="E125" s="438" t="str">
        <f t="shared" si="15"/>
        <v/>
      </c>
      <c r="F125" s="431">
        <f t="shared" si="16"/>
        <v>0</v>
      </c>
      <c r="G125" s="660" t="s">
        <v>327</v>
      </c>
      <c r="H125" s="438" t="str">
        <f t="shared" si="17"/>
        <v/>
      </c>
      <c r="I125" s="658">
        <f t="shared" si="18"/>
        <v>0</v>
      </c>
      <c r="J125" s="154">
        <f t="shared" si="19"/>
        <v>116</v>
      </c>
      <c r="K125" s="139">
        <v>116</v>
      </c>
      <c r="L125" s="601" t="s">
        <v>788</v>
      </c>
      <c r="M125" s="139">
        <v>69</v>
      </c>
      <c r="N125" s="514">
        <f t="array" ref="N125">(IF(COUNT(V125,W125,AA125,AB125,AC125,AE125,AG125,AI125,AM125,AO125)&lt;7,SUM(V125,W125,AA125,AB125,AC125,AE125,AG125,AI125,AM125,AO125),SUM(LARGE((V125,W125,AA125,AB125,AC125,AE125,AG125,AI125,AM125,AO125),{1;2;3;4;5;6;7}))))+(IF(COUNT(X125,AD125,AF125,AH125,AJ125,AN125)&lt;5,SUM(X125,AD125,AF125,AH125,AJ125,AN125),SUM(LARGE((X125,AD125,AF125,AH125,AJ125,AN125),{1;2;3;4;5}))))+U125</f>
        <v>69</v>
      </c>
      <c r="O125" s="413"/>
      <c r="P125" s="405">
        <f t="array" ref="P125">IF(S125="n",((IF(COUNT(V125,W125,AA125,AB125,AC125,AE125,AG125,AI125,AM125,AO125)&lt;7,SUM(V125,W125,AA125,AB125,AC125,AE125,AG125,AI125,AM125,AO125),SUM(LARGE((V125,W125,AA125,AB125,AC125,AE125,AG125,AI125,AM125,AO125),{1;2;3;4;5;6;7}))))+(IF(COUNT(Y125,AD125,AF125,AH125,AK125,AN125)&lt;5,SUM(Y125,AD125,AF125,AH125,AK125,AN125),SUM(LARGE((Y125,AD125,AF125,AH125,AK125,AN125),{1;2;3;4;5}))))+U125),0)</f>
        <v>0</v>
      </c>
      <c r="Q125" s="661"/>
      <c r="R125" s="405">
        <f t="array" ref="R125">IF(T125="j",((IF(COUNT(V125,W125,AA125,AB125,AC125,AE125,AG125,AI125,AM125,AO125)&lt;7,SUM(V125,W125,AA125,AB125,AC125,AE125,AG125,AI125,AM125,AO125),SUM(LARGE((V125,W125,AA125,AB125,AC125,AE125,AG125,AI125,AM125,AO125),{1;2;3;4;5;6;7}))))+(IF(COUNT(Z125,AD125,AF125,AH125,AJ125,AN125)&lt;5,SUM(Z125,AD125,AF125,AH125,AJ125,AN125),SUM(LARGE((Z125,AD125,AF125,AH125,AJ125,AN125),{1;2;3;4;5}))))+U125),0)</f>
        <v>0</v>
      </c>
      <c r="S125" s="64"/>
      <c r="T125" s="64"/>
      <c r="U125" s="173"/>
      <c r="V125" s="141" t="s">
        <v>397</v>
      </c>
      <c r="W125" s="141" t="s">
        <v>397</v>
      </c>
      <c r="X125" s="141" t="s">
        <v>397</v>
      </c>
      <c r="Y125" s="614"/>
      <c r="Z125" s="611"/>
      <c r="AA125" s="141" t="s">
        <v>397</v>
      </c>
      <c r="AB125" s="15"/>
      <c r="AC125" s="15"/>
      <c r="AD125" s="15"/>
      <c r="AE125" s="15"/>
      <c r="AF125" s="15"/>
      <c r="AG125" s="15"/>
      <c r="AH125" s="15"/>
      <c r="AI125" s="15"/>
      <c r="AJ125" s="15"/>
      <c r="AK125" s="613"/>
      <c r="AL125" s="15"/>
      <c r="AM125" s="15">
        <v>69</v>
      </c>
      <c r="AN125" s="15"/>
      <c r="AO125" s="15"/>
      <c r="AP125" s="33">
        <f t="shared" si="20"/>
        <v>1</v>
      </c>
      <c r="AQ125" s="440">
        <f t="shared" si="21"/>
        <v>0</v>
      </c>
      <c r="AR125" s="441">
        <f t="shared" si="22"/>
        <v>0</v>
      </c>
      <c r="AS125" s="34">
        <f t="shared" si="23"/>
        <v>0</v>
      </c>
      <c r="AT125" s="4">
        <f t="shared" si="24"/>
        <v>3</v>
      </c>
      <c r="AU125" s="285">
        <f t="shared" si="25"/>
        <v>1</v>
      </c>
    </row>
    <row r="126" spans="1:47" x14ac:dyDescent="0.2">
      <c r="A126" s="59">
        <v>83</v>
      </c>
      <c r="B126" s="438">
        <f t="shared" si="26"/>
        <v>83</v>
      </c>
      <c r="C126" s="432">
        <f t="shared" si="14"/>
        <v>10064</v>
      </c>
      <c r="D126" s="61" t="s">
        <v>327</v>
      </c>
      <c r="E126" s="438" t="str">
        <f t="shared" si="15"/>
        <v/>
      </c>
      <c r="F126" s="431">
        <f t="shared" si="16"/>
        <v>0</v>
      </c>
      <c r="G126" s="660" t="s">
        <v>327</v>
      </c>
      <c r="H126" s="438" t="str">
        <f t="shared" si="17"/>
        <v/>
      </c>
      <c r="I126" s="658">
        <f t="shared" si="18"/>
        <v>0</v>
      </c>
      <c r="J126" s="154">
        <f t="shared" si="19"/>
        <v>118</v>
      </c>
      <c r="K126" s="139">
        <v>118</v>
      </c>
      <c r="L126" s="601" t="s">
        <v>530</v>
      </c>
      <c r="M126" s="139">
        <v>64</v>
      </c>
      <c r="N126" s="446">
        <f t="array" ref="N126">(IF(COUNT(V126,W126,AA126,AB126,AC126,AE126,AG126,AI126,AM126,AO126)&lt;7,SUM(V126,W126,AA126,AB126,AC126,AE126,AG126,AI126,AM126,AO126),SUM(LARGE((V126,W126,AA126,AB126,AC126,AE126,AG126,AI126,AM126,AO126),{1;2;3;4;5;6;7}))))+(IF(COUNT(X126,AD126,AF126,AH126,AJ126,AN126)&lt;5,SUM(X126,AD126,AF126,AH126,AJ126,AN126),SUM(LARGE((X126,AD126,AF126,AH126,AJ126,AN126),{1;2;3;4;5}))))+U126</f>
        <v>64</v>
      </c>
      <c r="O126" s="413"/>
      <c r="P126" s="405">
        <f t="array" ref="P126">IF(S126="n",((IF(COUNT(V126,W126,AA126,AB126,AC126,AE126,AG126,AI126,AM126,AO126)&lt;7,SUM(V126,W126,AA126,AB126,AC126,AE126,AG126,AI126,AM126,AO126),SUM(LARGE((V126,W126,AA126,AB126,AC126,AE126,AG126,AI126,AM126,AO126),{1;2;3;4;5;6;7}))))+(IF(COUNT(Y126,AD126,AF126,AH126,AK126,AN126)&lt;5,SUM(Y126,AD126,AF126,AH126,AK126,AN126),SUM(LARGE((Y126,AD126,AF126,AH126,AK126,AN126),{1;2;3;4;5}))))+U126),0)</f>
        <v>0</v>
      </c>
      <c r="Q126" s="661"/>
      <c r="R126" s="405">
        <f t="array" ref="R126">IF(T126="j",((IF(COUNT(V126,W126,AA126,AB126,AC126,AE126,AG126,AI126,AM126,AO126)&lt;7,SUM(V126,W126,AA126,AB126,AC126,AE126,AG126,AI126,AM126,AO126),SUM(LARGE((V126,W126,AA126,AB126,AC126,AE126,AG126,AI126,AM126,AO126),{1;2;3;4;5;6;7}))))+(IF(COUNT(Z126,AD126,AF126,AH126,AJ126,AN126)&lt;5,SUM(Z126,AD126,AF126,AH126,AJ126,AN126),SUM(LARGE((Z126,AD126,AF126,AH126,AJ126,AN126),{1;2;3;4;5}))))+U126),0)</f>
        <v>0</v>
      </c>
      <c r="S126" s="64"/>
      <c r="T126" s="64"/>
      <c r="U126" s="173"/>
      <c r="V126" s="141" t="s">
        <v>397</v>
      </c>
      <c r="W126" s="141" t="s">
        <v>397</v>
      </c>
      <c r="X126" s="141" t="s">
        <v>397</v>
      </c>
      <c r="Y126" s="614"/>
      <c r="Z126" s="611"/>
      <c r="AA126" s="141" t="s">
        <v>397</v>
      </c>
      <c r="AB126" s="15"/>
      <c r="AC126" s="15">
        <v>64</v>
      </c>
      <c r="AD126" s="15"/>
      <c r="AE126" s="15"/>
      <c r="AF126" s="15"/>
      <c r="AG126" s="15"/>
      <c r="AH126" s="15"/>
      <c r="AI126" s="15"/>
      <c r="AJ126" s="15"/>
      <c r="AK126" s="613"/>
      <c r="AL126" s="15"/>
      <c r="AM126" s="15"/>
      <c r="AN126" s="15"/>
      <c r="AO126" s="15"/>
      <c r="AP126" s="33">
        <f t="shared" si="20"/>
        <v>1</v>
      </c>
      <c r="AQ126" s="440">
        <f t="shared" si="21"/>
        <v>0</v>
      </c>
      <c r="AR126" s="441">
        <f t="shared" si="22"/>
        <v>0</v>
      </c>
      <c r="AS126" s="34">
        <f t="shared" si="23"/>
        <v>0</v>
      </c>
      <c r="AT126" s="4">
        <f t="shared" si="24"/>
        <v>3</v>
      </c>
      <c r="AU126" s="285">
        <f t="shared" si="25"/>
        <v>1</v>
      </c>
    </row>
    <row r="127" spans="1:47" x14ac:dyDescent="0.2">
      <c r="A127" s="59">
        <v>84</v>
      </c>
      <c r="B127" s="438">
        <f t="shared" si="26"/>
        <v>83</v>
      </c>
      <c r="C127" s="432">
        <f t="shared" si="14"/>
        <v>10064</v>
      </c>
      <c r="D127" s="61" t="s">
        <v>327</v>
      </c>
      <c r="E127" s="438" t="str">
        <f t="shared" si="15"/>
        <v/>
      </c>
      <c r="F127" s="431">
        <f t="shared" si="16"/>
        <v>0</v>
      </c>
      <c r="G127" s="660" t="s">
        <v>327</v>
      </c>
      <c r="H127" s="438" t="str">
        <f t="shared" si="17"/>
        <v/>
      </c>
      <c r="I127" s="658">
        <f t="shared" si="18"/>
        <v>0</v>
      </c>
      <c r="J127" s="154">
        <f t="shared" si="19"/>
        <v>118</v>
      </c>
      <c r="K127" s="139">
        <v>119</v>
      </c>
      <c r="L127" s="601" t="s">
        <v>526</v>
      </c>
      <c r="M127" s="139">
        <v>64</v>
      </c>
      <c r="N127" s="446">
        <f t="array" ref="N127">(IF(COUNT(V127,W127,AA127,AB127,AC127,AE127,AG127,AI127,AM127,AO127)&lt;7,SUM(V127,W127,AA127,AB127,AC127,AE127,AG127,AI127,AM127,AO127),SUM(LARGE((V127,W127,AA127,AB127,AC127,AE127,AG127,AI127,AM127,AO127),{1;2;3;4;5;6;7}))))+(IF(COUNT(X127,AD127,AF127,AH127,AJ127,AN127)&lt;5,SUM(X127,AD127,AF127,AH127,AJ127,AN127),SUM(LARGE((X127,AD127,AF127,AH127,AJ127,AN127),{1;2;3;4;5}))))+U127</f>
        <v>64</v>
      </c>
      <c r="O127" s="413"/>
      <c r="P127" s="405">
        <f t="array" ref="P127">IF(S127="n",((IF(COUNT(V127,W127,AA127,AB127,AC127,AE127,AG127,AI127,AM127,AO127)&lt;7,SUM(V127,W127,AA127,AB127,AC127,AE127,AG127,AI127,AM127,AO127),SUM(LARGE((V127,W127,AA127,AB127,AC127,AE127,AG127,AI127,AM127,AO127),{1;2;3;4;5;6;7}))))+(IF(COUNT(Y127,AD127,AF127,AH127,AK127,AN127)&lt;5,SUM(Y127,AD127,AF127,AH127,AK127,AN127),SUM(LARGE((Y127,AD127,AF127,AH127,AK127,AN127),{1;2;3;4;5}))))+U127),0)</f>
        <v>0</v>
      </c>
      <c r="Q127" s="661"/>
      <c r="R127" s="405">
        <f t="array" ref="R127">IF(T127="j",((IF(COUNT(V127,W127,AA127,AB127,AC127,AE127,AG127,AI127,AM127,AO127)&lt;7,SUM(V127,W127,AA127,AB127,AC127,AE127,AG127,AI127,AM127,AO127),SUM(LARGE((V127,W127,AA127,AB127,AC127,AE127,AG127,AI127,AM127,AO127),{1;2;3;4;5;6;7}))))+(IF(COUNT(Z127,AD127,AF127,AH127,AJ127,AN127)&lt;5,SUM(Z127,AD127,AF127,AH127,AJ127,AN127),SUM(LARGE((Z127,AD127,AF127,AH127,AJ127,AN127),{1;2;3;4;5}))))+U127),0)</f>
        <v>0</v>
      </c>
      <c r="S127" s="64"/>
      <c r="T127" s="64"/>
      <c r="U127" s="173"/>
      <c r="V127" s="141" t="s">
        <v>397</v>
      </c>
      <c r="W127" s="141" t="s">
        <v>397</v>
      </c>
      <c r="X127" s="141" t="s">
        <v>397</v>
      </c>
      <c r="Y127" s="614"/>
      <c r="Z127" s="611"/>
      <c r="AA127" s="141" t="s">
        <v>397</v>
      </c>
      <c r="AB127" s="15">
        <v>12</v>
      </c>
      <c r="AC127" s="15">
        <v>52</v>
      </c>
      <c r="AD127" s="15"/>
      <c r="AE127" s="15"/>
      <c r="AF127" s="15"/>
      <c r="AG127" s="15"/>
      <c r="AH127" s="15"/>
      <c r="AI127" s="15"/>
      <c r="AJ127" s="15"/>
      <c r="AK127" s="613"/>
      <c r="AL127" s="15"/>
      <c r="AM127" s="15"/>
      <c r="AN127" s="15"/>
      <c r="AO127" s="15"/>
      <c r="AP127" s="33">
        <f t="shared" si="20"/>
        <v>2</v>
      </c>
      <c r="AQ127" s="440">
        <f t="shared" si="21"/>
        <v>0</v>
      </c>
      <c r="AR127" s="441">
        <f t="shared" si="22"/>
        <v>0</v>
      </c>
      <c r="AS127" s="34">
        <f t="shared" si="23"/>
        <v>0</v>
      </c>
      <c r="AT127" s="4">
        <f t="shared" si="24"/>
        <v>3</v>
      </c>
      <c r="AU127" s="285">
        <f t="shared" si="25"/>
        <v>1</v>
      </c>
    </row>
    <row r="128" spans="1:47" x14ac:dyDescent="0.2">
      <c r="A128" s="59">
        <v>84</v>
      </c>
      <c r="B128" s="438">
        <f t="shared" si="26"/>
        <v>83</v>
      </c>
      <c r="C128" s="432">
        <f t="shared" si="14"/>
        <v>10064</v>
      </c>
      <c r="D128" s="61" t="s">
        <v>327</v>
      </c>
      <c r="E128" s="438" t="str">
        <f t="shared" si="15"/>
        <v/>
      </c>
      <c r="F128" s="431">
        <f t="shared" si="16"/>
        <v>0</v>
      </c>
      <c r="G128" s="660" t="s">
        <v>327</v>
      </c>
      <c r="H128" s="438" t="str">
        <f t="shared" si="17"/>
        <v/>
      </c>
      <c r="I128" s="658">
        <f t="shared" si="18"/>
        <v>0</v>
      </c>
      <c r="J128" s="154">
        <f t="shared" si="19"/>
        <v>118</v>
      </c>
      <c r="K128" s="139">
        <v>119</v>
      </c>
      <c r="L128" s="601" t="s">
        <v>527</v>
      </c>
      <c r="M128" s="139">
        <v>64</v>
      </c>
      <c r="N128" s="446">
        <f t="array" ref="N128">(IF(COUNT(V128,W128,AA128,AB128,AC128,AE128,AG128,AI128,AM128,AO128)&lt;7,SUM(V128,W128,AA128,AB128,AC128,AE128,AG128,AI128,AM128,AO128),SUM(LARGE((V128,W128,AA128,AB128,AC128,AE128,AG128,AI128,AM128,AO128),{1;2;3;4;5;6;7}))))+(IF(COUNT(X128,AD128,AF128,AH128,AJ128,AN128)&lt;5,SUM(X128,AD128,AF128,AH128,AJ128,AN128),SUM(LARGE((X128,AD128,AF128,AH128,AJ128,AN128),{1;2;3;4;5}))))+U128</f>
        <v>64</v>
      </c>
      <c r="O128" s="413"/>
      <c r="P128" s="405">
        <f t="array" ref="P128">IF(S128="n",((IF(COUNT(V128,W128,AA128,AB128,AC128,AE128,AG128,AI128,AM128,AO128)&lt;7,SUM(V128,W128,AA128,AB128,AC128,AE128,AG128,AI128,AM128,AO128),SUM(LARGE((V128,W128,AA128,AB128,AC128,AE128,AG128,AI128,AM128,AO128),{1;2;3;4;5;6;7}))))+(IF(COUNT(Y128,AD128,AF128,AH128,AK128,AN128)&lt;5,SUM(Y128,AD128,AF128,AH128,AK128,AN128),SUM(LARGE((Y128,AD128,AF128,AH128,AK128,AN128),{1;2;3;4;5}))))+U128),0)</f>
        <v>0</v>
      </c>
      <c r="Q128" s="661"/>
      <c r="R128" s="405">
        <f t="array" ref="R128">IF(T128="j",((IF(COUNT(V128,W128,AA128,AB128,AC128,AE128,AG128,AI128,AM128,AO128)&lt;7,SUM(V128,W128,AA128,AB128,AC128,AE128,AG128,AI128,AM128,AO128),SUM(LARGE((V128,W128,AA128,AB128,AC128,AE128,AG128,AI128,AM128,AO128),{1;2;3;4;5;6;7}))))+(IF(COUNT(Z128,AD128,AF128,AH128,AJ128,AN128)&lt;5,SUM(Z128,AD128,AF128,AH128,AJ128,AN128),SUM(LARGE((Z128,AD128,AF128,AH128,AJ128,AN128),{1;2;3;4;5}))))+U128),0)</f>
        <v>0</v>
      </c>
      <c r="S128" s="64"/>
      <c r="T128" s="64"/>
      <c r="U128" s="173"/>
      <c r="V128" s="141" t="s">
        <v>397</v>
      </c>
      <c r="W128" s="141" t="s">
        <v>397</v>
      </c>
      <c r="X128" s="141" t="s">
        <v>397</v>
      </c>
      <c r="Y128" s="614"/>
      <c r="Z128" s="611"/>
      <c r="AA128" s="141" t="s">
        <v>397</v>
      </c>
      <c r="AB128" s="15">
        <v>12</v>
      </c>
      <c r="AC128" s="15">
        <v>52</v>
      </c>
      <c r="AD128" s="15"/>
      <c r="AE128" s="15"/>
      <c r="AF128" s="15"/>
      <c r="AG128" s="15"/>
      <c r="AH128" s="15"/>
      <c r="AI128" s="15"/>
      <c r="AJ128" s="15"/>
      <c r="AK128" s="613"/>
      <c r="AL128" s="15"/>
      <c r="AM128" s="15"/>
      <c r="AN128" s="15"/>
      <c r="AO128" s="15"/>
      <c r="AP128" s="33">
        <f t="shared" si="20"/>
        <v>2</v>
      </c>
      <c r="AQ128" s="440">
        <f t="shared" si="21"/>
        <v>0</v>
      </c>
      <c r="AR128" s="441">
        <f t="shared" si="22"/>
        <v>0</v>
      </c>
      <c r="AS128" s="34">
        <f t="shared" si="23"/>
        <v>0</v>
      </c>
      <c r="AT128" s="4">
        <f t="shared" si="24"/>
        <v>3</v>
      </c>
      <c r="AU128" s="285">
        <f t="shared" si="25"/>
        <v>1</v>
      </c>
    </row>
    <row r="129" spans="1:47" x14ac:dyDescent="0.2">
      <c r="A129" s="59">
        <v>86</v>
      </c>
      <c r="B129" s="438">
        <f t="shared" si="26"/>
        <v>86</v>
      </c>
      <c r="C129" s="432">
        <f t="shared" si="14"/>
        <v>10060</v>
      </c>
      <c r="D129" s="61" t="s">
        <v>327</v>
      </c>
      <c r="E129" s="438" t="str">
        <f t="shared" si="15"/>
        <v/>
      </c>
      <c r="F129" s="431">
        <f t="shared" si="16"/>
        <v>0</v>
      </c>
      <c r="G129" s="660" t="s">
        <v>327</v>
      </c>
      <c r="H129" s="438" t="str">
        <f t="shared" si="17"/>
        <v/>
      </c>
      <c r="I129" s="658">
        <f t="shared" si="18"/>
        <v>0</v>
      </c>
      <c r="J129" s="154">
        <f t="shared" si="19"/>
        <v>121</v>
      </c>
      <c r="K129" s="139">
        <v>121</v>
      </c>
      <c r="L129" s="601" t="s">
        <v>713</v>
      </c>
      <c r="M129" s="139">
        <v>60</v>
      </c>
      <c r="N129" s="446">
        <f t="array" ref="N129">(IF(COUNT(V129,W129,AA129,AB129,AC129,AE129,AG129,AI129,AM129,AO129)&lt;7,SUM(V129,W129,AA129,AB129,AC129,AE129,AG129,AI129,AM129,AO129),SUM(LARGE((V129,W129,AA129,AB129,AC129,AE129,AG129,AI129,AM129,AO129),{1;2;3;4;5;6;7}))))+(IF(COUNT(X129,AD129,AF129,AH129,AJ129,AN129)&lt;5,SUM(X129,AD129,AF129,AH129,AJ129,AN129),SUM(LARGE((X129,AD129,AF129,AH129,AJ129,AN129),{1;2;3;4;5}))))+U129</f>
        <v>60</v>
      </c>
      <c r="O129" s="413"/>
      <c r="P129" s="405">
        <f t="array" ref="P129">IF(S129="n",((IF(COUNT(V129,W129,AA129,AB129,AC129,AE129,AG129,AI129,AM129,AO129)&lt;7,SUM(V129,W129,AA129,AB129,AC129,AE129,AG129,AI129,AM129,AO129),SUM(LARGE((V129,W129,AA129,AB129,AC129,AE129,AG129,AI129,AM129,AO129),{1;2;3;4;5;6;7}))))+(IF(COUNT(Y129,AD129,AF129,AH129,AK129,AN129)&lt;5,SUM(Y129,AD129,AF129,AH129,AK129,AN129),SUM(LARGE((Y129,AD129,AF129,AH129,AK129,AN129),{1;2;3;4;5}))))+U129),0)</f>
        <v>0</v>
      </c>
      <c r="Q129" s="661"/>
      <c r="R129" s="405">
        <f t="array" ref="R129">IF(T129="j",((IF(COUNT(V129,W129,AA129,AB129,AC129,AE129,AG129,AI129,AM129,AO129)&lt;7,SUM(V129,W129,AA129,AB129,AC129,AE129,AG129,AI129,AM129,AO129),SUM(LARGE((V129,W129,AA129,AB129,AC129,AE129,AG129,AI129,AM129,AO129),{1;2;3;4;5;6;7}))))+(IF(COUNT(Z129,AD129,AF129,AH129,AJ129,AN129)&lt;5,SUM(Z129,AD129,AF129,AH129,AJ129,AN129),SUM(LARGE((Z129,AD129,AF129,AH129,AJ129,AN129),{1;2;3;4;5}))))+U129),0)</f>
        <v>0</v>
      </c>
      <c r="S129" s="64"/>
      <c r="T129" s="64"/>
      <c r="U129" s="173"/>
      <c r="V129" s="141" t="s">
        <v>397</v>
      </c>
      <c r="W129" s="141" t="s">
        <v>397</v>
      </c>
      <c r="X129" s="141" t="s">
        <v>397</v>
      </c>
      <c r="Y129" s="614"/>
      <c r="Z129" s="611"/>
      <c r="AA129" s="141" t="s">
        <v>397</v>
      </c>
      <c r="AB129" s="15"/>
      <c r="AC129" s="15"/>
      <c r="AD129" s="15"/>
      <c r="AE129" s="15"/>
      <c r="AF129" s="15"/>
      <c r="AG129" s="15">
        <v>60</v>
      </c>
      <c r="AH129" s="15"/>
      <c r="AI129" s="15"/>
      <c r="AJ129" s="15"/>
      <c r="AK129" s="613"/>
      <c r="AL129" s="15"/>
      <c r="AM129" s="15"/>
      <c r="AN129" s="15"/>
      <c r="AO129" s="15"/>
      <c r="AP129" s="33">
        <f t="shared" si="20"/>
        <v>1</v>
      </c>
      <c r="AQ129" s="440">
        <f t="shared" si="21"/>
        <v>0</v>
      </c>
      <c r="AR129" s="441">
        <f t="shared" si="22"/>
        <v>0</v>
      </c>
      <c r="AS129" s="34">
        <f t="shared" si="23"/>
        <v>0</v>
      </c>
      <c r="AT129" s="4">
        <f t="shared" si="24"/>
        <v>3</v>
      </c>
      <c r="AU129" s="285">
        <f t="shared" si="25"/>
        <v>1</v>
      </c>
    </row>
    <row r="130" spans="1:47" x14ac:dyDescent="0.2">
      <c r="A130" s="59" t="s">
        <v>327</v>
      </c>
      <c r="B130" s="438" t="str">
        <f t="shared" si="26"/>
        <v/>
      </c>
      <c r="C130" s="432">
        <f t="shared" si="14"/>
        <v>0</v>
      </c>
      <c r="D130" s="61">
        <v>36</v>
      </c>
      <c r="E130" s="438">
        <f t="shared" si="15"/>
        <v>36</v>
      </c>
      <c r="F130" s="431">
        <f t="shared" si="16"/>
        <v>10059</v>
      </c>
      <c r="G130" s="660" t="s">
        <v>327</v>
      </c>
      <c r="H130" s="438" t="str">
        <f t="shared" si="17"/>
        <v/>
      </c>
      <c r="I130" s="658">
        <f t="shared" si="18"/>
        <v>0</v>
      </c>
      <c r="J130" s="154">
        <f t="shared" si="19"/>
        <v>122</v>
      </c>
      <c r="K130" s="139">
        <v>122</v>
      </c>
      <c r="L130" s="65" t="s">
        <v>524</v>
      </c>
      <c r="M130" s="139">
        <v>59</v>
      </c>
      <c r="N130" s="446">
        <f t="array" ref="N130">(IF(COUNT(V130,W130,AA130,AB130,AC130,AE130,AG130,AI130,AM130,AO130)&lt;7,SUM(V130,W130,AA130,AB130,AC130,AE130,AG130,AI130,AM130,AO130),SUM(LARGE((V130,W130,AA130,AB130,AC130,AE130,AG130,AI130,AM130,AO130),{1;2;3;4;5;6;7}))))+(IF(COUNT(X130,AD130,AF130,AH130,AJ130,AN130)&lt;5,SUM(X130,AD130,AF130,AH130,AJ130,AN130),SUM(LARGE((X130,AD130,AF130,AH130,AJ130,AN130),{1;2;3;4;5}))))+U130</f>
        <v>59</v>
      </c>
      <c r="O130" s="413">
        <v>59</v>
      </c>
      <c r="P130" s="405">
        <f t="array" ref="P130">IF(S130="n",((IF(COUNT(V130,W130,AA130,AB130,AC130,AE130,AG130,AI130,AM130,AO130)&lt;7,SUM(V130,W130,AA130,AB130,AC130,AE130,AG130,AI130,AM130,AO130),SUM(LARGE((V130,W130,AA130,AB130,AC130,AE130,AG130,AI130,AM130,AO130),{1;2;3;4;5;6;7}))))+(IF(COUNT(Y130,AD130,AF130,AH130,AK130,AN130)&lt;5,SUM(Y130,AD130,AF130,AH130,AK130,AN130),SUM(LARGE((Y130,AD130,AF130,AH130,AK130,AN130),{1;2;3;4;5}))))+U130),0)</f>
        <v>59</v>
      </c>
      <c r="Q130" s="661"/>
      <c r="R130" s="405">
        <f t="array" ref="R130">IF(T130="j",((IF(COUNT(V130,W130,AA130,AB130,AC130,AE130,AG130,AI130,AM130,AO130)&lt;7,SUM(V130,W130,AA130,AB130,AC130,AE130,AG130,AI130,AM130,AO130),SUM(LARGE((V130,W130,AA130,AB130,AC130,AE130,AG130,AI130,AM130,AO130),{1;2;3;4;5;6;7}))))+(IF(COUNT(Z130,AD130,AF130,AH130,AJ130,AN130)&lt;5,SUM(Z130,AD130,AF130,AH130,AJ130,AN130),SUM(LARGE((Z130,AD130,AF130,AH130,AJ130,AN130),{1;2;3;4;5}))))+U130),0)</f>
        <v>0</v>
      </c>
      <c r="S130" s="64" t="s">
        <v>35</v>
      </c>
      <c r="T130" s="64"/>
      <c r="U130" s="173"/>
      <c r="V130" s="141" t="s">
        <v>397</v>
      </c>
      <c r="W130" s="141" t="s">
        <v>397</v>
      </c>
      <c r="X130" s="141" t="s">
        <v>397</v>
      </c>
      <c r="Y130" s="614"/>
      <c r="Z130" s="611"/>
      <c r="AA130" s="141" t="s">
        <v>397</v>
      </c>
      <c r="AB130" s="15">
        <v>16</v>
      </c>
      <c r="AC130" s="15">
        <v>43</v>
      </c>
      <c r="AD130" s="15"/>
      <c r="AE130" s="15"/>
      <c r="AF130" s="15"/>
      <c r="AG130" s="15"/>
      <c r="AH130" s="15"/>
      <c r="AI130" s="15"/>
      <c r="AJ130" s="15"/>
      <c r="AK130" s="613"/>
      <c r="AL130" s="15"/>
      <c r="AM130" s="15"/>
      <c r="AN130" s="15"/>
      <c r="AO130" s="15"/>
      <c r="AP130" s="33">
        <f t="shared" si="20"/>
        <v>2</v>
      </c>
      <c r="AQ130" s="440">
        <f t="shared" si="21"/>
        <v>0</v>
      </c>
      <c r="AR130" s="441">
        <f t="shared" si="22"/>
        <v>0</v>
      </c>
      <c r="AS130" s="34">
        <f t="shared" si="23"/>
        <v>0</v>
      </c>
      <c r="AT130" s="4">
        <f t="shared" si="24"/>
        <v>3</v>
      </c>
      <c r="AU130" s="285">
        <f t="shared" si="25"/>
        <v>1</v>
      </c>
    </row>
    <row r="131" spans="1:47" x14ac:dyDescent="0.2">
      <c r="A131" s="59" t="s">
        <v>327</v>
      </c>
      <c r="B131" s="438" t="str">
        <f t="shared" si="26"/>
        <v/>
      </c>
      <c r="C131" s="432">
        <f t="shared" si="14"/>
        <v>0</v>
      </c>
      <c r="D131" s="61">
        <v>37</v>
      </c>
      <c r="E131" s="438">
        <f t="shared" si="15"/>
        <v>37</v>
      </c>
      <c r="F131" s="431">
        <f t="shared" si="16"/>
        <v>10058</v>
      </c>
      <c r="G131" s="660" t="s">
        <v>327</v>
      </c>
      <c r="H131" s="438" t="str">
        <f t="shared" si="17"/>
        <v/>
      </c>
      <c r="I131" s="658">
        <f t="shared" si="18"/>
        <v>0</v>
      </c>
      <c r="J131" s="154">
        <f t="shared" si="19"/>
        <v>123</v>
      </c>
      <c r="K131" s="139">
        <v>123</v>
      </c>
      <c r="L131" s="65" t="s">
        <v>308</v>
      </c>
      <c r="M131" s="637">
        <v>58</v>
      </c>
      <c r="N131" s="446">
        <f t="array" ref="N131">(IF(COUNT(V131,W131,AA131,AB131,AC131,AE131,AG131,AI131,AM131,AO131)&lt;7,SUM(V131,W131,AA131,AB131,AC131,AE131,AG131,AI131,AM131,AO131),SUM(LARGE((V131,W131,AA131,AB131,AC131,AE131,AG131,AI131,AM131,AO131),{1;2;3;4;5;6;7}))))+(IF(COUNT(X131,AD131,AF131,AH131,AJ131,AN131)&lt;5,SUM(X131,AD131,AF131,AH131,AJ131,AN131),SUM(LARGE((X131,AD131,AF131,AH131,AJ131,AN131),{1;2;3;4;5}))))+U131</f>
        <v>58</v>
      </c>
      <c r="O131" s="413">
        <v>58</v>
      </c>
      <c r="P131" s="405">
        <f t="array" ref="P131">IF(S131="n",((IF(COUNT(V131,W131,AA131,AB131,AC131,AE131,AG131,AI131,AM131,AO131)&lt;7,SUM(V131,W131,AA131,AB131,AC131,AE131,AG131,AI131,AM131,AO131),SUM(LARGE((V131,W131,AA131,AB131,AC131,AE131,AG131,AI131,AM131,AO131),{1;2;3;4;5;6;7}))))+(IF(COUNT(Y131,AD131,AF131,AH131,AK131,AN131)&lt;5,SUM(Y131,AD131,AF131,AH131,AK131,AN131),SUM(LARGE((Y131,AD131,AF131,AH131,AK131,AN131),{1;2;3;4;5}))))+U131),0)</f>
        <v>58</v>
      </c>
      <c r="Q131" s="661"/>
      <c r="R131" s="405">
        <f t="array" ref="R131">IF(T131="j",((IF(COUNT(V131,W131,AA131,AB131,AC131,AE131,AG131,AI131,AM131,AO131)&lt;7,SUM(V131,W131,AA131,AB131,AC131,AE131,AG131,AI131,AM131,AO131),SUM(LARGE((V131,W131,AA131,AB131,AC131,AE131,AG131,AI131,AM131,AO131),{1;2;3;4;5;6;7}))))+(IF(COUNT(Z131,AD131,AF131,AH131,AJ131,AN131)&lt;5,SUM(Z131,AD131,AF131,AH131,AJ131,AN131),SUM(LARGE((Z131,AD131,AF131,AH131,AJ131,AN131),{1;2;3;4;5}))))+U131),0)</f>
        <v>0</v>
      </c>
      <c r="S131" s="64" t="s">
        <v>35</v>
      </c>
      <c r="T131" s="64"/>
      <c r="U131" s="173">
        <v>1</v>
      </c>
      <c r="V131" s="141" t="s">
        <v>397</v>
      </c>
      <c r="W131" s="141" t="s">
        <v>397</v>
      </c>
      <c r="X131" s="141" t="s">
        <v>397</v>
      </c>
      <c r="Y131" s="614"/>
      <c r="Z131" s="611"/>
      <c r="AA131" s="141" t="s">
        <v>397</v>
      </c>
      <c r="AB131" s="15"/>
      <c r="AC131" s="15"/>
      <c r="AD131" s="15"/>
      <c r="AE131" s="15"/>
      <c r="AF131" s="15"/>
      <c r="AG131" s="15"/>
      <c r="AH131" s="15"/>
      <c r="AI131" s="15"/>
      <c r="AJ131" s="15"/>
      <c r="AK131" s="613"/>
      <c r="AL131" s="15"/>
      <c r="AM131" s="15">
        <v>14</v>
      </c>
      <c r="AN131" s="15"/>
      <c r="AO131" s="15">
        <v>43</v>
      </c>
      <c r="AP131" s="33">
        <f t="shared" si="20"/>
        <v>2</v>
      </c>
      <c r="AQ131" s="440">
        <f t="shared" si="21"/>
        <v>0</v>
      </c>
      <c r="AR131" s="441">
        <f t="shared" si="22"/>
        <v>0</v>
      </c>
      <c r="AS131" s="34">
        <f t="shared" si="23"/>
        <v>0</v>
      </c>
      <c r="AT131" s="4">
        <f t="shared" si="24"/>
        <v>3</v>
      </c>
      <c r="AU131" s="285">
        <f t="shared" si="25"/>
        <v>1</v>
      </c>
    </row>
    <row r="132" spans="1:47" x14ac:dyDescent="0.2">
      <c r="A132" s="59">
        <v>87</v>
      </c>
      <c r="B132" s="438">
        <f t="shared" si="26"/>
        <v>87</v>
      </c>
      <c r="C132" s="432">
        <f t="shared" si="14"/>
        <v>10058</v>
      </c>
      <c r="D132" s="61" t="s">
        <v>327</v>
      </c>
      <c r="E132" s="438" t="str">
        <f t="shared" si="15"/>
        <v/>
      </c>
      <c r="F132" s="431">
        <f t="shared" si="16"/>
        <v>0</v>
      </c>
      <c r="G132" s="660" t="s">
        <v>327</v>
      </c>
      <c r="H132" s="438" t="str">
        <f t="shared" si="17"/>
        <v/>
      </c>
      <c r="I132" s="658">
        <f t="shared" si="18"/>
        <v>0</v>
      </c>
      <c r="J132" s="154">
        <f t="shared" si="19"/>
        <v>123</v>
      </c>
      <c r="K132" s="139">
        <v>123</v>
      </c>
      <c r="L132" s="601" t="s">
        <v>309</v>
      </c>
      <c r="M132" s="637">
        <v>58</v>
      </c>
      <c r="N132" s="446">
        <f t="array" ref="N132">(IF(COUNT(V132,W132,AA132,AB132,AC132,AE132,AG132,AI132,AM132,AO132)&lt;7,SUM(V132,W132,AA132,AB132,AC132,AE132,AG132,AI132,AM132,AO132),SUM(LARGE((V132,W132,AA132,AB132,AC132,AE132,AG132,AI132,AM132,AO132),{1;2;3;4;5;6;7}))))+(IF(COUNT(X132,AD132,AF132,AH132,AJ132,AN132)&lt;5,SUM(X132,AD132,AF132,AH132,AJ132,AN132),SUM(LARGE((X132,AD132,AF132,AH132,AJ132,AN132),{1;2;3;4;5}))))+U132</f>
        <v>58</v>
      </c>
      <c r="O132" s="413"/>
      <c r="P132" s="405">
        <f t="array" ref="P132">IF(S132="n",((IF(COUNT(V132,W132,AA132,AB132,AC132,AE132,AG132,AI132,AM132,AO132)&lt;7,SUM(V132,W132,AA132,AB132,AC132,AE132,AG132,AI132,AM132,AO132),SUM(LARGE((V132,W132,AA132,AB132,AC132,AE132,AG132,AI132,AM132,AO132),{1;2;3;4;5;6;7}))))+(IF(COUNT(Y132,AD132,AF132,AH132,AK132,AN132)&lt;5,SUM(Y132,AD132,AF132,AH132,AK132,AN132),SUM(LARGE((Y132,AD132,AF132,AH132,AK132,AN132),{1;2;3;4;5}))))+U132),0)</f>
        <v>0</v>
      </c>
      <c r="Q132" s="661"/>
      <c r="R132" s="405">
        <f t="array" ref="R132">IF(T132="j",((IF(COUNT(V132,W132,AA132,AB132,AC132,AE132,AG132,AI132,AM132,AO132)&lt;7,SUM(V132,W132,AA132,AB132,AC132,AE132,AG132,AI132,AM132,AO132),SUM(LARGE((V132,W132,AA132,AB132,AC132,AE132,AG132,AI132,AM132,AO132),{1;2;3;4;5;6;7}))))+(IF(COUNT(Z132,AD132,AF132,AH132,AJ132,AN132)&lt;5,SUM(Z132,AD132,AF132,AH132,AJ132,AN132),SUM(LARGE((Z132,AD132,AF132,AH132,AJ132,AN132),{1;2;3;4;5}))))+U132),0)</f>
        <v>0</v>
      </c>
      <c r="S132" s="64"/>
      <c r="T132" s="64"/>
      <c r="U132" s="173">
        <v>1</v>
      </c>
      <c r="V132" s="141" t="s">
        <v>397</v>
      </c>
      <c r="W132" s="141" t="s">
        <v>397</v>
      </c>
      <c r="X132" s="141" t="s">
        <v>397</v>
      </c>
      <c r="Y132" s="614"/>
      <c r="Z132" s="611"/>
      <c r="AA132" s="141" t="s">
        <v>397</v>
      </c>
      <c r="AB132" s="15"/>
      <c r="AC132" s="15"/>
      <c r="AD132" s="15"/>
      <c r="AE132" s="15"/>
      <c r="AF132" s="15"/>
      <c r="AG132" s="15"/>
      <c r="AH132" s="15"/>
      <c r="AI132" s="15"/>
      <c r="AJ132" s="15"/>
      <c r="AK132" s="613"/>
      <c r="AL132" s="15"/>
      <c r="AM132" s="15">
        <v>14</v>
      </c>
      <c r="AN132" s="15"/>
      <c r="AO132" s="15">
        <v>43</v>
      </c>
      <c r="AP132" s="33">
        <f t="shared" si="20"/>
        <v>2</v>
      </c>
      <c r="AQ132" s="440">
        <f t="shared" si="21"/>
        <v>0</v>
      </c>
      <c r="AR132" s="441">
        <f t="shared" si="22"/>
        <v>0</v>
      </c>
      <c r="AS132" s="34">
        <f t="shared" si="23"/>
        <v>0</v>
      </c>
      <c r="AT132" s="4">
        <f t="shared" si="24"/>
        <v>3</v>
      </c>
      <c r="AU132" s="285">
        <f t="shared" si="25"/>
        <v>1</v>
      </c>
    </row>
    <row r="133" spans="1:47" x14ac:dyDescent="0.2">
      <c r="A133" s="59" t="s">
        <v>327</v>
      </c>
      <c r="B133" s="438" t="str">
        <f t="shared" si="26"/>
        <v/>
      </c>
      <c r="C133" s="432">
        <f t="shared" si="14"/>
        <v>0</v>
      </c>
      <c r="D133" s="61">
        <v>38</v>
      </c>
      <c r="E133" s="438">
        <f t="shared" si="15"/>
        <v>38</v>
      </c>
      <c r="F133" s="431">
        <f t="shared" si="16"/>
        <v>10057</v>
      </c>
      <c r="G133" s="660" t="s">
        <v>327</v>
      </c>
      <c r="H133" s="438" t="str">
        <f t="shared" si="17"/>
        <v/>
      </c>
      <c r="I133" s="658">
        <f t="shared" si="18"/>
        <v>0</v>
      </c>
      <c r="J133" s="154">
        <f t="shared" si="19"/>
        <v>125</v>
      </c>
      <c r="K133" s="139">
        <v>125</v>
      </c>
      <c r="L133" s="65" t="s">
        <v>528</v>
      </c>
      <c r="M133" s="139">
        <v>57</v>
      </c>
      <c r="N133" s="446">
        <f t="array" ref="N133">(IF(COUNT(V133,W133,AA133,AB133,AC133,AE133,AG133,AI133,AM133,AO133)&lt;7,SUM(V133,W133,AA133,AB133,AC133,AE133,AG133,AI133,AM133,AO133),SUM(LARGE((V133,W133,AA133,AB133,AC133,AE133,AG133,AI133,AM133,AO133),{1;2;3;4;5;6;7}))))+(IF(COUNT(X133,AD133,AF133,AH133,AJ133,AN133)&lt;5,SUM(X133,AD133,AF133,AH133,AJ133,AN133),SUM(LARGE((X133,AD133,AF133,AH133,AJ133,AN133),{1;2;3;4;5}))))+U133</f>
        <v>57</v>
      </c>
      <c r="O133" s="413">
        <v>57</v>
      </c>
      <c r="P133" s="405">
        <f t="array" ref="P133">IF(S133="n",((IF(COUNT(V133,W133,AA133,AB133,AC133,AE133,AG133,AI133,AM133,AO133)&lt;7,SUM(V133,W133,AA133,AB133,AC133,AE133,AG133,AI133,AM133,AO133),SUM(LARGE((V133,W133,AA133,AB133,AC133,AE133,AG133,AI133,AM133,AO133),{1;2;3;4;5;6;7}))))+(IF(COUNT(Y133,AD133,AF133,AH133,AK133,AN133)&lt;5,SUM(Y133,AD133,AF133,AH133,AK133,AN133),SUM(LARGE((Y133,AD133,AF133,AH133,AK133,AN133),{1;2;3;4;5}))))+U133),0)</f>
        <v>57</v>
      </c>
      <c r="Q133" s="661"/>
      <c r="R133" s="405">
        <f t="array" ref="R133">IF(T133="j",((IF(COUNT(V133,W133,AA133,AB133,AC133,AE133,AG133,AI133,AM133,AO133)&lt;7,SUM(V133,W133,AA133,AB133,AC133,AE133,AG133,AI133,AM133,AO133),SUM(LARGE((V133,W133,AA133,AB133,AC133,AE133,AG133,AI133,AM133,AO133),{1;2;3;4;5;6;7}))))+(IF(COUNT(Z133,AD133,AF133,AH133,AJ133,AN133)&lt;5,SUM(Z133,AD133,AF133,AH133,AJ133,AN133),SUM(LARGE((Z133,AD133,AF133,AH133,AJ133,AN133),{1;2;3;4;5}))))+U133),0)</f>
        <v>0</v>
      </c>
      <c r="S133" s="64" t="s">
        <v>35</v>
      </c>
      <c r="T133" s="64"/>
      <c r="U133" s="173"/>
      <c r="V133" s="141" t="s">
        <v>397</v>
      </c>
      <c r="W133" s="141" t="s">
        <v>397</v>
      </c>
      <c r="X133" s="141" t="s">
        <v>397</v>
      </c>
      <c r="Y133" s="614"/>
      <c r="Z133" s="611"/>
      <c r="AA133" s="141" t="s">
        <v>397</v>
      </c>
      <c r="AB133" s="15">
        <v>8</v>
      </c>
      <c r="AC133" s="15">
        <v>49</v>
      </c>
      <c r="AD133" s="15"/>
      <c r="AE133" s="15"/>
      <c r="AF133" s="15"/>
      <c r="AG133" s="15"/>
      <c r="AH133" s="15"/>
      <c r="AI133" s="15"/>
      <c r="AJ133" s="15"/>
      <c r="AK133" s="613"/>
      <c r="AL133" s="15"/>
      <c r="AM133" s="15"/>
      <c r="AN133" s="15"/>
      <c r="AO133" s="15"/>
      <c r="AP133" s="33">
        <f t="shared" si="20"/>
        <v>2</v>
      </c>
      <c r="AQ133" s="440">
        <f t="shared" si="21"/>
        <v>0</v>
      </c>
      <c r="AR133" s="441">
        <f t="shared" si="22"/>
        <v>0</v>
      </c>
      <c r="AS133" s="34">
        <f t="shared" si="23"/>
        <v>0</v>
      </c>
      <c r="AT133" s="4">
        <f t="shared" si="24"/>
        <v>3</v>
      </c>
      <c r="AU133" s="285">
        <f t="shared" si="25"/>
        <v>1</v>
      </c>
    </row>
    <row r="134" spans="1:47" x14ac:dyDescent="0.2">
      <c r="A134" s="59">
        <v>88</v>
      </c>
      <c r="B134" s="438">
        <f t="shared" si="26"/>
        <v>88</v>
      </c>
      <c r="C134" s="432">
        <f t="shared" si="14"/>
        <v>10056</v>
      </c>
      <c r="D134" s="61" t="s">
        <v>327</v>
      </c>
      <c r="E134" s="438" t="str">
        <f t="shared" si="15"/>
        <v/>
      </c>
      <c r="F134" s="431">
        <f t="shared" si="16"/>
        <v>0</v>
      </c>
      <c r="G134" s="660" t="s">
        <v>327</v>
      </c>
      <c r="H134" s="438" t="str">
        <f t="shared" si="17"/>
        <v/>
      </c>
      <c r="I134" s="658">
        <f t="shared" si="18"/>
        <v>0</v>
      </c>
      <c r="J134" s="154">
        <f t="shared" si="19"/>
        <v>126</v>
      </c>
      <c r="K134" s="139">
        <v>126</v>
      </c>
      <c r="L134" s="601" t="s">
        <v>514</v>
      </c>
      <c r="M134" s="139">
        <v>56</v>
      </c>
      <c r="N134" s="446">
        <f t="array" ref="N134">(IF(COUNT(V134,W134,AA134,AB134,AC134,AE134,AG134,AI134,AM134,AO134)&lt;7,SUM(V134,W134,AA134,AB134,AC134,AE134,AG134,AI134,AM134,AO134),SUM(LARGE((V134,W134,AA134,AB134,AC134,AE134,AG134,AI134,AM134,AO134),{1;2;3;4;5;6;7}))))+(IF(COUNT(X134,AD134,AF134,AH134,AJ134,AN134)&lt;5,SUM(X134,AD134,AF134,AH134,AJ134,AN134),SUM(LARGE((X134,AD134,AF134,AH134,AJ134,AN134),{1;2;3;4;5}))))+U134</f>
        <v>56</v>
      </c>
      <c r="O134" s="413"/>
      <c r="P134" s="405">
        <f t="array" ref="P134">IF(S134="n",((IF(COUNT(V134,W134,AA134,AB134,AC134,AE134,AG134,AI134,AM134,AO134)&lt;7,SUM(V134,W134,AA134,AB134,AC134,AE134,AG134,AI134,AM134,AO134),SUM(LARGE((V134,W134,AA134,AB134,AC134,AE134,AG134,AI134,AM134,AO134),{1;2;3;4;5;6;7}))))+(IF(COUNT(Y134,AD134,AF134,AH134,AK134,AN134)&lt;5,SUM(Y134,AD134,AF134,AH134,AK134,AN134),SUM(LARGE((Y134,AD134,AF134,AH134,AK134,AN134),{1;2;3;4;5}))))+U134),0)</f>
        <v>0</v>
      </c>
      <c r="Q134" s="661"/>
      <c r="R134" s="405">
        <f t="array" ref="R134">IF(T134="j",((IF(COUNT(V134,W134,AA134,AB134,AC134,AE134,AG134,AI134,AM134,AO134)&lt;7,SUM(V134,W134,AA134,AB134,AC134,AE134,AG134,AI134,AM134,AO134),SUM(LARGE((V134,W134,AA134,AB134,AC134,AE134,AG134,AI134,AM134,AO134),{1;2;3;4;5;6;7}))))+(IF(COUNT(Z134,AD134,AF134,AH134,AJ134,AN134)&lt;5,SUM(Z134,AD134,AF134,AH134,AJ134,AN134),SUM(LARGE((Z134,AD134,AF134,AH134,AJ134,AN134),{1;2;3;4;5}))))+U134),0)</f>
        <v>0</v>
      </c>
      <c r="S134" s="64"/>
      <c r="T134" s="64"/>
      <c r="U134" s="173"/>
      <c r="V134" s="141" t="s">
        <v>397</v>
      </c>
      <c r="W134" s="141" t="s">
        <v>397</v>
      </c>
      <c r="X134" s="141" t="s">
        <v>397</v>
      </c>
      <c r="Y134" s="614"/>
      <c r="Z134" s="611"/>
      <c r="AA134" s="141" t="s">
        <v>397</v>
      </c>
      <c r="AB134" s="15">
        <v>56</v>
      </c>
      <c r="AC134" s="15"/>
      <c r="AD134" s="15"/>
      <c r="AE134" s="15"/>
      <c r="AF134" s="15"/>
      <c r="AG134" s="15"/>
      <c r="AH134" s="15"/>
      <c r="AI134" s="15"/>
      <c r="AJ134" s="15"/>
      <c r="AK134" s="613"/>
      <c r="AL134" s="15"/>
      <c r="AM134" s="15"/>
      <c r="AN134" s="15"/>
      <c r="AO134" s="15"/>
      <c r="AP134" s="33">
        <f t="shared" si="20"/>
        <v>1</v>
      </c>
      <c r="AQ134" s="440">
        <f t="shared" si="21"/>
        <v>0</v>
      </c>
      <c r="AR134" s="441">
        <f t="shared" si="22"/>
        <v>0</v>
      </c>
      <c r="AS134" s="34">
        <f t="shared" si="23"/>
        <v>0</v>
      </c>
      <c r="AT134" s="4">
        <f t="shared" si="24"/>
        <v>3</v>
      </c>
      <c r="AU134" s="285">
        <f t="shared" si="25"/>
        <v>1</v>
      </c>
    </row>
    <row r="135" spans="1:47" x14ac:dyDescent="0.2">
      <c r="A135" s="59">
        <v>88</v>
      </c>
      <c r="B135" s="438">
        <f t="shared" si="26"/>
        <v>88</v>
      </c>
      <c r="C135" s="432">
        <f t="shared" si="14"/>
        <v>10056</v>
      </c>
      <c r="D135" s="61" t="s">
        <v>327</v>
      </c>
      <c r="E135" s="438" t="str">
        <f t="shared" si="15"/>
        <v/>
      </c>
      <c r="F135" s="431">
        <f t="shared" si="16"/>
        <v>0</v>
      </c>
      <c r="G135" s="660" t="s">
        <v>327</v>
      </c>
      <c r="H135" s="438" t="str">
        <f t="shared" si="17"/>
        <v/>
      </c>
      <c r="I135" s="658">
        <f t="shared" si="18"/>
        <v>0</v>
      </c>
      <c r="J135" s="154">
        <f t="shared" si="19"/>
        <v>126</v>
      </c>
      <c r="K135" s="139">
        <v>126</v>
      </c>
      <c r="L135" s="601" t="s">
        <v>515</v>
      </c>
      <c r="M135" s="139">
        <v>56</v>
      </c>
      <c r="N135" s="446">
        <f t="array" ref="N135">(IF(COUNT(V135,W135,AA135,AB135,AC135,AE135,AG135,AI135,AM135,AO135)&lt;7,SUM(V135,W135,AA135,AB135,AC135,AE135,AG135,AI135,AM135,AO135),SUM(LARGE((V135,W135,AA135,AB135,AC135,AE135,AG135,AI135,AM135,AO135),{1;2;3;4;5;6;7}))))+(IF(COUNT(X135,AD135,AF135,AH135,AJ135,AN135)&lt;5,SUM(X135,AD135,AF135,AH135,AJ135,AN135),SUM(LARGE((X135,AD135,AF135,AH135,AJ135,AN135),{1;2;3;4;5}))))+U135</f>
        <v>56</v>
      </c>
      <c r="O135" s="413"/>
      <c r="P135" s="405">
        <f t="array" ref="P135">IF(S135="n",((IF(COUNT(V135,W135,AA135,AB135,AC135,AE135,AG135,AI135,AM135,AO135)&lt;7,SUM(V135,W135,AA135,AB135,AC135,AE135,AG135,AI135,AM135,AO135),SUM(LARGE((V135,W135,AA135,AB135,AC135,AE135,AG135,AI135,AM135,AO135),{1;2;3;4;5;6;7}))))+(IF(COUNT(Y135,AD135,AF135,AH135,AK135,AN135)&lt;5,SUM(Y135,AD135,AF135,AH135,AK135,AN135),SUM(LARGE((Y135,AD135,AF135,AH135,AK135,AN135),{1;2;3;4;5}))))+U135),0)</f>
        <v>0</v>
      </c>
      <c r="Q135" s="661"/>
      <c r="R135" s="405">
        <f t="array" ref="R135">IF(T135="j",((IF(COUNT(V135,W135,AA135,AB135,AC135,AE135,AG135,AI135,AM135,AO135)&lt;7,SUM(V135,W135,AA135,AB135,AC135,AE135,AG135,AI135,AM135,AO135),SUM(LARGE((V135,W135,AA135,AB135,AC135,AE135,AG135,AI135,AM135,AO135),{1;2;3;4;5;6;7}))))+(IF(COUNT(Z135,AD135,AF135,AH135,AJ135,AN135)&lt;5,SUM(Z135,AD135,AF135,AH135,AJ135,AN135),SUM(LARGE((Z135,AD135,AF135,AH135,AJ135,AN135),{1;2;3;4;5}))))+U135),0)</f>
        <v>0</v>
      </c>
      <c r="S135" s="64"/>
      <c r="T135" s="64"/>
      <c r="U135" s="173"/>
      <c r="V135" s="141" t="s">
        <v>397</v>
      </c>
      <c r="W135" s="141" t="s">
        <v>397</v>
      </c>
      <c r="X135" s="141" t="s">
        <v>397</v>
      </c>
      <c r="Y135" s="614"/>
      <c r="Z135" s="611"/>
      <c r="AA135" s="141" t="s">
        <v>397</v>
      </c>
      <c r="AB135" s="15">
        <v>56</v>
      </c>
      <c r="AC135" s="15"/>
      <c r="AD135" s="15"/>
      <c r="AE135" s="15"/>
      <c r="AF135" s="15"/>
      <c r="AG135" s="15"/>
      <c r="AH135" s="15"/>
      <c r="AI135" s="15"/>
      <c r="AJ135" s="15"/>
      <c r="AK135" s="613"/>
      <c r="AL135" s="15"/>
      <c r="AM135" s="15"/>
      <c r="AN135" s="15"/>
      <c r="AO135" s="15"/>
      <c r="AP135" s="33">
        <f t="shared" si="20"/>
        <v>1</v>
      </c>
      <c r="AQ135" s="440">
        <f t="shared" si="21"/>
        <v>0</v>
      </c>
      <c r="AR135" s="441">
        <f t="shared" si="22"/>
        <v>0</v>
      </c>
      <c r="AS135" s="34">
        <f t="shared" si="23"/>
        <v>0</v>
      </c>
      <c r="AT135" s="4">
        <f t="shared" si="24"/>
        <v>3</v>
      </c>
      <c r="AU135" s="285">
        <f t="shared" si="25"/>
        <v>1</v>
      </c>
    </row>
    <row r="136" spans="1:47" x14ac:dyDescent="0.2">
      <c r="A136" s="59">
        <v>88</v>
      </c>
      <c r="B136" s="438">
        <f t="shared" si="26"/>
        <v>88</v>
      </c>
      <c r="C136" s="432">
        <f t="shared" si="14"/>
        <v>10056</v>
      </c>
      <c r="D136" s="61" t="s">
        <v>327</v>
      </c>
      <c r="E136" s="438" t="str">
        <f t="shared" si="15"/>
        <v/>
      </c>
      <c r="F136" s="431">
        <f t="shared" si="16"/>
        <v>0</v>
      </c>
      <c r="G136" s="660" t="s">
        <v>327</v>
      </c>
      <c r="H136" s="438" t="str">
        <f t="shared" si="17"/>
        <v/>
      </c>
      <c r="I136" s="658">
        <f t="shared" si="18"/>
        <v>0</v>
      </c>
      <c r="J136" s="154">
        <f t="shared" si="19"/>
        <v>126</v>
      </c>
      <c r="K136" s="139">
        <v>126</v>
      </c>
      <c r="L136" s="601" t="s">
        <v>715</v>
      </c>
      <c r="M136" s="139">
        <v>56</v>
      </c>
      <c r="N136" s="446">
        <f t="array" ref="N136">(IF(COUNT(V136,W136,AA136,AB136,AC136,AE136,AG136,AI136,AM136,AO136)&lt;7,SUM(V136,W136,AA136,AB136,AC136,AE136,AG136,AI136,AM136,AO136),SUM(LARGE((V136,W136,AA136,AB136,AC136,AE136,AG136,AI136,AM136,AO136),{1;2;3;4;5;6;7}))))+(IF(COUNT(X136,AD136,AF136,AH136,AJ136,AN136)&lt;5,SUM(X136,AD136,AF136,AH136,AJ136,AN136),SUM(LARGE((X136,AD136,AF136,AH136,AJ136,AN136),{1;2;3;4;5}))))+U136</f>
        <v>56</v>
      </c>
      <c r="O136" s="413"/>
      <c r="P136" s="405">
        <f t="array" ref="P136">IF(S136="n",((IF(COUNT(V136,W136,AA136,AB136,AC136,AE136,AG136,AI136,AM136,AO136)&lt;7,SUM(V136,W136,AA136,AB136,AC136,AE136,AG136,AI136,AM136,AO136),SUM(LARGE((V136,W136,AA136,AB136,AC136,AE136,AG136,AI136,AM136,AO136),{1;2;3;4;5;6;7}))))+(IF(COUNT(Y136,AD136,AF136,AH136,AK136,AN136)&lt;5,SUM(Y136,AD136,AF136,AH136,AK136,AN136),SUM(LARGE((Y136,AD136,AF136,AH136,AK136,AN136),{1;2;3;4;5}))))+U136),0)</f>
        <v>0</v>
      </c>
      <c r="Q136" s="661"/>
      <c r="R136" s="405">
        <f t="array" ref="R136">IF(T136="j",((IF(COUNT(V136,W136,AA136,AB136,AC136,AE136,AG136,AI136,AM136,AO136)&lt;7,SUM(V136,W136,AA136,AB136,AC136,AE136,AG136,AI136,AM136,AO136),SUM(LARGE((V136,W136,AA136,AB136,AC136,AE136,AG136,AI136,AM136,AO136),{1;2;3;4;5;6;7}))))+(IF(COUNT(Z136,AD136,AF136,AH136,AJ136,AN136)&lt;5,SUM(Z136,AD136,AF136,AH136,AJ136,AN136),SUM(LARGE((Z136,AD136,AF136,AH136,AJ136,AN136),{1;2;3;4;5}))))+U136),0)</f>
        <v>0</v>
      </c>
      <c r="S136" s="64"/>
      <c r="T136" s="64"/>
      <c r="U136" s="173"/>
      <c r="V136" s="141" t="s">
        <v>397</v>
      </c>
      <c r="W136" s="141" t="s">
        <v>397</v>
      </c>
      <c r="X136" s="141" t="s">
        <v>397</v>
      </c>
      <c r="Y136" s="614"/>
      <c r="Z136" s="611"/>
      <c r="AA136" s="141" t="s">
        <v>397</v>
      </c>
      <c r="AB136" s="15"/>
      <c r="AC136" s="15"/>
      <c r="AD136" s="15"/>
      <c r="AE136" s="15"/>
      <c r="AF136" s="15"/>
      <c r="AG136" s="15">
        <v>56</v>
      </c>
      <c r="AH136" s="15"/>
      <c r="AI136" s="15"/>
      <c r="AJ136" s="15"/>
      <c r="AK136" s="613"/>
      <c r="AL136" s="15"/>
      <c r="AM136" s="15"/>
      <c r="AN136" s="15"/>
      <c r="AO136" s="15"/>
      <c r="AP136" s="33">
        <f t="shared" si="20"/>
        <v>1</v>
      </c>
      <c r="AQ136" s="440">
        <f t="shared" si="21"/>
        <v>0</v>
      </c>
      <c r="AR136" s="441">
        <f t="shared" si="22"/>
        <v>0</v>
      </c>
      <c r="AS136" s="34">
        <f t="shared" si="23"/>
        <v>0</v>
      </c>
      <c r="AT136" s="4">
        <f t="shared" si="24"/>
        <v>3</v>
      </c>
      <c r="AU136" s="285">
        <f t="shared" si="25"/>
        <v>1</v>
      </c>
    </row>
    <row r="137" spans="1:47" x14ac:dyDescent="0.2">
      <c r="A137" s="59">
        <v>88</v>
      </c>
      <c r="B137" s="438">
        <f t="shared" si="26"/>
        <v>88</v>
      </c>
      <c r="C137" s="432">
        <f t="shared" ref="C137:C176" si="27">IF(S137="n",0,N137+10000)</f>
        <v>10056</v>
      </c>
      <c r="D137" s="61" t="s">
        <v>327</v>
      </c>
      <c r="E137" s="438" t="str">
        <f t="shared" ref="E137:E176" si="28">IF(S137="n",RANK(F137,F$9:F$176,0),"")</f>
        <v/>
      </c>
      <c r="F137" s="431">
        <f t="shared" ref="F137:F176" si="29">IF(AND((T137="j"),(S137="n")),N137+10000,IF((S137="n"),P137+10000,0))</f>
        <v>0</v>
      </c>
      <c r="G137" s="660" t="s">
        <v>327</v>
      </c>
      <c r="H137" s="438" t="str">
        <f t="shared" ref="H137:H176" si="30">IF(T137="j",RANK(I137,I$9:I$176,0),"")</f>
        <v/>
      </c>
      <c r="I137" s="658">
        <f t="shared" ref="I137:I176" si="31">IF((T137="j"),R137+10000,0)</f>
        <v>0</v>
      </c>
      <c r="J137" s="154">
        <f t="shared" ref="J137:J176" si="32">RANK(N137,$N$9:$N$176,0)</f>
        <v>126</v>
      </c>
      <c r="K137" s="139">
        <v>126</v>
      </c>
      <c r="L137" s="601" t="s">
        <v>747</v>
      </c>
      <c r="M137" s="139">
        <v>56</v>
      </c>
      <c r="N137" s="446">
        <f t="array" ref="N137">(IF(COUNT(V137,W137,AA137,AB137,AC137,AE137,AG137,AI137,AM137,AO137)&lt;7,SUM(V137,W137,AA137,AB137,AC137,AE137,AG137,AI137,AM137,AO137),SUM(LARGE((V137,W137,AA137,AB137,AC137,AE137,AG137,AI137,AM137,AO137),{1;2;3;4;5;6;7}))))+(IF(COUNT(X137,AD137,AF137,AH137,AJ137,AN137)&lt;5,SUM(X137,AD137,AF137,AH137,AJ137,AN137),SUM(LARGE((X137,AD137,AF137,AH137,AJ137,AN137),{1;2;3;4;5}))))+U137</f>
        <v>56</v>
      </c>
      <c r="O137" s="413"/>
      <c r="P137" s="405">
        <f t="array" ref="P137">IF(S137="n",((IF(COUNT(V137,W137,AA137,AB137,AC137,AE137,AG137,AI137,AM137,AO137)&lt;7,SUM(V137,W137,AA137,AB137,AC137,AE137,AG137,AI137,AM137,AO137),SUM(LARGE((V137,W137,AA137,AB137,AC137,AE137,AG137,AI137,AM137,AO137),{1;2;3;4;5;6;7}))))+(IF(COUNT(Y137,AD137,AF137,AH137,AK137,AN137)&lt;5,SUM(Y137,AD137,AF137,AH137,AK137,AN137),SUM(LARGE((Y137,AD137,AF137,AH137,AK137,AN137),{1;2;3;4;5}))))+U137),0)</f>
        <v>0</v>
      </c>
      <c r="Q137" s="661"/>
      <c r="R137" s="405">
        <f t="array" ref="R137">IF(T137="j",((IF(COUNT(V137,W137,AA137,AB137,AC137,AE137,AG137,AI137,AM137,AO137)&lt;7,SUM(V137,W137,AA137,AB137,AC137,AE137,AG137,AI137,AM137,AO137),SUM(LARGE((V137,W137,AA137,AB137,AC137,AE137,AG137,AI137,AM137,AO137),{1;2;3;4;5;6;7}))))+(IF(COUNT(Z137,AD137,AF137,AH137,AJ137,AN137)&lt;5,SUM(Z137,AD137,AF137,AH137,AJ137,AN137),SUM(LARGE((Z137,AD137,AF137,AH137,AJ137,AN137),{1;2;3;4;5}))))+U137),0)</f>
        <v>0</v>
      </c>
      <c r="S137" s="64"/>
      <c r="T137" s="64"/>
      <c r="U137" s="173"/>
      <c r="V137" s="141" t="s">
        <v>397</v>
      </c>
      <c r="W137" s="141" t="s">
        <v>397</v>
      </c>
      <c r="X137" s="141" t="s">
        <v>397</v>
      </c>
      <c r="Y137" s="614"/>
      <c r="Z137" s="611"/>
      <c r="AA137" s="141" t="s">
        <v>397</v>
      </c>
      <c r="AB137" s="15"/>
      <c r="AC137" s="15"/>
      <c r="AD137" s="15"/>
      <c r="AE137" s="15"/>
      <c r="AF137" s="15"/>
      <c r="AG137" s="15"/>
      <c r="AH137" s="15"/>
      <c r="AI137" s="15">
        <v>56</v>
      </c>
      <c r="AJ137" s="15"/>
      <c r="AK137" s="613"/>
      <c r="AL137" s="15"/>
      <c r="AM137" s="15"/>
      <c r="AN137" s="15"/>
      <c r="AO137" s="15"/>
      <c r="AP137" s="33">
        <f t="shared" ref="AP137:AP176" si="33">COUNTIF(V137:X137,"&gt;=0")+COUNTIF(AA137:AJ137,"&gt;=0")+COUNTIF(AM137:AO137,"&gt;=0")</f>
        <v>1</v>
      </c>
      <c r="AQ137" s="440">
        <f t="shared" ref="AQ137:AQ176" si="34">COUNTIF(V137:W137,"&gt;=97")+COUNTIF(AA137:AC137,"&gt;=97")+COUNTIF(AE137,"&gt;=97")+COUNTIF(AG137,"&gt;=97")+COUNTIF(AI137,"&gt;=97")+COUNTIF(AM137,"&gt;=97")+COUNTIF(AO137,"&gt;=97")+COUNTIF(X137,"&gt;=146")+COUNTIF(AD137,"&gt;=146")+COUNTIF(AF137,"&gt;=146")+COUNTIF(AH137,"&gt;=146")+COUNTIF(AJ137,"&gt;=146")+COUNTIF(AN137,"&gt;=146")+IF((S137="n"),(COUNTIF(X137,"=83")+COUNTIF(X137,"=93")+COUNTIF(X137,"=105")+COUNTIF(AJ137,"=83")+COUNTIF(AJ137,"=93")+COUNTIF(AJ137,"=105")))+IF((T137="j"),(COUNTIF(X137,"=33")+COUNTIF(X137,"=42")+COUNTIF(X137,"=53")+COUNTIF(AJ137,"=33")+COUNTIF(AJ137,"=42")+COUNTIF(AJ137,"=53")))</f>
        <v>0</v>
      </c>
      <c r="AR137" s="441">
        <f t="shared" ref="AR137:AR176" si="35">COUNTIF(V137:W137,"=115")+COUNTIF(AA137:AC137,"=115")+COUNTIF(AE137,"=115")+COUNTIF(AG137,"=115")+COUNTIF(AI137,"=115")+COUNTIF(AM137,"=115")+COUNTIF(AO137,"=115")+COUNTIF(V137:AO137,"=173")</f>
        <v>0</v>
      </c>
      <c r="AS137" s="34">
        <f t="shared" ref="AS137:AS176" si="36">COUNTIF(V137:AO137,"=173")</f>
        <v>0</v>
      </c>
      <c r="AT137" s="4">
        <f t="shared" ref="AT137:AT176" si="37">COUNTIF(V137:W137,"=  ")+COUNTIF(AA137:AC137,"=  ")+COUNTIF(AE137,"=  ")+COUNTIF(AG137,"=  ")+COUNTIF(AI137,"=  ")+COUNTIF(AM137,"=  ")+COUNTIF(AO137,"=  ")</f>
        <v>3</v>
      </c>
      <c r="AU137" s="285">
        <f t="shared" ref="AU137:AU176" si="38">COUNTIF(X137,"=  ")+COUNTIF(AD137,"=  ")+COUNTIF(AF137,"=  ")+COUNTIF(AH137,"=  ")+COUNTIF(AJ137,"=  ")+COUNTIF(AN137,"=  ")</f>
        <v>1</v>
      </c>
    </row>
    <row r="138" spans="1:47" x14ac:dyDescent="0.2">
      <c r="A138" s="59">
        <v>88</v>
      </c>
      <c r="B138" s="438">
        <f t="shared" si="26"/>
        <v>88</v>
      </c>
      <c r="C138" s="432">
        <f t="shared" si="27"/>
        <v>10056</v>
      </c>
      <c r="D138" s="61" t="s">
        <v>327</v>
      </c>
      <c r="E138" s="438" t="str">
        <f t="shared" si="28"/>
        <v/>
      </c>
      <c r="F138" s="431">
        <f t="shared" si="29"/>
        <v>0</v>
      </c>
      <c r="G138" s="660" t="s">
        <v>327</v>
      </c>
      <c r="H138" s="438" t="str">
        <f t="shared" si="30"/>
        <v/>
      </c>
      <c r="I138" s="658">
        <f t="shared" si="31"/>
        <v>0</v>
      </c>
      <c r="J138" s="154">
        <f t="shared" si="32"/>
        <v>126</v>
      </c>
      <c r="K138" s="139">
        <v>126</v>
      </c>
      <c r="L138" s="601" t="s">
        <v>750</v>
      </c>
      <c r="M138" s="139">
        <v>56</v>
      </c>
      <c r="N138" s="446">
        <f t="array" ref="N138">(IF(COUNT(V138,W138,AA138,AB138,AC138,AE138,AG138,AI138,AM138,AO138)&lt;7,SUM(V138,W138,AA138,AB138,AC138,AE138,AG138,AI138,AM138,AO138),SUM(LARGE((V138,W138,AA138,AB138,AC138,AE138,AG138,AI138,AM138,AO138),{1;2;3;4;5;6;7}))))+(IF(COUNT(X138,AD138,AF138,AH138,AJ138,AN138)&lt;5,SUM(X138,AD138,AF138,AH138,AJ138,AN138),SUM(LARGE((X138,AD138,AF138,AH138,AJ138,AN138),{1;2;3;4;5}))))+U138</f>
        <v>56</v>
      </c>
      <c r="O138" s="413"/>
      <c r="P138" s="405">
        <f t="array" ref="P138">IF(S138="n",((IF(COUNT(V138,W138,AA138,AB138,AC138,AE138,AG138,AI138,AM138,AO138)&lt;7,SUM(V138,W138,AA138,AB138,AC138,AE138,AG138,AI138,AM138,AO138),SUM(LARGE((V138,W138,AA138,AB138,AC138,AE138,AG138,AI138,AM138,AO138),{1;2;3;4;5;6;7}))))+(IF(COUNT(Y138,AD138,AF138,AH138,AK138,AN138)&lt;5,SUM(Y138,AD138,AF138,AH138,AK138,AN138),SUM(LARGE((Y138,AD138,AF138,AH138,AK138,AN138),{1;2;3;4;5}))))+U138),0)</f>
        <v>0</v>
      </c>
      <c r="Q138" s="661"/>
      <c r="R138" s="405">
        <f t="array" ref="R138">IF(T138="j",((IF(COUNT(V138,W138,AA138,AB138,AC138,AE138,AG138,AI138,AM138,AO138)&lt;7,SUM(V138,W138,AA138,AB138,AC138,AE138,AG138,AI138,AM138,AO138),SUM(LARGE((V138,W138,AA138,AB138,AC138,AE138,AG138,AI138,AM138,AO138),{1;2;3;4;5;6;7}))))+(IF(COUNT(Z138,AD138,AF138,AH138,AJ138,AN138)&lt;5,SUM(Z138,AD138,AF138,AH138,AJ138,AN138),SUM(LARGE((Z138,AD138,AF138,AH138,AJ138,AN138),{1;2;3;4;5}))))+U138),0)</f>
        <v>0</v>
      </c>
      <c r="S138" s="64"/>
      <c r="T138" s="64"/>
      <c r="U138" s="173"/>
      <c r="V138" s="141" t="s">
        <v>397</v>
      </c>
      <c r="W138" s="141" t="s">
        <v>397</v>
      </c>
      <c r="X138" s="141" t="s">
        <v>397</v>
      </c>
      <c r="Y138" s="614"/>
      <c r="Z138" s="611"/>
      <c r="AA138" s="141" t="s">
        <v>397</v>
      </c>
      <c r="AB138" s="15"/>
      <c r="AC138" s="15"/>
      <c r="AD138" s="15"/>
      <c r="AE138" s="15"/>
      <c r="AF138" s="15"/>
      <c r="AG138" s="15"/>
      <c r="AH138" s="15"/>
      <c r="AI138" s="15">
        <v>56</v>
      </c>
      <c r="AJ138" s="15"/>
      <c r="AK138" s="613"/>
      <c r="AL138" s="15"/>
      <c r="AM138" s="15"/>
      <c r="AN138" s="15"/>
      <c r="AO138" s="15"/>
      <c r="AP138" s="33">
        <f t="shared" si="33"/>
        <v>1</v>
      </c>
      <c r="AQ138" s="440">
        <f t="shared" si="34"/>
        <v>0</v>
      </c>
      <c r="AR138" s="441">
        <f t="shared" si="35"/>
        <v>0</v>
      </c>
      <c r="AS138" s="34">
        <f t="shared" si="36"/>
        <v>0</v>
      </c>
      <c r="AT138" s="4">
        <f t="shared" si="37"/>
        <v>3</v>
      </c>
      <c r="AU138" s="285">
        <f t="shared" si="38"/>
        <v>1</v>
      </c>
    </row>
    <row r="139" spans="1:47" x14ac:dyDescent="0.2">
      <c r="A139" s="59">
        <v>93</v>
      </c>
      <c r="B139" s="438">
        <f t="shared" si="26"/>
        <v>93</v>
      </c>
      <c r="C139" s="432">
        <f t="shared" si="27"/>
        <v>10052</v>
      </c>
      <c r="D139" s="61" t="s">
        <v>327</v>
      </c>
      <c r="E139" s="438" t="str">
        <f t="shared" si="28"/>
        <v/>
      </c>
      <c r="F139" s="431">
        <f t="shared" si="29"/>
        <v>0</v>
      </c>
      <c r="G139" s="660" t="s">
        <v>327</v>
      </c>
      <c r="H139" s="438" t="str">
        <f t="shared" si="30"/>
        <v/>
      </c>
      <c r="I139" s="658">
        <f t="shared" si="31"/>
        <v>0</v>
      </c>
      <c r="J139" s="154">
        <f t="shared" si="32"/>
        <v>131</v>
      </c>
      <c r="K139" s="139">
        <v>131</v>
      </c>
      <c r="L139" s="601" t="s">
        <v>748</v>
      </c>
      <c r="M139" s="139">
        <v>52</v>
      </c>
      <c r="N139" s="446">
        <f t="array" ref="N139">(IF(COUNT(V139,W139,AA139,AB139,AC139,AE139,AG139,AI139,AM139,AO139)&lt;7,SUM(V139,W139,AA139,AB139,AC139,AE139,AG139,AI139,AM139,AO139),SUM(LARGE((V139,W139,AA139,AB139,AC139,AE139,AG139,AI139,AM139,AO139),{1;2;3;4;5;6;7}))))+(IF(COUNT(X139,AD139,AF139,AH139,AJ139,AN139)&lt;5,SUM(X139,AD139,AF139,AH139,AJ139,AN139),SUM(LARGE((X139,AD139,AF139,AH139,AJ139,AN139),{1;2;3;4;5}))))+U139</f>
        <v>52</v>
      </c>
      <c r="O139" s="413"/>
      <c r="P139" s="405">
        <f t="array" ref="P139">IF(S139="n",((IF(COUNT(V139,W139,AA139,AB139,AC139,AE139,AG139,AI139,AM139,AO139)&lt;7,SUM(V139,W139,AA139,AB139,AC139,AE139,AG139,AI139,AM139,AO139),SUM(LARGE((V139,W139,AA139,AB139,AC139,AE139,AG139,AI139,AM139,AO139),{1;2;3;4;5;6;7}))))+(IF(COUNT(Y139,AD139,AF139,AH139,AK139,AN139)&lt;5,SUM(Y139,AD139,AF139,AH139,AK139,AN139),SUM(LARGE((Y139,AD139,AF139,AH139,AK139,AN139),{1;2;3;4;5}))))+U139),0)</f>
        <v>0</v>
      </c>
      <c r="Q139" s="661"/>
      <c r="R139" s="405">
        <f t="array" ref="R139">IF(T139="j",((IF(COUNT(V139,W139,AA139,AB139,AC139,AE139,AG139,AI139,AM139,AO139)&lt;7,SUM(V139,W139,AA139,AB139,AC139,AE139,AG139,AI139,AM139,AO139),SUM(LARGE((V139,W139,AA139,AB139,AC139,AE139,AG139,AI139,AM139,AO139),{1;2;3;4;5;6;7}))))+(IF(COUNT(Z139,AD139,AF139,AH139,AJ139,AN139)&lt;5,SUM(Z139,AD139,AF139,AH139,AJ139,AN139),SUM(LARGE((Z139,AD139,AF139,AH139,AJ139,AN139),{1;2;3;4;5}))))+U139),0)</f>
        <v>0</v>
      </c>
      <c r="S139" s="64"/>
      <c r="T139" s="64"/>
      <c r="U139" s="173"/>
      <c r="V139" s="141" t="s">
        <v>397</v>
      </c>
      <c r="W139" s="141" t="s">
        <v>397</v>
      </c>
      <c r="X139" s="141" t="s">
        <v>397</v>
      </c>
      <c r="Y139" s="614"/>
      <c r="Z139" s="611"/>
      <c r="AA139" s="141" t="s">
        <v>397</v>
      </c>
      <c r="AB139" s="15"/>
      <c r="AC139" s="15"/>
      <c r="AD139" s="15"/>
      <c r="AE139" s="15"/>
      <c r="AF139" s="15"/>
      <c r="AG139" s="15"/>
      <c r="AH139" s="15"/>
      <c r="AI139" s="15">
        <v>52</v>
      </c>
      <c r="AJ139" s="15"/>
      <c r="AK139" s="613"/>
      <c r="AL139" s="15"/>
      <c r="AM139" s="15"/>
      <c r="AN139" s="15"/>
      <c r="AO139" s="15"/>
      <c r="AP139" s="33">
        <f t="shared" si="33"/>
        <v>1</v>
      </c>
      <c r="AQ139" s="440">
        <f t="shared" si="34"/>
        <v>0</v>
      </c>
      <c r="AR139" s="441">
        <f t="shared" si="35"/>
        <v>0</v>
      </c>
      <c r="AS139" s="34">
        <f t="shared" si="36"/>
        <v>0</v>
      </c>
      <c r="AT139" s="4">
        <f t="shared" si="37"/>
        <v>3</v>
      </c>
      <c r="AU139" s="285">
        <f t="shared" si="38"/>
        <v>1</v>
      </c>
    </row>
    <row r="140" spans="1:47" x14ac:dyDescent="0.2">
      <c r="A140" s="59">
        <v>93</v>
      </c>
      <c r="B140" s="438">
        <f t="shared" si="26"/>
        <v>93</v>
      </c>
      <c r="C140" s="432">
        <f t="shared" si="27"/>
        <v>10052</v>
      </c>
      <c r="D140" s="61" t="s">
        <v>327</v>
      </c>
      <c r="E140" s="438" t="str">
        <f t="shared" si="28"/>
        <v/>
      </c>
      <c r="F140" s="431">
        <f t="shared" si="29"/>
        <v>0</v>
      </c>
      <c r="G140" s="660" t="s">
        <v>327</v>
      </c>
      <c r="H140" s="438" t="str">
        <f t="shared" si="30"/>
        <v/>
      </c>
      <c r="I140" s="658">
        <f t="shared" si="31"/>
        <v>0</v>
      </c>
      <c r="J140" s="154">
        <f t="shared" si="32"/>
        <v>131</v>
      </c>
      <c r="K140" s="139">
        <v>131</v>
      </c>
      <c r="L140" s="256" t="s">
        <v>749</v>
      </c>
      <c r="M140" s="139">
        <v>52</v>
      </c>
      <c r="N140" s="446">
        <f t="array" ref="N140">(IF(COUNT(V140,W140,AA140,AB140,AC140,AE140,AG140,AI140,AM140,AO140)&lt;7,SUM(V140,W140,AA140,AB140,AC140,AE140,AG140,AI140,AM140,AO140),SUM(LARGE((V140,W140,AA140,AB140,AC140,AE140,AG140,AI140,AM140,AO140),{1;2;3;4;5;6;7}))))+(IF(COUNT(X140,AD140,AF140,AH140,AJ140,AN140)&lt;5,SUM(X140,AD140,AF140,AH140,AJ140,AN140),SUM(LARGE((X140,AD140,AF140,AH140,AJ140,AN140),{1;2;3;4;5}))))+U140</f>
        <v>52</v>
      </c>
      <c r="O140" s="413"/>
      <c r="P140" s="405">
        <f t="array" ref="P140">IF(S140="n",((IF(COUNT(V140,W140,AA140,AB140,AC140,AE140,AG140,AI140,AM140,AO140)&lt;7,SUM(V140,W140,AA140,AB140,AC140,AE140,AG140,AI140,AM140,AO140),SUM(LARGE((V140,W140,AA140,AB140,AC140,AE140,AG140,AI140,AM140,AO140),{1;2;3;4;5;6;7}))))+(IF(COUNT(Y140,AD140,AF140,AH140,AK140,AN140)&lt;5,SUM(Y140,AD140,AF140,AH140,AK140,AN140),SUM(LARGE((Y140,AD140,AF140,AH140,AK140,AN140),{1;2;3;4;5}))))+U140),0)</f>
        <v>0</v>
      </c>
      <c r="Q140" s="661"/>
      <c r="R140" s="405">
        <f t="array" ref="R140">IF(T140="j",((IF(COUNT(V140,W140,AA140,AB140,AC140,AE140,AG140,AI140,AM140,AO140)&lt;7,SUM(V140,W140,AA140,AB140,AC140,AE140,AG140,AI140,AM140,AO140),SUM(LARGE((V140,W140,AA140,AB140,AC140,AE140,AG140,AI140,AM140,AO140),{1;2;3;4;5;6;7}))))+(IF(COUNT(Z140,AD140,AF140,AH140,AJ140,AN140)&lt;5,SUM(Z140,AD140,AF140,AH140,AJ140,AN140),SUM(LARGE((Z140,AD140,AF140,AH140,AJ140,AN140),{1;2;3;4;5}))))+U140),0)</f>
        <v>0</v>
      </c>
      <c r="S140" s="64"/>
      <c r="T140" s="64"/>
      <c r="U140" s="173"/>
      <c r="V140" s="141" t="s">
        <v>397</v>
      </c>
      <c r="W140" s="141" t="s">
        <v>397</v>
      </c>
      <c r="X140" s="141" t="s">
        <v>397</v>
      </c>
      <c r="Y140" s="614"/>
      <c r="Z140" s="611"/>
      <c r="AA140" s="141" t="s">
        <v>397</v>
      </c>
      <c r="AB140" s="15"/>
      <c r="AC140" s="15"/>
      <c r="AD140" s="15"/>
      <c r="AE140" s="15"/>
      <c r="AF140" s="15"/>
      <c r="AG140" s="15"/>
      <c r="AH140" s="15"/>
      <c r="AI140" s="15">
        <v>52</v>
      </c>
      <c r="AJ140" s="15"/>
      <c r="AK140" s="613"/>
      <c r="AL140" s="15"/>
      <c r="AM140" s="15"/>
      <c r="AN140" s="15"/>
      <c r="AO140" s="15"/>
      <c r="AP140" s="33">
        <f t="shared" si="33"/>
        <v>1</v>
      </c>
      <c r="AQ140" s="440">
        <f t="shared" si="34"/>
        <v>0</v>
      </c>
      <c r="AR140" s="441">
        <f t="shared" si="35"/>
        <v>0</v>
      </c>
      <c r="AS140" s="34">
        <f t="shared" si="36"/>
        <v>0</v>
      </c>
      <c r="AT140" s="4">
        <f t="shared" si="37"/>
        <v>3</v>
      </c>
      <c r="AU140" s="285">
        <f t="shared" si="38"/>
        <v>1</v>
      </c>
    </row>
    <row r="141" spans="1:47" x14ac:dyDescent="0.2">
      <c r="A141" s="59" t="s">
        <v>327</v>
      </c>
      <c r="B141" s="438" t="str">
        <f t="shared" si="26"/>
        <v/>
      </c>
      <c r="C141" s="432">
        <f t="shared" si="27"/>
        <v>0</v>
      </c>
      <c r="D141" s="61">
        <v>39</v>
      </c>
      <c r="E141" s="438">
        <f t="shared" si="28"/>
        <v>39</v>
      </c>
      <c r="F141" s="431">
        <f t="shared" si="29"/>
        <v>10050</v>
      </c>
      <c r="G141" s="660" t="s">
        <v>327</v>
      </c>
      <c r="H141" s="438" t="str">
        <f t="shared" si="30"/>
        <v/>
      </c>
      <c r="I141" s="658">
        <f t="shared" si="31"/>
        <v>0</v>
      </c>
      <c r="J141" s="154">
        <f t="shared" si="32"/>
        <v>133</v>
      </c>
      <c r="K141" s="139">
        <v>133</v>
      </c>
      <c r="L141" s="68" t="s">
        <v>97</v>
      </c>
      <c r="M141" s="251">
        <v>50</v>
      </c>
      <c r="N141" s="446">
        <f t="array" ref="N141">(IF(COUNT(V141,W141,AA141,AB141,AC141,AE141,AG141,AI141,AM141,AO141)&lt;7,SUM(V141,W141,AA141,AB141,AC141,AE141,AG141,AI141,AM141,AO141),SUM(LARGE((V141,W141,AA141,AB141,AC141,AE141,AG141,AI141,AM141,AO141),{1;2;3;4;5;6;7}))))+(IF(COUNT(X141,AD141,AF141,AH141,AJ141,AN141)&lt;5,SUM(X141,AD141,AF141,AH141,AJ141,AN141),SUM(LARGE((X141,AD141,AF141,AH141,AJ141,AN141),{1;2;3;4;5}))))+U141</f>
        <v>50</v>
      </c>
      <c r="O141" s="413">
        <v>50</v>
      </c>
      <c r="P141" s="405">
        <f t="array" ref="P141">IF(S141="n",((IF(COUNT(V141,W141,AA141,AB141,AC141,AE141,AG141,AI141,AM141,AO141)&lt;7,SUM(V141,W141,AA141,AB141,AC141,AE141,AG141,AI141,AM141,AO141),SUM(LARGE((V141,W141,AA141,AB141,AC141,AE141,AG141,AI141,AM141,AO141),{1;2;3;4;5;6;7}))))+(IF(COUNT(Y141,AD141,AF141,AH141,AK141,AN141)&lt;5,SUM(Y141,AD141,AF141,AH141,AK141,AN141),SUM(LARGE((Y141,AD141,AF141,AH141,AK141,AN141),{1;2;3;4;5}))))+U141),0)</f>
        <v>50</v>
      </c>
      <c r="Q141" s="661"/>
      <c r="R141" s="405">
        <f t="array" ref="R141">IF(T141="j",((IF(COUNT(V141,W141,AA141,AB141,AC141,AE141,AG141,AI141,AM141,AO141)&lt;7,SUM(V141,W141,AA141,AB141,AC141,AE141,AG141,AI141,AM141,AO141),SUM(LARGE((V141,W141,AA141,AB141,AC141,AE141,AG141,AI141,AM141,AO141),{1;2;3;4;5;6;7}))))+(IF(COUNT(Z141,AD141,AF141,AH141,AJ141,AN141)&lt;5,SUM(Z141,AD141,AF141,AH141,AJ141,AN141),SUM(LARGE((Z141,AD141,AF141,AH141,AJ141,AN141),{1;2;3;4;5}))))+U141),0)</f>
        <v>0</v>
      </c>
      <c r="S141" s="64" t="s">
        <v>35</v>
      </c>
      <c r="T141" s="64"/>
      <c r="U141" s="173">
        <v>1</v>
      </c>
      <c r="V141" s="141" t="s">
        <v>397</v>
      </c>
      <c r="W141" s="141" t="s">
        <v>397</v>
      </c>
      <c r="X141" s="141" t="s">
        <v>397</v>
      </c>
      <c r="Y141" s="614"/>
      <c r="Z141" s="611"/>
      <c r="AA141" s="141" t="s">
        <v>397</v>
      </c>
      <c r="AB141" s="15">
        <v>49</v>
      </c>
      <c r="AC141" s="15"/>
      <c r="AD141" s="32"/>
      <c r="AE141" s="15"/>
      <c r="AF141" s="15"/>
      <c r="AG141" s="15"/>
      <c r="AH141" s="15"/>
      <c r="AI141" s="15"/>
      <c r="AJ141" s="15"/>
      <c r="AK141" s="613"/>
      <c r="AL141" s="15"/>
      <c r="AM141" s="15"/>
      <c r="AN141" s="15"/>
      <c r="AO141" s="15"/>
      <c r="AP141" s="33">
        <f t="shared" si="33"/>
        <v>1</v>
      </c>
      <c r="AQ141" s="440">
        <f t="shared" si="34"/>
        <v>0</v>
      </c>
      <c r="AR141" s="441">
        <f t="shared" si="35"/>
        <v>0</v>
      </c>
      <c r="AS141" s="34">
        <f t="shared" si="36"/>
        <v>0</v>
      </c>
      <c r="AT141" s="4">
        <f t="shared" si="37"/>
        <v>3</v>
      </c>
      <c r="AU141" s="285">
        <f t="shared" si="38"/>
        <v>1</v>
      </c>
    </row>
    <row r="142" spans="1:47" x14ac:dyDescent="0.2">
      <c r="A142" s="59" t="s">
        <v>327</v>
      </c>
      <c r="B142" s="438" t="str">
        <f t="shared" si="26"/>
        <v/>
      </c>
      <c r="C142" s="432">
        <f t="shared" si="27"/>
        <v>0</v>
      </c>
      <c r="D142" s="61">
        <v>40</v>
      </c>
      <c r="E142" s="438">
        <f t="shared" si="28"/>
        <v>40</v>
      </c>
      <c r="F142" s="431">
        <f t="shared" si="29"/>
        <v>10049</v>
      </c>
      <c r="G142" s="660" t="s">
        <v>327</v>
      </c>
      <c r="H142" s="438" t="str">
        <f t="shared" si="30"/>
        <v/>
      </c>
      <c r="I142" s="658">
        <f t="shared" si="31"/>
        <v>0</v>
      </c>
      <c r="J142" s="154">
        <f t="shared" si="32"/>
        <v>134</v>
      </c>
      <c r="K142" s="139">
        <v>134</v>
      </c>
      <c r="L142" s="63" t="s">
        <v>330</v>
      </c>
      <c r="M142" s="139">
        <v>49</v>
      </c>
      <c r="N142" s="446">
        <f t="array" ref="N142">(IF(COUNT(V142,W142,AA142,AB142,AC142,AE142,AG142,AI142,AM142,AO142)&lt;7,SUM(V142,W142,AA142,AB142,AC142,AE142,AG142,AI142,AM142,AO142),SUM(LARGE((V142,W142,AA142,AB142,AC142,AE142,AG142,AI142,AM142,AO142),{1;2;3;4;5;6;7}))))+(IF(COUNT(X142,AD142,AF142,AH142,AJ142,AN142)&lt;5,SUM(X142,AD142,AF142,AH142,AJ142,AN142),SUM(LARGE((X142,AD142,AF142,AH142,AJ142,AN142),{1;2;3;4;5}))))+U142</f>
        <v>49</v>
      </c>
      <c r="O142" s="413">
        <v>49</v>
      </c>
      <c r="P142" s="405">
        <f t="array" ref="P142">IF(S142="n",((IF(COUNT(V142,W142,AA142,AB142,AC142,AE142,AG142,AI142,AM142,AO142)&lt;7,SUM(V142,W142,AA142,AB142,AC142,AE142,AG142,AI142,AM142,AO142),SUM(LARGE((V142,W142,AA142,AB142,AC142,AE142,AG142,AI142,AM142,AO142),{1;2;3;4;5;6;7}))))+(IF(COUNT(Y142,AD142,AF142,AH142,AK142,AN142)&lt;5,SUM(Y142,AD142,AF142,AH142,AK142,AN142),SUM(LARGE((Y142,AD142,AF142,AH142,AK142,AN142),{1;2;3;4;5}))))+U142),0)</f>
        <v>49</v>
      </c>
      <c r="Q142" s="661"/>
      <c r="R142" s="405">
        <f t="array" ref="R142">IF(T142="j",((IF(COUNT(V142,W142,AA142,AB142,AC142,AE142,AG142,AI142,AM142,AO142)&lt;7,SUM(V142,W142,AA142,AB142,AC142,AE142,AG142,AI142,AM142,AO142),SUM(LARGE((V142,W142,AA142,AB142,AC142,AE142,AG142,AI142,AM142,AO142),{1;2;3;4;5;6;7}))))+(IF(COUNT(Z142,AD142,AF142,AH142,AJ142,AN142)&lt;5,SUM(Z142,AD142,AF142,AH142,AJ142,AN142),SUM(LARGE((Z142,AD142,AF142,AH142,AJ142,AN142),{1;2;3;4;5}))))+U142),0)</f>
        <v>0</v>
      </c>
      <c r="S142" s="64" t="s">
        <v>35</v>
      </c>
      <c r="T142" s="64"/>
      <c r="U142" s="173"/>
      <c r="V142" s="141" t="s">
        <v>397</v>
      </c>
      <c r="W142" s="15">
        <v>49</v>
      </c>
      <c r="X142" s="141" t="s">
        <v>397</v>
      </c>
      <c r="Y142" s="614"/>
      <c r="Z142" s="611"/>
      <c r="AA142" s="141" t="s">
        <v>397</v>
      </c>
      <c r="AB142" s="141" t="s">
        <v>397</v>
      </c>
      <c r="AC142" s="15"/>
      <c r="AD142" s="15"/>
      <c r="AE142" s="15"/>
      <c r="AF142" s="15"/>
      <c r="AG142" s="15"/>
      <c r="AH142" s="15"/>
      <c r="AI142" s="15"/>
      <c r="AJ142" s="15"/>
      <c r="AK142" s="613"/>
      <c r="AL142" s="15"/>
      <c r="AM142" s="15"/>
      <c r="AN142" s="15"/>
      <c r="AO142" s="15"/>
      <c r="AP142" s="33">
        <f t="shared" si="33"/>
        <v>1</v>
      </c>
      <c r="AQ142" s="440">
        <f t="shared" si="34"/>
        <v>0</v>
      </c>
      <c r="AR142" s="441">
        <f t="shared" si="35"/>
        <v>0</v>
      </c>
      <c r="AS142" s="34">
        <f t="shared" si="36"/>
        <v>0</v>
      </c>
      <c r="AT142" s="4">
        <f t="shared" si="37"/>
        <v>3</v>
      </c>
      <c r="AU142" s="285">
        <f t="shared" si="38"/>
        <v>1</v>
      </c>
    </row>
    <row r="143" spans="1:47" x14ac:dyDescent="0.2">
      <c r="A143" s="59" t="s">
        <v>327</v>
      </c>
      <c r="B143" s="438" t="str">
        <f t="shared" si="26"/>
        <v/>
      </c>
      <c r="C143" s="432">
        <f t="shared" si="27"/>
        <v>0</v>
      </c>
      <c r="D143" s="61">
        <v>41</v>
      </c>
      <c r="E143" s="438">
        <f t="shared" si="28"/>
        <v>41</v>
      </c>
      <c r="F143" s="431">
        <f t="shared" si="29"/>
        <v>10043</v>
      </c>
      <c r="G143" s="660" t="s">
        <v>327</v>
      </c>
      <c r="H143" s="438" t="str">
        <f t="shared" si="30"/>
        <v/>
      </c>
      <c r="I143" s="658">
        <f t="shared" si="31"/>
        <v>0</v>
      </c>
      <c r="J143" s="154">
        <f t="shared" si="32"/>
        <v>135</v>
      </c>
      <c r="K143" s="139">
        <v>135</v>
      </c>
      <c r="L143" s="65" t="s">
        <v>516</v>
      </c>
      <c r="M143" s="139">
        <v>43</v>
      </c>
      <c r="N143" s="446">
        <f t="array" ref="N143">(IF(COUNT(V143,W143,AA143,AB143,AC143,AE143,AG143,AI143,AM143,AO143)&lt;7,SUM(V143,W143,AA143,AB143,AC143,AE143,AG143,AI143,AM143,AO143),SUM(LARGE((V143,W143,AA143,AB143,AC143,AE143,AG143,AI143,AM143,AO143),{1;2;3;4;5;6;7}))))+(IF(COUNT(X143,AD143,AF143,AH143,AJ143,AN143)&lt;5,SUM(X143,AD143,AF143,AH143,AJ143,AN143),SUM(LARGE((X143,AD143,AF143,AH143,AJ143,AN143),{1;2;3;4;5}))))+U143</f>
        <v>43</v>
      </c>
      <c r="O143" s="413">
        <v>43</v>
      </c>
      <c r="P143" s="405">
        <f t="array" ref="P143">IF(S143="n",((IF(COUNT(V143,W143,AA143,AB143,AC143,AE143,AG143,AI143,AM143,AO143)&lt;7,SUM(V143,W143,AA143,AB143,AC143,AE143,AG143,AI143,AM143,AO143),SUM(LARGE((V143,W143,AA143,AB143,AC143,AE143,AG143,AI143,AM143,AO143),{1;2;3;4;5;6;7}))))+(IF(COUNT(Y143,AD143,AF143,AH143,AK143,AN143)&lt;5,SUM(Y143,AD143,AF143,AH143,AK143,AN143),SUM(LARGE((Y143,AD143,AF143,AH143,AK143,AN143),{1;2;3;4;5}))))+U143),0)</f>
        <v>43</v>
      </c>
      <c r="Q143" s="661"/>
      <c r="R143" s="405">
        <f t="array" ref="R143">IF(T143="j",((IF(COUNT(V143,W143,AA143,AB143,AC143,AE143,AG143,AI143,AM143,AO143)&lt;7,SUM(V143,W143,AA143,AB143,AC143,AE143,AG143,AI143,AM143,AO143),SUM(LARGE((V143,W143,AA143,AB143,AC143,AE143,AG143,AI143,AM143,AO143),{1;2;3;4;5;6;7}))))+(IF(COUNT(Z143,AD143,AF143,AH143,AJ143,AN143)&lt;5,SUM(Z143,AD143,AF143,AH143,AJ143,AN143),SUM(LARGE((Z143,AD143,AF143,AH143,AJ143,AN143),{1;2;3;4;5}))))+U143),0)</f>
        <v>0</v>
      </c>
      <c r="S143" s="64" t="s">
        <v>35</v>
      </c>
      <c r="T143" s="64"/>
      <c r="U143" s="173"/>
      <c r="V143" s="141" t="s">
        <v>397</v>
      </c>
      <c r="W143" s="141" t="s">
        <v>397</v>
      </c>
      <c r="X143" s="141" t="s">
        <v>397</v>
      </c>
      <c r="Y143" s="614"/>
      <c r="Z143" s="611"/>
      <c r="AA143" s="141" t="s">
        <v>397</v>
      </c>
      <c r="AB143" s="15">
        <v>43</v>
      </c>
      <c r="AC143" s="15"/>
      <c r="AD143" s="15"/>
      <c r="AE143" s="15"/>
      <c r="AF143" s="15"/>
      <c r="AG143" s="15"/>
      <c r="AH143" s="15"/>
      <c r="AI143" s="15"/>
      <c r="AJ143" s="15"/>
      <c r="AK143" s="613"/>
      <c r="AL143" s="15"/>
      <c r="AM143" s="15"/>
      <c r="AN143" s="15"/>
      <c r="AO143" s="15"/>
      <c r="AP143" s="33">
        <f t="shared" si="33"/>
        <v>1</v>
      </c>
      <c r="AQ143" s="440">
        <f t="shared" si="34"/>
        <v>0</v>
      </c>
      <c r="AR143" s="441">
        <f t="shared" si="35"/>
        <v>0</v>
      </c>
      <c r="AS143" s="34">
        <f t="shared" si="36"/>
        <v>0</v>
      </c>
      <c r="AT143" s="4">
        <f t="shared" si="37"/>
        <v>3</v>
      </c>
      <c r="AU143" s="285">
        <f t="shared" si="38"/>
        <v>1</v>
      </c>
    </row>
    <row r="144" spans="1:47" x14ac:dyDescent="0.2">
      <c r="A144" s="59">
        <v>95</v>
      </c>
      <c r="B144" s="438">
        <f t="shared" si="26"/>
        <v>95</v>
      </c>
      <c r="C144" s="432">
        <f t="shared" si="27"/>
        <v>10041</v>
      </c>
      <c r="D144" s="61" t="s">
        <v>327</v>
      </c>
      <c r="E144" s="438" t="str">
        <f t="shared" si="28"/>
        <v/>
      </c>
      <c r="F144" s="431">
        <f t="shared" si="29"/>
        <v>0</v>
      </c>
      <c r="G144" s="660" t="s">
        <v>327</v>
      </c>
      <c r="H144" s="438" t="str">
        <f t="shared" si="30"/>
        <v/>
      </c>
      <c r="I144" s="658">
        <f t="shared" si="31"/>
        <v>0</v>
      </c>
      <c r="J144" s="154">
        <f t="shared" si="32"/>
        <v>136</v>
      </c>
      <c r="K144" s="139">
        <v>136</v>
      </c>
      <c r="L144" s="601" t="s">
        <v>92</v>
      </c>
      <c r="M144" s="139">
        <v>41</v>
      </c>
      <c r="N144" s="446">
        <f t="array" ref="N144">(IF(COUNT(V144,W144,AA144,AB144,AC144,AE144,AG144,AI144,AM144,AO144)&lt;7,SUM(V144,W144,AA144,AB144,AC144,AE144,AG144,AI144,AM144,AO144),SUM(LARGE((V144,W144,AA144,AB144,AC144,AE144,AG144,AI144,AM144,AO144),{1;2;3;4;5;6;7}))))+(IF(COUNT(X144,AD144,AF144,AH144,AJ144,AN144)&lt;5,SUM(X144,AD144,AF144,AH144,AJ144,AN144),SUM(LARGE((X144,AD144,AF144,AH144,AJ144,AN144),{1;2;3;4;5}))))+U144</f>
        <v>41</v>
      </c>
      <c r="O144" s="413"/>
      <c r="P144" s="405">
        <f t="array" ref="P144">IF(S144="n",((IF(COUNT(V144,W144,AA144,AB144,AC144,AE144,AG144,AI144,AM144,AO144)&lt;7,SUM(V144,W144,AA144,AB144,AC144,AE144,AG144,AI144,AM144,AO144),SUM(LARGE((V144,W144,AA144,AB144,AC144,AE144,AG144,AI144,AM144,AO144),{1;2;3;4;5;6;7}))))+(IF(COUNT(Y144,AD144,AF144,AH144,AK144,AN144)&lt;5,SUM(Y144,AD144,AF144,AH144,AK144,AN144),SUM(LARGE((Y144,AD144,AF144,AH144,AK144,AN144),{1;2;3;4;5}))))+U144),0)</f>
        <v>0</v>
      </c>
      <c r="Q144" s="661"/>
      <c r="R144" s="405">
        <f t="array" ref="R144">IF(T144="j",((IF(COUNT(V144,W144,AA144,AB144,AC144,AE144,AG144,AI144,AM144,AO144)&lt;7,SUM(V144,W144,AA144,AB144,AC144,AE144,AG144,AI144,AM144,AO144),SUM(LARGE((V144,W144,AA144,AB144,AC144,AE144,AG144,AI144,AM144,AO144),{1;2;3;4;5;6;7}))))+(IF(COUNT(Z144,AD144,AF144,AH144,AJ144,AN144)&lt;5,SUM(Z144,AD144,AF144,AH144,AJ144,AN144),SUM(LARGE((Z144,AD144,AF144,AH144,AJ144,AN144),{1;2;3;4;5}))))+U144),0)</f>
        <v>0</v>
      </c>
      <c r="S144" s="64"/>
      <c r="T144" s="64"/>
      <c r="U144" s="173">
        <v>1</v>
      </c>
      <c r="V144" s="141" t="s">
        <v>397</v>
      </c>
      <c r="W144" s="141" t="s">
        <v>397</v>
      </c>
      <c r="X144" s="141" t="s">
        <v>397</v>
      </c>
      <c r="Y144" s="614"/>
      <c r="Z144" s="611"/>
      <c r="AA144" s="141" t="s">
        <v>397</v>
      </c>
      <c r="AB144" s="15"/>
      <c r="AC144" s="15"/>
      <c r="AD144" s="15"/>
      <c r="AE144" s="15">
        <v>40</v>
      </c>
      <c r="AF144" s="15"/>
      <c r="AG144" s="15"/>
      <c r="AH144" s="15"/>
      <c r="AI144" s="15"/>
      <c r="AJ144" s="15"/>
      <c r="AK144" s="613"/>
      <c r="AL144" s="15"/>
      <c r="AM144" s="15"/>
      <c r="AN144" s="15"/>
      <c r="AO144" s="15"/>
      <c r="AP144" s="33">
        <f t="shared" si="33"/>
        <v>1</v>
      </c>
      <c r="AQ144" s="440">
        <f t="shared" si="34"/>
        <v>0</v>
      </c>
      <c r="AR144" s="441">
        <f t="shared" si="35"/>
        <v>0</v>
      </c>
      <c r="AS144" s="34">
        <f t="shared" si="36"/>
        <v>0</v>
      </c>
      <c r="AT144" s="4">
        <f t="shared" si="37"/>
        <v>3</v>
      </c>
      <c r="AU144" s="285">
        <f t="shared" si="38"/>
        <v>1</v>
      </c>
    </row>
    <row r="145" spans="1:47" x14ac:dyDescent="0.2">
      <c r="A145" s="59">
        <v>96</v>
      </c>
      <c r="B145" s="438">
        <f t="shared" si="26"/>
        <v>96</v>
      </c>
      <c r="C145" s="432">
        <f t="shared" si="27"/>
        <v>10040</v>
      </c>
      <c r="D145" s="61" t="s">
        <v>327</v>
      </c>
      <c r="E145" s="438" t="str">
        <f t="shared" si="28"/>
        <v/>
      </c>
      <c r="F145" s="431">
        <f t="shared" si="29"/>
        <v>0</v>
      </c>
      <c r="G145" s="660" t="s">
        <v>327</v>
      </c>
      <c r="H145" s="438" t="str">
        <f t="shared" si="30"/>
        <v/>
      </c>
      <c r="I145" s="658">
        <f t="shared" si="31"/>
        <v>0</v>
      </c>
      <c r="J145" s="154">
        <f t="shared" si="32"/>
        <v>137</v>
      </c>
      <c r="K145" s="139">
        <v>137</v>
      </c>
      <c r="L145" s="601" t="s">
        <v>518</v>
      </c>
      <c r="M145" s="139">
        <v>40</v>
      </c>
      <c r="N145" s="446">
        <f t="array" ref="N145">(IF(COUNT(V145,W145,AA145,AB145,AC145,AE145,AG145,AI145,AM145,AO145)&lt;7,SUM(V145,W145,AA145,AB145,AC145,AE145,AG145,AI145,AM145,AO145),SUM(LARGE((V145,W145,AA145,AB145,AC145,AE145,AG145,AI145,AM145,AO145),{1;2;3;4;5;6;7}))))+(IF(COUNT(X145,AD145,AF145,AH145,AJ145,AN145)&lt;5,SUM(X145,AD145,AF145,AH145,AJ145,AN145),SUM(LARGE((X145,AD145,AF145,AH145,AJ145,AN145),{1;2;3;4;5}))))+U145</f>
        <v>40</v>
      </c>
      <c r="O145" s="413"/>
      <c r="P145" s="405">
        <f t="array" ref="P145">IF(S145="n",((IF(COUNT(V145,W145,AA145,AB145,AC145,AE145,AG145,AI145,AM145,AO145)&lt;7,SUM(V145,W145,AA145,AB145,AC145,AE145,AG145,AI145,AM145,AO145),SUM(LARGE((V145,W145,AA145,AB145,AC145,AE145,AG145,AI145,AM145,AO145),{1;2;3;4;5;6;7}))))+(IF(COUNT(Y145,AD145,AF145,AH145,AK145,AN145)&lt;5,SUM(Y145,AD145,AF145,AH145,AK145,AN145),SUM(LARGE((Y145,AD145,AF145,AH145,AK145,AN145),{1;2;3;4;5}))))+U145),0)</f>
        <v>0</v>
      </c>
      <c r="Q145" s="661"/>
      <c r="R145" s="405">
        <f t="array" ref="R145">IF(T145="j",((IF(COUNT(V145,W145,AA145,AB145,AC145,AE145,AG145,AI145,AM145,AO145)&lt;7,SUM(V145,W145,AA145,AB145,AC145,AE145,AG145,AI145,AM145,AO145),SUM(LARGE((V145,W145,AA145,AB145,AC145,AE145,AG145,AI145,AM145,AO145),{1;2;3;4;5;6;7}))))+(IF(COUNT(Z145,AD145,AF145,AH145,AJ145,AN145)&lt;5,SUM(Z145,AD145,AF145,AH145,AJ145,AN145),SUM(LARGE((Z145,AD145,AF145,AH145,AJ145,AN145),{1;2;3;4;5}))))+U145),0)</f>
        <v>0</v>
      </c>
      <c r="S145" s="64"/>
      <c r="T145" s="64"/>
      <c r="U145" s="173"/>
      <c r="V145" s="141" t="s">
        <v>397</v>
      </c>
      <c r="W145" s="141" t="s">
        <v>397</v>
      </c>
      <c r="X145" s="141" t="s">
        <v>397</v>
      </c>
      <c r="Y145" s="614"/>
      <c r="Z145" s="611"/>
      <c r="AA145" s="141" t="s">
        <v>397</v>
      </c>
      <c r="AB145" s="15">
        <v>40</v>
      </c>
      <c r="AC145" s="15"/>
      <c r="AD145" s="15"/>
      <c r="AE145" s="15"/>
      <c r="AF145" s="15"/>
      <c r="AG145" s="15"/>
      <c r="AH145" s="15"/>
      <c r="AI145" s="15"/>
      <c r="AJ145" s="15"/>
      <c r="AK145" s="613"/>
      <c r="AL145" s="15"/>
      <c r="AM145" s="15"/>
      <c r="AN145" s="15"/>
      <c r="AO145" s="15"/>
      <c r="AP145" s="33">
        <f t="shared" si="33"/>
        <v>1</v>
      </c>
      <c r="AQ145" s="440">
        <f t="shared" si="34"/>
        <v>0</v>
      </c>
      <c r="AR145" s="441">
        <f t="shared" si="35"/>
        <v>0</v>
      </c>
      <c r="AS145" s="34">
        <f t="shared" si="36"/>
        <v>0</v>
      </c>
      <c r="AT145" s="4">
        <f t="shared" si="37"/>
        <v>3</v>
      </c>
      <c r="AU145" s="285">
        <f t="shared" si="38"/>
        <v>1</v>
      </c>
    </row>
    <row r="146" spans="1:47" x14ac:dyDescent="0.2">
      <c r="A146" s="59">
        <v>97</v>
      </c>
      <c r="B146" s="438">
        <f t="shared" si="26"/>
        <v>97</v>
      </c>
      <c r="C146" s="432">
        <f t="shared" si="27"/>
        <v>10038</v>
      </c>
      <c r="D146" s="61" t="s">
        <v>327</v>
      </c>
      <c r="E146" s="438" t="str">
        <f t="shared" si="28"/>
        <v/>
      </c>
      <c r="F146" s="431">
        <f t="shared" si="29"/>
        <v>0</v>
      </c>
      <c r="G146" s="660" t="s">
        <v>327</v>
      </c>
      <c r="H146" s="438" t="str">
        <f t="shared" si="30"/>
        <v/>
      </c>
      <c r="I146" s="658">
        <f t="shared" si="31"/>
        <v>0</v>
      </c>
      <c r="J146" s="154">
        <f t="shared" si="32"/>
        <v>138</v>
      </c>
      <c r="K146" s="139">
        <v>138</v>
      </c>
      <c r="L146" s="601" t="s">
        <v>324</v>
      </c>
      <c r="M146" s="139">
        <v>38</v>
      </c>
      <c r="N146" s="446">
        <f t="array" ref="N146">(IF(COUNT(V146,W146,AA146,AB146,AC146,AE146,AG146,AI146,AM146,AO146)&lt;7,SUM(V146,W146,AA146,AB146,AC146,AE146,AG146,AI146,AM146,AO146),SUM(LARGE((V146,W146,AA146,AB146,AC146,AE146,AG146,AI146,AM146,AO146),{1;2;3;4;5;6;7}))))+(IF(COUNT(X146,AD146,AF146,AH146,AJ146,AN146)&lt;5,SUM(X146,AD146,AF146,AH146,AJ146,AN146),SUM(LARGE((X146,AD146,AF146,AH146,AJ146,AN146),{1;2;3;4;5}))))+U146</f>
        <v>38</v>
      </c>
      <c r="O146" s="413"/>
      <c r="P146" s="405">
        <f t="array" ref="P146">IF(S146="n",((IF(COUNT(V146,W146,AA146,AB146,AC146,AE146,AG146,AI146,AM146,AO146)&lt;7,SUM(V146,W146,AA146,AB146,AC146,AE146,AG146,AI146,AM146,AO146),SUM(LARGE((V146,W146,AA146,AB146,AC146,AE146,AG146,AI146,AM146,AO146),{1;2;3;4;5;6;7}))))+(IF(COUNT(Y146,AD146,AF146,AH146,AK146,AN146)&lt;5,SUM(Y146,AD146,AF146,AH146,AK146,AN146),SUM(LARGE((Y146,AD146,AF146,AH146,AK146,AN146),{1;2;3;4;5}))))+U146),0)</f>
        <v>0</v>
      </c>
      <c r="Q146" s="661"/>
      <c r="R146" s="405">
        <f t="array" ref="R146">IF(T146="j",((IF(COUNT(V146,W146,AA146,AB146,AC146,AE146,AG146,AI146,AM146,AO146)&lt;7,SUM(V146,W146,AA146,AB146,AC146,AE146,AG146,AI146,AM146,AO146),SUM(LARGE((V146,W146,AA146,AB146,AC146,AE146,AG146,AI146,AM146,AO146),{1;2;3;4;5;6;7}))))+(IF(COUNT(Z146,AD146,AF146,AH146,AJ146,AN146)&lt;5,SUM(Z146,AD146,AF146,AH146,AJ146,AN146),SUM(LARGE((Z146,AD146,AF146,AH146,AJ146,AN146),{1;2;3;4;5}))))+U146),0)</f>
        <v>0</v>
      </c>
      <c r="S146" s="64"/>
      <c r="T146" s="64"/>
      <c r="U146" s="173">
        <v>1</v>
      </c>
      <c r="V146" s="141" t="s">
        <v>397</v>
      </c>
      <c r="W146" s="141" t="s">
        <v>397</v>
      </c>
      <c r="X146" s="141" t="s">
        <v>397</v>
      </c>
      <c r="Y146" s="614"/>
      <c r="Z146" s="611"/>
      <c r="AA146" s="141" t="s">
        <v>397</v>
      </c>
      <c r="AB146" s="15"/>
      <c r="AC146" s="15"/>
      <c r="AD146" s="15"/>
      <c r="AE146" s="15"/>
      <c r="AF146" s="15"/>
      <c r="AG146" s="15"/>
      <c r="AH146" s="15"/>
      <c r="AI146" s="15"/>
      <c r="AJ146" s="15"/>
      <c r="AK146" s="613"/>
      <c r="AL146" s="15"/>
      <c r="AM146" s="15">
        <v>37</v>
      </c>
      <c r="AN146" s="15"/>
      <c r="AO146" s="15"/>
      <c r="AP146" s="33">
        <f t="shared" si="33"/>
        <v>1</v>
      </c>
      <c r="AQ146" s="440">
        <f t="shared" si="34"/>
        <v>0</v>
      </c>
      <c r="AR146" s="441">
        <f t="shared" si="35"/>
        <v>0</v>
      </c>
      <c r="AS146" s="34">
        <f t="shared" si="36"/>
        <v>0</v>
      </c>
      <c r="AT146" s="4">
        <f t="shared" si="37"/>
        <v>3</v>
      </c>
      <c r="AU146" s="285">
        <f t="shared" si="38"/>
        <v>1</v>
      </c>
    </row>
    <row r="147" spans="1:47" x14ac:dyDescent="0.2">
      <c r="A147" s="59">
        <v>98</v>
      </c>
      <c r="B147" s="438">
        <f t="shared" si="26"/>
        <v>98</v>
      </c>
      <c r="C147" s="432">
        <f t="shared" si="27"/>
        <v>10022</v>
      </c>
      <c r="D147" s="61" t="s">
        <v>327</v>
      </c>
      <c r="E147" s="438" t="str">
        <f t="shared" si="28"/>
        <v/>
      </c>
      <c r="F147" s="431">
        <f t="shared" si="29"/>
        <v>0</v>
      </c>
      <c r="G147" s="660" t="s">
        <v>327</v>
      </c>
      <c r="H147" s="438" t="str">
        <f t="shared" si="30"/>
        <v/>
      </c>
      <c r="I147" s="658">
        <f t="shared" si="31"/>
        <v>0</v>
      </c>
      <c r="J147" s="154">
        <f t="shared" si="32"/>
        <v>139</v>
      </c>
      <c r="K147" s="139">
        <v>139</v>
      </c>
      <c r="L147" s="27" t="s">
        <v>786</v>
      </c>
      <c r="M147" s="139">
        <v>22</v>
      </c>
      <c r="N147" s="446">
        <f t="array" ref="N147">(IF(COUNT(V147,W147,AA147,AB147,AC147,AE147,AG147,AI147,AM147,AO147)&lt;7,SUM(V147,W147,AA147,AB147,AC147,AE147,AG147,AI147,AM147,AO147),SUM(LARGE((V147,W147,AA147,AB147,AC147,AE147,AG147,AI147,AM147,AO147),{1;2;3;4;5;6;7}))))+(IF(COUNT(X147,AD147,AF147,AH147,AJ147,AN147)&lt;5,SUM(X147,AD147,AF147,AH147,AJ147,AN147),SUM(LARGE((X147,AD147,AF147,AH147,AJ147,AN147),{1;2;3;4;5}))))+U147</f>
        <v>22</v>
      </c>
      <c r="O147" s="413"/>
      <c r="P147" s="405">
        <f t="array" ref="P147">IF(S147="n",((IF(COUNT(V147,W147,AA147,AB147,AC147,AE147,AG147,AI147,AM147,AO147)&lt;7,SUM(V147,W147,AA147,AB147,AC147,AE147,AG147,AI147,AM147,AO147),SUM(LARGE((V147,W147,AA147,AB147,AC147,AE147,AG147,AI147,AM147,AO147),{1;2;3;4;5;6;7}))))+(IF(COUNT(Y147,AD147,AF147,AH147,AK147,AN147)&lt;5,SUM(Y147,AD147,AF147,AH147,AK147,AN147),SUM(LARGE((Y147,AD147,AF147,AH147,AK147,AN147),{1;2;3;4;5}))))+U147),0)</f>
        <v>0</v>
      </c>
      <c r="Q147" s="661"/>
      <c r="R147" s="405">
        <f t="array" ref="R147">IF(T147="j",((IF(COUNT(V147,W147,AA147,AB147,AC147,AE147,AG147,AI147,AM147,AO147)&lt;7,SUM(V147,W147,AA147,AB147,AC147,AE147,AG147,AI147,AM147,AO147),SUM(LARGE((V147,W147,AA147,AB147,AC147,AE147,AG147,AI147,AM147,AO147),{1;2;3;4;5;6;7}))))+(IF(COUNT(Z147,AD147,AF147,AH147,AJ147,AN147)&lt;5,SUM(Z147,AD147,AF147,AH147,AJ147,AN147),SUM(LARGE((Z147,AD147,AF147,AH147,AJ147,AN147),{1;2;3;4;5}))))+U147),0)</f>
        <v>0</v>
      </c>
      <c r="S147" s="64"/>
      <c r="T147" s="64"/>
      <c r="U147" s="173"/>
      <c r="V147" s="141" t="s">
        <v>397</v>
      </c>
      <c r="W147" s="141" t="s">
        <v>397</v>
      </c>
      <c r="X147" s="141" t="s">
        <v>397</v>
      </c>
      <c r="Y147" s="614"/>
      <c r="Z147" s="611"/>
      <c r="AA147" s="141" t="s">
        <v>397</v>
      </c>
      <c r="AB147" s="15"/>
      <c r="AC147" s="15"/>
      <c r="AD147" s="15"/>
      <c r="AE147" s="15"/>
      <c r="AF147" s="15"/>
      <c r="AG147" s="15"/>
      <c r="AH147" s="15"/>
      <c r="AI147" s="15"/>
      <c r="AJ147" s="15"/>
      <c r="AK147" s="613"/>
      <c r="AL147" s="15"/>
      <c r="AM147" s="15">
        <v>22</v>
      </c>
      <c r="AN147" s="15"/>
      <c r="AO147" s="15"/>
      <c r="AP147" s="33">
        <f t="shared" si="33"/>
        <v>1</v>
      </c>
      <c r="AQ147" s="440">
        <f t="shared" si="34"/>
        <v>0</v>
      </c>
      <c r="AR147" s="441">
        <f t="shared" si="35"/>
        <v>0</v>
      </c>
      <c r="AS147" s="34">
        <f t="shared" si="36"/>
        <v>0</v>
      </c>
      <c r="AT147" s="4">
        <f t="shared" si="37"/>
        <v>3</v>
      </c>
      <c r="AU147" s="285">
        <f t="shared" si="38"/>
        <v>1</v>
      </c>
    </row>
    <row r="148" spans="1:47" x14ac:dyDescent="0.2">
      <c r="A148" s="59">
        <v>99</v>
      </c>
      <c r="B148" s="438">
        <f t="shared" si="26"/>
        <v>99</v>
      </c>
      <c r="C148" s="432">
        <f t="shared" si="27"/>
        <v>10016</v>
      </c>
      <c r="D148" s="61" t="s">
        <v>327</v>
      </c>
      <c r="E148" s="438" t="str">
        <f t="shared" si="28"/>
        <v/>
      </c>
      <c r="F148" s="431">
        <f t="shared" si="29"/>
        <v>0</v>
      </c>
      <c r="G148" s="660" t="s">
        <v>327</v>
      </c>
      <c r="H148" s="438" t="str">
        <f t="shared" si="30"/>
        <v/>
      </c>
      <c r="I148" s="658">
        <f t="shared" si="31"/>
        <v>0</v>
      </c>
      <c r="J148" s="154">
        <f t="shared" si="32"/>
        <v>140</v>
      </c>
      <c r="K148" s="139">
        <v>140</v>
      </c>
      <c r="L148" s="601" t="s">
        <v>789</v>
      </c>
      <c r="M148" s="139">
        <v>16</v>
      </c>
      <c r="N148" s="514">
        <f t="array" ref="N148">(IF(COUNT(V148,W148,AA148,AB148,AC148,AE148,AG148,AI148,AM148,AO148)&lt;7,SUM(V148,W148,AA148,AB148,AC148,AE148,AG148,AI148,AM148,AO148),SUM(LARGE((V148,W148,AA148,AB148,AC148,AE148,AG148,AI148,AM148,AO148),{1;2;3;4;5;6;7}))))+(IF(COUNT(X148,AD148,AF148,AH148,AJ148,AN148)&lt;5,SUM(X148,AD148,AF148,AH148,AJ148,AN148),SUM(LARGE((X148,AD148,AF148,AH148,AJ148,AN148),{1;2;3;4;5}))))+U148</f>
        <v>16</v>
      </c>
      <c r="O148" s="413"/>
      <c r="P148" s="405">
        <f t="array" ref="P148">IF(S148="n",((IF(COUNT(V148,W148,AA148,AB148,AC148,AE148,AG148,AI148,AM148,AO148)&lt;7,SUM(V148,W148,AA148,AB148,AC148,AE148,AG148,AI148,AM148,AO148),SUM(LARGE((V148,W148,AA148,AB148,AC148,AE148,AG148,AI148,AM148,AO148),{1;2;3;4;5;6;7}))))+(IF(COUNT(Y148,AD148,AF148,AH148,AK148,AN148)&lt;5,SUM(Y148,AD148,AF148,AH148,AK148,AN148),SUM(LARGE((Y148,AD148,AF148,AH148,AK148,AN148),{1;2;3;4;5}))))+U148),0)</f>
        <v>0</v>
      </c>
      <c r="Q148" s="661"/>
      <c r="R148" s="405">
        <f t="array" ref="R148">IF(T148="j",((IF(COUNT(V148,W148,AA148,AB148,AC148,AE148,AG148,AI148,AM148,AO148)&lt;7,SUM(V148,W148,AA148,AB148,AC148,AE148,AG148,AI148,AM148,AO148),SUM(LARGE((V148,W148,AA148,AB148,AC148,AE148,AG148,AI148,AM148,AO148),{1;2;3;4;5;6;7}))))+(IF(COUNT(Z148,AD148,AF148,AH148,AJ148,AN148)&lt;5,SUM(Z148,AD148,AF148,AH148,AJ148,AN148),SUM(LARGE((Z148,AD148,AF148,AH148,AJ148,AN148),{1;2;3;4;5}))))+U148),0)</f>
        <v>0</v>
      </c>
      <c r="S148" s="64"/>
      <c r="T148" s="64"/>
      <c r="U148" s="173"/>
      <c r="V148" s="141" t="s">
        <v>397</v>
      </c>
      <c r="W148" s="141" t="s">
        <v>397</v>
      </c>
      <c r="X148" s="141" t="s">
        <v>397</v>
      </c>
      <c r="Y148" s="614"/>
      <c r="Z148" s="611"/>
      <c r="AA148" s="141" t="s">
        <v>397</v>
      </c>
      <c r="AB148" s="15"/>
      <c r="AC148" s="15"/>
      <c r="AD148" s="15"/>
      <c r="AE148" s="15"/>
      <c r="AF148" s="15"/>
      <c r="AG148" s="15"/>
      <c r="AH148" s="15"/>
      <c r="AI148" s="15"/>
      <c r="AJ148" s="15"/>
      <c r="AK148" s="613"/>
      <c r="AL148" s="15"/>
      <c r="AM148" s="15">
        <v>16</v>
      </c>
      <c r="AN148" s="15"/>
      <c r="AO148" s="15"/>
      <c r="AP148" s="33">
        <f t="shared" si="33"/>
        <v>1</v>
      </c>
      <c r="AQ148" s="440">
        <f t="shared" si="34"/>
        <v>0</v>
      </c>
      <c r="AR148" s="441">
        <f t="shared" si="35"/>
        <v>0</v>
      </c>
      <c r="AS148" s="34">
        <f t="shared" si="36"/>
        <v>0</v>
      </c>
      <c r="AT148" s="4">
        <f t="shared" si="37"/>
        <v>3</v>
      </c>
      <c r="AU148" s="285">
        <f t="shared" si="38"/>
        <v>1</v>
      </c>
    </row>
    <row r="149" spans="1:47" x14ac:dyDescent="0.2">
      <c r="A149" s="59" t="s">
        <v>327</v>
      </c>
      <c r="B149" s="438" t="str">
        <f t="shared" si="26"/>
        <v/>
      </c>
      <c r="C149" s="432">
        <f t="shared" si="27"/>
        <v>0</v>
      </c>
      <c r="D149" s="61">
        <v>42</v>
      </c>
      <c r="E149" s="438">
        <f t="shared" si="28"/>
        <v>42</v>
      </c>
      <c r="F149" s="431">
        <f t="shared" si="29"/>
        <v>10016</v>
      </c>
      <c r="G149" s="660" t="s">
        <v>327</v>
      </c>
      <c r="H149" s="438" t="str">
        <f t="shared" si="30"/>
        <v/>
      </c>
      <c r="I149" s="658">
        <f t="shared" si="31"/>
        <v>0</v>
      </c>
      <c r="J149" s="154">
        <f t="shared" si="32"/>
        <v>140</v>
      </c>
      <c r="K149" s="139">
        <v>140</v>
      </c>
      <c r="L149" s="65" t="s">
        <v>790</v>
      </c>
      <c r="M149" s="139">
        <v>16</v>
      </c>
      <c r="N149" s="514">
        <f t="array" ref="N149">(IF(COUNT(V149,W149,AA149,AB149,AC149,AE149,AG149,AI149,AM149,AO149)&lt;7,SUM(V149,W149,AA149,AB149,AC149,AE149,AG149,AI149,AM149,AO149),SUM(LARGE((V149,W149,AA149,AB149,AC149,AE149,AG149,AI149,AM149,AO149),{1;2;3;4;5;6;7}))))+(IF(COUNT(X149,AD149,AF149,AH149,AJ149,AN149)&lt;5,SUM(X149,AD149,AF149,AH149,AJ149,AN149),SUM(LARGE((X149,AD149,AF149,AH149,AJ149,AN149),{1;2;3;4;5}))))+U149</f>
        <v>16</v>
      </c>
      <c r="O149" s="413">
        <v>16</v>
      </c>
      <c r="P149" s="405">
        <f t="array" ref="P149">IF(S149="n",((IF(COUNT(V149,W149,AA149,AB149,AC149,AE149,AG149,AI149,AM149,AO149)&lt;7,SUM(V149,W149,AA149,AB149,AC149,AE149,AG149,AI149,AM149,AO149),SUM(LARGE((V149,W149,AA149,AB149,AC149,AE149,AG149,AI149,AM149,AO149),{1;2;3;4;5;6;7}))))+(IF(COUNT(Y149,AD149,AF149,AH149,AK149,AN149)&lt;5,SUM(Y149,AD149,AF149,AH149,AK149,AN149),SUM(LARGE((Y149,AD149,AF149,AH149,AK149,AN149),{1;2;3;4;5}))))+U149),0)</f>
        <v>16</v>
      </c>
      <c r="Q149" s="661"/>
      <c r="R149" s="405">
        <f t="array" ref="R149">IF(T149="j",((IF(COUNT(V149,W149,AA149,AB149,AC149,AE149,AG149,AI149,AM149,AO149)&lt;7,SUM(V149,W149,AA149,AB149,AC149,AE149,AG149,AI149,AM149,AO149),SUM(LARGE((V149,W149,AA149,AB149,AC149,AE149,AG149,AI149,AM149,AO149),{1;2;3;4;5;6;7}))))+(IF(COUNT(Z149,AD149,AF149,AH149,AJ149,AN149)&lt;5,SUM(Z149,AD149,AF149,AH149,AJ149,AN149),SUM(LARGE((Z149,AD149,AF149,AH149,AJ149,AN149),{1;2;3;4;5}))))+U149),0)</f>
        <v>0</v>
      </c>
      <c r="S149" s="64" t="s">
        <v>35</v>
      </c>
      <c r="T149" s="64"/>
      <c r="U149" s="173"/>
      <c r="V149" s="141" t="s">
        <v>397</v>
      </c>
      <c r="W149" s="141" t="s">
        <v>397</v>
      </c>
      <c r="X149" s="141" t="s">
        <v>397</v>
      </c>
      <c r="Y149" s="614"/>
      <c r="Z149" s="611"/>
      <c r="AA149" s="141" t="s">
        <v>397</v>
      </c>
      <c r="AB149" s="15"/>
      <c r="AC149" s="15"/>
      <c r="AD149" s="15"/>
      <c r="AE149" s="15"/>
      <c r="AF149" s="15"/>
      <c r="AG149" s="15"/>
      <c r="AH149" s="15"/>
      <c r="AI149" s="15"/>
      <c r="AJ149" s="15"/>
      <c r="AK149" s="613"/>
      <c r="AL149" s="15"/>
      <c r="AM149" s="15">
        <v>16</v>
      </c>
      <c r="AN149" s="15"/>
      <c r="AO149" s="15"/>
      <c r="AP149" s="33">
        <f t="shared" si="33"/>
        <v>1</v>
      </c>
      <c r="AQ149" s="440">
        <f t="shared" si="34"/>
        <v>0</v>
      </c>
      <c r="AR149" s="441">
        <f t="shared" si="35"/>
        <v>0</v>
      </c>
      <c r="AS149" s="34">
        <f t="shared" si="36"/>
        <v>0</v>
      </c>
      <c r="AT149" s="4">
        <f t="shared" si="37"/>
        <v>3</v>
      </c>
      <c r="AU149" s="285">
        <f t="shared" si="38"/>
        <v>1</v>
      </c>
    </row>
    <row r="150" spans="1:47" x14ac:dyDescent="0.2">
      <c r="A150" s="59">
        <v>100</v>
      </c>
      <c r="B150" s="438">
        <f t="shared" si="26"/>
        <v>100</v>
      </c>
      <c r="C150" s="432">
        <f t="shared" si="27"/>
        <v>10015</v>
      </c>
      <c r="D150" s="61" t="s">
        <v>327</v>
      </c>
      <c r="E150" s="438" t="str">
        <f t="shared" si="28"/>
        <v/>
      </c>
      <c r="F150" s="431">
        <f t="shared" si="29"/>
        <v>0</v>
      </c>
      <c r="G150" s="660" t="s">
        <v>327</v>
      </c>
      <c r="H150" s="438" t="str">
        <f t="shared" si="30"/>
        <v/>
      </c>
      <c r="I150" s="658">
        <f t="shared" si="31"/>
        <v>0</v>
      </c>
      <c r="J150" s="154">
        <f t="shared" si="32"/>
        <v>142</v>
      </c>
      <c r="K150" s="139">
        <v>142</v>
      </c>
      <c r="L150" s="601" t="s">
        <v>57</v>
      </c>
      <c r="M150" s="139">
        <v>15</v>
      </c>
      <c r="N150" s="446">
        <f t="array" ref="N150">(IF(COUNT(V150,W150,AA150,AB150,AC150,AE150,AG150,AI150,AM150,AO150)&lt;7,SUM(V150,W150,AA150,AB150,AC150,AE150,AG150,AI150,AM150,AO150),SUM(LARGE((V150,W150,AA150,AB150,AC150,AE150,AG150,AI150,AM150,AO150),{1;2;3;4;5;6;7}))))+(IF(COUNT(X150,AD150,AF150,AH150,AJ150,AN150)&lt;5,SUM(X150,AD150,AF150,AH150,AJ150,AN150),SUM(LARGE((X150,AD150,AF150,AH150,AJ150,AN150),{1;2;3;4;5}))))+U150</f>
        <v>15</v>
      </c>
      <c r="O150" s="413"/>
      <c r="P150" s="405">
        <f t="array" ref="P150">IF(S150="n",((IF(COUNT(V150,W150,AA150,AB150,AC150,AE150,AG150,AI150,AM150,AO150)&lt;7,SUM(V150,W150,AA150,AB150,AC150,AE150,AG150,AI150,AM150,AO150),SUM(LARGE((V150,W150,AA150,AB150,AC150,AE150,AG150,AI150,AM150,AO150),{1;2;3;4;5;6;7}))))+(IF(COUNT(Y150,AD150,AF150,AH150,AK150,AN150)&lt;5,SUM(Y150,AD150,AF150,AH150,AK150,AN150),SUM(LARGE((Y150,AD150,AF150,AH150,AK150,AN150),{1;2;3;4;5}))))+U150),0)</f>
        <v>0</v>
      </c>
      <c r="Q150" s="661"/>
      <c r="R150" s="405">
        <f t="array" ref="R150">IF(T150="j",((IF(COUNT(V150,W150,AA150,AB150,AC150,AE150,AG150,AI150,AM150,AO150)&lt;7,SUM(V150,W150,AA150,AB150,AC150,AE150,AG150,AI150,AM150,AO150),SUM(LARGE((V150,W150,AA150,AB150,AC150,AE150,AG150,AI150,AM150,AO150),{1;2;3;4;5;6;7}))))+(IF(COUNT(Z150,AD150,AF150,AH150,AJ150,AN150)&lt;5,SUM(Z150,AD150,AF150,AH150,AJ150,AN150),SUM(LARGE((Z150,AD150,AF150,AH150,AJ150,AN150),{1;2;3;4;5}))))+U150),0)</f>
        <v>0</v>
      </c>
      <c r="S150" s="64"/>
      <c r="T150" s="64"/>
      <c r="U150" s="173">
        <v>1</v>
      </c>
      <c r="V150" s="141" t="s">
        <v>397</v>
      </c>
      <c r="W150" s="141" t="s">
        <v>397</v>
      </c>
      <c r="X150" s="141" t="s">
        <v>397</v>
      </c>
      <c r="Y150" s="614"/>
      <c r="Z150" s="611"/>
      <c r="AA150" s="141" t="s">
        <v>397</v>
      </c>
      <c r="AB150" s="15">
        <v>14</v>
      </c>
      <c r="AC150" s="15"/>
      <c r="AD150" s="15"/>
      <c r="AE150" s="15"/>
      <c r="AF150" s="15"/>
      <c r="AG150" s="15"/>
      <c r="AH150" s="15"/>
      <c r="AI150" s="15"/>
      <c r="AJ150" s="15"/>
      <c r="AK150" s="613"/>
      <c r="AL150" s="15"/>
      <c r="AM150" s="15"/>
      <c r="AN150" s="15"/>
      <c r="AO150" s="15"/>
      <c r="AP150" s="33">
        <f t="shared" si="33"/>
        <v>1</v>
      </c>
      <c r="AQ150" s="440">
        <f t="shared" si="34"/>
        <v>0</v>
      </c>
      <c r="AR150" s="441">
        <f t="shared" si="35"/>
        <v>0</v>
      </c>
      <c r="AS150" s="34">
        <f t="shared" si="36"/>
        <v>0</v>
      </c>
      <c r="AT150" s="4">
        <f t="shared" si="37"/>
        <v>3</v>
      </c>
      <c r="AU150" s="285">
        <f t="shared" si="38"/>
        <v>1</v>
      </c>
    </row>
    <row r="151" spans="1:47" x14ac:dyDescent="0.2">
      <c r="A151" s="59">
        <v>101</v>
      </c>
      <c r="B151" s="438">
        <f t="shared" si="26"/>
        <v>101</v>
      </c>
      <c r="C151" s="432">
        <f t="shared" si="27"/>
        <v>10014</v>
      </c>
      <c r="D151" s="61" t="s">
        <v>327</v>
      </c>
      <c r="E151" s="438" t="str">
        <f t="shared" si="28"/>
        <v/>
      </c>
      <c r="F151" s="431">
        <f t="shared" si="29"/>
        <v>0</v>
      </c>
      <c r="G151" s="660" t="s">
        <v>327</v>
      </c>
      <c r="H151" s="438" t="str">
        <f t="shared" si="30"/>
        <v/>
      </c>
      <c r="I151" s="658">
        <f t="shared" si="31"/>
        <v>0</v>
      </c>
      <c r="J151" s="154">
        <f t="shared" si="32"/>
        <v>143</v>
      </c>
      <c r="K151" s="139">
        <v>143</v>
      </c>
      <c r="L151" s="601" t="s">
        <v>525</v>
      </c>
      <c r="M151" s="139">
        <v>14</v>
      </c>
      <c r="N151" s="446">
        <f t="array" ref="N151">(IF(COUNT(V151,W151,AA151,AB151,AC151,AE151,AG151,AI151,AM151,AO151)&lt;7,SUM(V151,W151,AA151,AB151,AC151,AE151,AG151,AI151,AM151,AO151),SUM(LARGE((V151,W151,AA151,AB151,AC151,AE151,AG151,AI151,AM151,AO151),{1;2;3;4;5;6;7}))))+(IF(COUNT(X151,AD151,AF151,AH151,AJ151,AN151)&lt;5,SUM(X151,AD151,AF151,AH151,AJ151,AN151),SUM(LARGE((X151,AD151,AF151,AH151,AJ151,AN151),{1;2;3;4;5}))))+U151</f>
        <v>14</v>
      </c>
      <c r="O151" s="413"/>
      <c r="P151" s="405">
        <f t="array" ref="P151">IF(S151="n",((IF(COUNT(V151,W151,AA151,AB151,AC151,AE151,AG151,AI151,AM151,AO151)&lt;7,SUM(V151,W151,AA151,AB151,AC151,AE151,AG151,AI151,AM151,AO151),SUM(LARGE((V151,W151,AA151,AB151,AC151,AE151,AG151,AI151,AM151,AO151),{1;2;3;4;5;6;7}))))+(IF(COUNT(Y151,AD151,AF151,AH151,AK151,AN151)&lt;5,SUM(Y151,AD151,AF151,AH151,AK151,AN151),SUM(LARGE((Y151,AD151,AF151,AH151,AK151,AN151),{1;2;3;4;5}))))+U151),0)</f>
        <v>0</v>
      </c>
      <c r="Q151" s="661"/>
      <c r="R151" s="405">
        <f t="array" ref="R151">IF(T151="j",((IF(COUNT(V151,W151,AA151,AB151,AC151,AE151,AG151,AI151,AM151,AO151)&lt;7,SUM(V151,W151,AA151,AB151,AC151,AE151,AG151,AI151,AM151,AO151),SUM(LARGE((V151,W151,AA151,AB151,AC151,AE151,AG151,AI151,AM151,AO151),{1;2;3;4;5;6;7}))))+(IF(COUNT(Z151,AD151,AF151,AH151,AJ151,AN151)&lt;5,SUM(Z151,AD151,AF151,AH151,AJ151,AN151),SUM(LARGE((Z151,AD151,AF151,AH151,AJ151,AN151),{1;2;3;4;5}))))+U151),0)</f>
        <v>0</v>
      </c>
      <c r="S151" s="64"/>
      <c r="T151" s="64"/>
      <c r="U151" s="173"/>
      <c r="V151" s="141" t="s">
        <v>397</v>
      </c>
      <c r="W151" s="141" t="s">
        <v>397</v>
      </c>
      <c r="X151" s="141" t="s">
        <v>397</v>
      </c>
      <c r="Y151" s="614"/>
      <c r="Z151" s="611"/>
      <c r="AA151" s="141" t="s">
        <v>397</v>
      </c>
      <c r="AB151" s="15">
        <v>14</v>
      </c>
      <c r="AC151" s="15"/>
      <c r="AD151" s="15"/>
      <c r="AE151" s="15"/>
      <c r="AF151" s="15"/>
      <c r="AG151" s="15"/>
      <c r="AH151" s="15"/>
      <c r="AI151" s="15"/>
      <c r="AJ151" s="15"/>
      <c r="AK151" s="613"/>
      <c r="AL151" s="15"/>
      <c r="AM151" s="15"/>
      <c r="AN151" s="15"/>
      <c r="AO151" s="15"/>
      <c r="AP151" s="33">
        <f t="shared" si="33"/>
        <v>1</v>
      </c>
      <c r="AQ151" s="440">
        <f t="shared" si="34"/>
        <v>0</v>
      </c>
      <c r="AR151" s="441">
        <f t="shared" si="35"/>
        <v>0</v>
      </c>
      <c r="AS151" s="34">
        <f t="shared" si="36"/>
        <v>0</v>
      </c>
      <c r="AT151" s="4">
        <f t="shared" si="37"/>
        <v>3</v>
      </c>
      <c r="AU151" s="285">
        <f t="shared" si="38"/>
        <v>1</v>
      </c>
    </row>
    <row r="152" spans="1:47" x14ac:dyDescent="0.2">
      <c r="A152" s="59" t="s">
        <v>327</v>
      </c>
      <c r="B152" s="438" t="str">
        <f t="shared" si="26"/>
        <v/>
      </c>
      <c r="C152" s="432">
        <f t="shared" si="27"/>
        <v>0</v>
      </c>
      <c r="D152" s="61">
        <v>43</v>
      </c>
      <c r="E152" s="438">
        <f t="shared" si="28"/>
        <v>43</v>
      </c>
      <c r="F152" s="431">
        <f t="shared" si="29"/>
        <v>10013</v>
      </c>
      <c r="G152" s="660" t="s">
        <v>327</v>
      </c>
      <c r="H152" s="438" t="str">
        <f t="shared" si="30"/>
        <v/>
      </c>
      <c r="I152" s="658">
        <f t="shared" si="31"/>
        <v>0</v>
      </c>
      <c r="J152" s="154">
        <f t="shared" si="32"/>
        <v>144</v>
      </c>
      <c r="K152" s="139">
        <v>144</v>
      </c>
      <c r="L152" s="65" t="s">
        <v>316</v>
      </c>
      <c r="M152" s="637">
        <v>13</v>
      </c>
      <c r="N152" s="446">
        <f t="array" ref="N152">(IF(COUNT(V152,W152,AA152,AB152,AC152,AE152,AG152,AI152,AM152,AO152)&lt;7,SUM(V152,W152,AA152,AB152,AC152,AE152,AG152,AI152,AM152,AO152),SUM(LARGE((V152,W152,AA152,AB152,AC152,AE152,AG152,AI152,AM152,AO152),{1;2;3;4;5;6;7}))))+(IF(COUNT(X152,AD152,AF152,AH152,AJ152,AN152)&lt;5,SUM(X152,AD152,AF152,AH152,AJ152,AN152),SUM(LARGE((X152,AD152,AF152,AH152,AJ152,AN152),{1;2;3;4;5}))))+U152</f>
        <v>13</v>
      </c>
      <c r="O152" s="413">
        <v>13</v>
      </c>
      <c r="P152" s="405">
        <f t="array" ref="P152">IF(S152="n",((IF(COUNT(V152,W152,AA152,AB152,AC152,AE152,AG152,AI152,AM152,AO152)&lt;7,SUM(V152,W152,AA152,AB152,AC152,AE152,AG152,AI152,AM152,AO152),SUM(LARGE((V152,W152,AA152,AB152,AC152,AE152,AG152,AI152,AM152,AO152),{1;2;3;4;5;6;7}))))+(IF(COUNT(Y152,AD152,AF152,AH152,AK152,AN152)&lt;5,SUM(Y152,AD152,AF152,AH152,AK152,AN152),SUM(LARGE((Y152,AD152,AF152,AH152,AK152,AN152),{1;2;3;4;5}))))+U152),0)</f>
        <v>13</v>
      </c>
      <c r="Q152" s="661"/>
      <c r="R152" s="405">
        <f t="array" ref="R152">IF(T152="j",((IF(COUNT(V152,W152,AA152,AB152,AC152,AE152,AG152,AI152,AM152,AO152)&lt;7,SUM(V152,W152,AA152,AB152,AC152,AE152,AG152,AI152,AM152,AO152),SUM(LARGE((V152,W152,AA152,AB152,AC152,AE152,AG152,AI152,AM152,AO152),{1;2;3;4;5;6;7}))))+(IF(COUNT(Z152,AD152,AF152,AH152,AJ152,AN152)&lt;5,SUM(Z152,AD152,AF152,AH152,AJ152,AN152),SUM(LARGE((Z152,AD152,AF152,AH152,AJ152,AN152),{1;2;3;4;5}))))+U152),0)</f>
        <v>0</v>
      </c>
      <c r="S152" s="64" t="s">
        <v>35</v>
      </c>
      <c r="T152" s="64"/>
      <c r="U152" s="173">
        <v>1</v>
      </c>
      <c r="V152" s="141" t="s">
        <v>397</v>
      </c>
      <c r="W152" s="141" t="s">
        <v>397</v>
      </c>
      <c r="X152" s="141" t="s">
        <v>397</v>
      </c>
      <c r="Y152" s="614"/>
      <c r="Z152" s="611"/>
      <c r="AA152" s="141" t="s">
        <v>397</v>
      </c>
      <c r="AB152" s="15"/>
      <c r="AC152" s="15"/>
      <c r="AD152" s="15"/>
      <c r="AE152" s="15"/>
      <c r="AF152" s="15"/>
      <c r="AG152" s="15"/>
      <c r="AH152" s="15"/>
      <c r="AI152" s="15"/>
      <c r="AJ152" s="15"/>
      <c r="AK152" s="613"/>
      <c r="AL152" s="15"/>
      <c r="AM152" s="15">
        <v>12</v>
      </c>
      <c r="AN152" s="15"/>
      <c r="AO152" s="15"/>
      <c r="AP152" s="33">
        <f t="shared" si="33"/>
        <v>1</v>
      </c>
      <c r="AQ152" s="440">
        <f t="shared" si="34"/>
        <v>0</v>
      </c>
      <c r="AR152" s="441">
        <f t="shared" si="35"/>
        <v>0</v>
      </c>
      <c r="AS152" s="34">
        <f t="shared" si="36"/>
        <v>0</v>
      </c>
      <c r="AT152" s="4">
        <f t="shared" si="37"/>
        <v>3</v>
      </c>
      <c r="AU152" s="285">
        <f t="shared" si="38"/>
        <v>1</v>
      </c>
    </row>
    <row r="153" spans="1:47" x14ac:dyDescent="0.2">
      <c r="A153" s="59" t="s">
        <v>327</v>
      </c>
      <c r="B153" s="438" t="str">
        <f t="shared" si="26"/>
        <v/>
      </c>
      <c r="C153" s="432">
        <f t="shared" si="27"/>
        <v>0</v>
      </c>
      <c r="D153" s="61">
        <v>44</v>
      </c>
      <c r="E153" s="438">
        <f t="shared" si="28"/>
        <v>44</v>
      </c>
      <c r="F153" s="431">
        <f t="shared" si="29"/>
        <v>10012</v>
      </c>
      <c r="G153" s="660">
        <v>11</v>
      </c>
      <c r="H153" s="438">
        <f t="shared" si="30"/>
        <v>11</v>
      </c>
      <c r="I153" s="658">
        <f t="shared" si="31"/>
        <v>10012</v>
      </c>
      <c r="J153" s="154">
        <f t="shared" si="32"/>
        <v>145</v>
      </c>
      <c r="K153" s="139">
        <v>145</v>
      </c>
      <c r="L153" s="66" t="s">
        <v>791</v>
      </c>
      <c r="M153" s="637">
        <v>12</v>
      </c>
      <c r="N153" s="514">
        <f t="array" ref="N153">(IF(COUNT(V153,W153,AA153,AB153,AC153,AE153,AG153,AI153,AM153,AO153)&lt;7,SUM(V153,W153,AA153,AB153,AC153,AE153,AG153,AI153,AM153,AO153),SUM(LARGE((V153,W153,AA153,AB153,AC153,AE153,AG153,AI153,AM153,AO153),{1;2;3;4;5;6;7}))))+(IF(COUNT(X153,AD153,AF153,AH153,AJ153,AN153)&lt;5,SUM(X153,AD153,AF153,AH153,AJ153,AN153),SUM(LARGE((X153,AD153,AF153,AH153,AJ153,AN153),{1;2;3;4;5}))))+U153</f>
        <v>12</v>
      </c>
      <c r="O153" s="413">
        <v>12</v>
      </c>
      <c r="P153" s="405">
        <f t="array" ref="P153">IF(S153="n",((IF(COUNT(V153,W153,AA153,AB153,AC153,AE153,AG153,AI153,AM153,AO153)&lt;7,SUM(V153,W153,AA153,AB153,AC153,AE153,AG153,AI153,AM153,AO153),SUM(LARGE((V153,W153,AA153,AB153,AC153,AE153,AG153,AI153,AM153,AO153),{1;2;3;4;5;6;7}))))+(IF(COUNT(Y153,AD153,AF153,AH153,AK153,AN153)&lt;5,SUM(Y153,AD153,AF153,AH153,AK153,AN153),SUM(LARGE((Y153,AD153,AF153,AH153,AK153,AN153),{1;2;3;4;5}))))+U153),0)</f>
        <v>12</v>
      </c>
      <c r="Q153" s="661">
        <v>12</v>
      </c>
      <c r="R153" s="405">
        <f t="array" ref="R153">IF(T153="j",((IF(COUNT(V153,W153,AA153,AB153,AC153,AE153,AG153,AI153,AM153,AO153)&lt;7,SUM(V153,W153,AA153,AB153,AC153,AE153,AG153,AI153,AM153,AO153),SUM(LARGE((V153,W153,AA153,AB153,AC153,AE153,AG153,AI153,AM153,AO153),{1;2;3;4;5;6;7}))))+(IF(COUNT(Z153,AD153,AF153,AH153,AJ153,AN153)&lt;5,SUM(Z153,AD153,AF153,AH153,AJ153,AN153),SUM(LARGE((Z153,AD153,AF153,AH153,AJ153,AN153),{1;2;3;4;5}))))+U153),0)</f>
        <v>12</v>
      </c>
      <c r="S153" s="64" t="s">
        <v>35</v>
      </c>
      <c r="T153" s="64" t="s">
        <v>50</v>
      </c>
      <c r="U153" s="173"/>
      <c r="V153" s="141" t="s">
        <v>397</v>
      </c>
      <c r="W153" s="141" t="s">
        <v>397</v>
      </c>
      <c r="X153" s="141" t="s">
        <v>397</v>
      </c>
      <c r="Y153" s="614"/>
      <c r="Z153" s="611"/>
      <c r="AA153" s="141" t="s">
        <v>397</v>
      </c>
      <c r="AB153" s="15"/>
      <c r="AC153" s="15"/>
      <c r="AD153" s="15"/>
      <c r="AE153" s="15"/>
      <c r="AF153" s="15"/>
      <c r="AG153" s="15"/>
      <c r="AH153" s="15"/>
      <c r="AI153" s="15"/>
      <c r="AJ153" s="15"/>
      <c r="AK153" s="613"/>
      <c r="AL153" s="15"/>
      <c r="AM153" s="15">
        <v>12</v>
      </c>
      <c r="AN153" s="15"/>
      <c r="AO153" s="15"/>
      <c r="AP153" s="33">
        <f t="shared" si="33"/>
        <v>1</v>
      </c>
      <c r="AQ153" s="440">
        <f t="shared" si="34"/>
        <v>0</v>
      </c>
      <c r="AR153" s="441">
        <f t="shared" si="35"/>
        <v>0</v>
      </c>
      <c r="AS153" s="34">
        <f t="shared" si="36"/>
        <v>0</v>
      </c>
      <c r="AT153" s="4">
        <f t="shared" si="37"/>
        <v>3</v>
      </c>
      <c r="AU153" s="285">
        <f t="shared" si="38"/>
        <v>1</v>
      </c>
    </row>
    <row r="154" spans="1:47" ht="12.75" customHeight="1" x14ac:dyDescent="0.2">
      <c r="A154" s="59">
        <v>102</v>
      </c>
      <c r="B154" s="438">
        <f t="shared" si="26"/>
        <v>102</v>
      </c>
      <c r="C154" s="432">
        <f t="shared" si="27"/>
        <v>10003.5</v>
      </c>
      <c r="D154" s="61" t="s">
        <v>327</v>
      </c>
      <c r="E154" s="438" t="str">
        <f t="shared" si="28"/>
        <v/>
      </c>
      <c r="F154" s="431">
        <f t="shared" si="29"/>
        <v>0</v>
      </c>
      <c r="G154" s="660" t="s">
        <v>327</v>
      </c>
      <c r="H154" s="438" t="str">
        <f t="shared" si="30"/>
        <v/>
      </c>
      <c r="I154" s="658">
        <f t="shared" si="31"/>
        <v>0</v>
      </c>
      <c r="J154" s="154">
        <f t="shared" si="32"/>
        <v>146</v>
      </c>
      <c r="K154" s="139">
        <v>146</v>
      </c>
      <c r="L154" s="67" t="s">
        <v>83</v>
      </c>
      <c r="M154" s="251">
        <v>3.5</v>
      </c>
      <c r="N154" s="446">
        <f t="array" ref="N154">(IF(COUNT(V154,W154,AA154,AB154,AC154,AE154,AG154,AI154,AM154,AO154)&lt;7,SUM(V154,W154,AA154,AB154,AC154,AE154,AG154,AI154,AM154,AO154),SUM(LARGE((V154,W154,AA154,AB154,AC154,AE154,AG154,AI154,AM154,AO154),{1;2;3;4;5;6;7}))))+(IF(COUNT(X154,AD154,AF154,AH154,AJ154,AN154)&lt;5,SUM(X154,AD154,AF154,AH154,AJ154,AN154),SUM(LARGE((X154,AD154,AF154,AH154,AJ154,AN154),{1;2;3;4;5}))))+U154</f>
        <v>3.5</v>
      </c>
      <c r="O154" s="413"/>
      <c r="P154" s="405">
        <f t="array" ref="P154">IF(S154="n",((IF(COUNT(V154,W154,AA154,AB154,AC154,AE154,AG154,AI154,AM154,AO154)&lt;7,SUM(V154,W154,AA154,AB154,AC154,AE154,AG154,AI154,AM154,AO154),SUM(LARGE((V154,W154,AA154,AB154,AC154,AE154,AG154,AI154,AM154,AO154),{1;2;3;4;5;6;7}))))+(IF(COUNT(Y154,AD154,AF154,AH154,AK154,AN154)&lt;5,SUM(Y154,AD154,AF154,AH154,AK154,AN154),SUM(LARGE((Y154,AD154,AF154,AH154,AK154,AN154),{1;2;3;4;5}))))+U154),0)</f>
        <v>0</v>
      </c>
      <c r="Q154" s="661"/>
      <c r="R154" s="405">
        <f t="array" ref="R154">IF(T154="j",((IF(COUNT(V154,W154,AA154,AB154,AC154,AE154,AG154,AI154,AM154,AO154)&lt;7,SUM(V154,W154,AA154,AB154,AC154,AE154,AG154,AI154,AM154,AO154),SUM(LARGE((V154,W154,AA154,AB154,AC154,AE154,AG154,AI154,AM154,AO154),{1;2;3;4;5;6;7}))))+(IF(COUNT(Z154,AD154,AF154,AH154,AJ154,AN154)&lt;5,SUM(Z154,AD154,AF154,AH154,AJ154,AN154),SUM(LARGE((Z154,AD154,AF154,AH154,AJ154,AN154),{1;2;3;4;5}))))+U154),0)</f>
        <v>0</v>
      </c>
      <c r="S154" s="64"/>
      <c r="T154" s="64"/>
      <c r="U154" s="174">
        <v>3.5</v>
      </c>
      <c r="V154" s="141" t="s">
        <v>397</v>
      </c>
      <c r="W154" s="141" t="s">
        <v>397</v>
      </c>
      <c r="X154" s="141" t="s">
        <v>397</v>
      </c>
      <c r="Y154" s="614"/>
      <c r="Z154" s="611"/>
      <c r="AA154" s="141" t="s">
        <v>397</v>
      </c>
      <c r="AB154" s="15"/>
      <c r="AC154" s="15"/>
      <c r="AD154" s="15"/>
      <c r="AE154" s="15"/>
      <c r="AF154" s="15"/>
      <c r="AG154" s="15"/>
      <c r="AH154" s="15"/>
      <c r="AI154" s="15"/>
      <c r="AJ154" s="15"/>
      <c r="AK154" s="613"/>
      <c r="AL154" s="15"/>
      <c r="AM154" s="15"/>
      <c r="AN154" s="15"/>
      <c r="AO154" s="15"/>
      <c r="AP154" s="33">
        <f t="shared" si="33"/>
        <v>0</v>
      </c>
      <c r="AQ154" s="440">
        <f t="shared" si="34"/>
        <v>0</v>
      </c>
      <c r="AR154" s="441">
        <f t="shared" si="35"/>
        <v>0</v>
      </c>
      <c r="AS154" s="34">
        <f t="shared" si="36"/>
        <v>0</v>
      </c>
      <c r="AT154" s="4">
        <f t="shared" si="37"/>
        <v>3</v>
      </c>
      <c r="AU154" s="285">
        <f t="shared" si="38"/>
        <v>1</v>
      </c>
    </row>
    <row r="155" spans="1:47" ht="12.75" customHeight="1" x14ac:dyDescent="0.2">
      <c r="A155" s="59">
        <v>102</v>
      </c>
      <c r="B155" s="438">
        <f t="shared" si="26"/>
        <v>102</v>
      </c>
      <c r="C155" s="432">
        <f t="shared" si="27"/>
        <v>10003.5</v>
      </c>
      <c r="D155" s="61" t="s">
        <v>327</v>
      </c>
      <c r="E155" s="438" t="str">
        <f t="shared" si="28"/>
        <v/>
      </c>
      <c r="F155" s="431">
        <f t="shared" si="29"/>
        <v>0</v>
      </c>
      <c r="G155" s="660" t="s">
        <v>327</v>
      </c>
      <c r="H155" s="438" t="str">
        <f t="shared" si="30"/>
        <v/>
      </c>
      <c r="I155" s="658">
        <f t="shared" si="31"/>
        <v>0</v>
      </c>
      <c r="J155" s="154">
        <f t="shared" si="32"/>
        <v>146</v>
      </c>
      <c r="K155" s="139">
        <v>146</v>
      </c>
      <c r="L155" s="67" t="s">
        <v>305</v>
      </c>
      <c r="M155" s="251">
        <v>3.5</v>
      </c>
      <c r="N155" s="446">
        <f t="array" ref="N155">(IF(COUNT(V155,W155,AA155,AB155,AC155,AE155,AG155,AI155,AM155,AO155)&lt;7,SUM(V155,W155,AA155,AB155,AC155,AE155,AG155,AI155,AM155,AO155),SUM(LARGE((V155,W155,AA155,AB155,AC155,AE155,AG155,AI155,AM155,AO155),{1;2;3;4;5;6;7}))))+(IF(COUNT(X155,AD155,AF155,AH155,AJ155,AN155)&lt;5,SUM(X155,AD155,AF155,AH155,AJ155,AN155),SUM(LARGE((X155,AD155,AF155,AH155,AJ155,AN155),{1;2;3;4;5}))))+U155</f>
        <v>3.5</v>
      </c>
      <c r="O155" s="413"/>
      <c r="P155" s="405">
        <f t="array" ref="P155">IF(S155="n",((IF(COUNT(V155,W155,AA155,AB155,AC155,AE155,AG155,AI155,AM155,AO155)&lt;7,SUM(V155,W155,AA155,AB155,AC155,AE155,AG155,AI155,AM155,AO155),SUM(LARGE((V155,W155,AA155,AB155,AC155,AE155,AG155,AI155,AM155,AO155),{1;2;3;4;5;6;7}))))+(IF(COUNT(Y155,AD155,AF155,AH155,AK155,AN155)&lt;5,SUM(Y155,AD155,AF155,AH155,AK155,AN155),SUM(LARGE((Y155,AD155,AF155,AH155,AK155,AN155),{1;2;3;4;5}))))+U155),0)</f>
        <v>0</v>
      </c>
      <c r="Q155" s="661"/>
      <c r="R155" s="405">
        <f t="array" ref="R155">IF(T155="j",((IF(COUNT(V155,W155,AA155,AB155,AC155,AE155,AG155,AI155,AM155,AO155)&lt;7,SUM(V155,W155,AA155,AB155,AC155,AE155,AG155,AI155,AM155,AO155),SUM(LARGE((V155,W155,AA155,AB155,AC155,AE155,AG155,AI155,AM155,AO155),{1;2;3;4;5;6;7}))))+(IF(COUNT(Z155,AD155,AF155,AH155,AJ155,AN155)&lt;5,SUM(Z155,AD155,AF155,AH155,AJ155,AN155),SUM(LARGE((Z155,AD155,AF155,AH155,AJ155,AN155),{1;2;3;4;5}))))+U155),0)</f>
        <v>0</v>
      </c>
      <c r="S155" s="64"/>
      <c r="T155" s="64"/>
      <c r="U155" s="174">
        <v>3.5</v>
      </c>
      <c r="V155" s="141" t="s">
        <v>397</v>
      </c>
      <c r="W155" s="141" t="s">
        <v>397</v>
      </c>
      <c r="X155" s="141" t="s">
        <v>397</v>
      </c>
      <c r="Y155" s="614"/>
      <c r="Z155" s="611"/>
      <c r="AA155" s="141" t="s">
        <v>397</v>
      </c>
      <c r="AB155" s="15"/>
      <c r="AC155" s="15"/>
      <c r="AD155" s="15"/>
      <c r="AE155" s="15"/>
      <c r="AF155" s="15"/>
      <c r="AG155" s="15"/>
      <c r="AH155" s="15"/>
      <c r="AI155" s="15"/>
      <c r="AJ155" s="15"/>
      <c r="AK155" s="613"/>
      <c r="AL155" s="15"/>
      <c r="AM155" s="15"/>
      <c r="AN155" s="15"/>
      <c r="AO155" s="15"/>
      <c r="AP155" s="33">
        <f t="shared" si="33"/>
        <v>0</v>
      </c>
      <c r="AQ155" s="440">
        <f t="shared" si="34"/>
        <v>0</v>
      </c>
      <c r="AR155" s="441">
        <f t="shared" si="35"/>
        <v>0</v>
      </c>
      <c r="AS155" s="34">
        <f t="shared" si="36"/>
        <v>0</v>
      </c>
      <c r="AT155" s="4">
        <f t="shared" si="37"/>
        <v>3</v>
      </c>
      <c r="AU155" s="285">
        <f t="shared" si="38"/>
        <v>1</v>
      </c>
    </row>
    <row r="156" spans="1:47" ht="12.75" customHeight="1" x14ac:dyDescent="0.2">
      <c r="A156" s="59">
        <v>104</v>
      </c>
      <c r="B156" s="438">
        <f t="shared" si="26"/>
        <v>104</v>
      </c>
      <c r="C156" s="432">
        <f t="shared" si="27"/>
        <v>10001</v>
      </c>
      <c r="D156" s="61" t="s">
        <v>327</v>
      </c>
      <c r="E156" s="438" t="str">
        <f t="shared" si="28"/>
        <v/>
      </c>
      <c r="F156" s="431">
        <f t="shared" si="29"/>
        <v>0</v>
      </c>
      <c r="G156" s="660" t="s">
        <v>327</v>
      </c>
      <c r="H156" s="438" t="str">
        <f t="shared" si="30"/>
        <v/>
      </c>
      <c r="I156" s="658">
        <f t="shared" si="31"/>
        <v>0</v>
      </c>
      <c r="J156" s="154">
        <f t="shared" si="32"/>
        <v>148</v>
      </c>
      <c r="K156" s="139">
        <v>148</v>
      </c>
      <c r="L156" s="601" t="s">
        <v>321</v>
      </c>
      <c r="M156" s="637">
        <v>1</v>
      </c>
      <c r="N156" s="446">
        <f t="array" ref="N156">(IF(COUNT(V156,W156,AA156,AB156,AC156,AE156,AG156,AI156,AM156,AO156)&lt;7,SUM(V156,W156,AA156,AB156,AC156,AE156,AG156,AI156,AM156,AO156),SUM(LARGE((V156,W156,AA156,AB156,AC156,AE156,AG156,AI156,AM156,AO156),{1;2;3;4;5;6;7}))))+(IF(COUNT(X156,AD156,AF156,AH156,AJ156,AN156)&lt;5,SUM(X156,AD156,AF156,AH156,AJ156,AN156),SUM(LARGE((X156,AD156,AF156,AH156,AJ156,AN156),{1;2;3;4;5}))))+U156</f>
        <v>1</v>
      </c>
      <c r="O156" s="413"/>
      <c r="P156" s="405">
        <f t="array" ref="P156">IF(S156="n",((IF(COUNT(V156,W156,AA156,AB156,AC156,AE156,AG156,AI156,AM156,AO156)&lt;7,SUM(V156,W156,AA156,AB156,AC156,AE156,AG156,AI156,AM156,AO156),SUM(LARGE((V156,W156,AA156,AB156,AC156,AE156,AG156,AI156,AM156,AO156),{1;2;3;4;5;6;7}))))+(IF(COUNT(Y156,AD156,AF156,AH156,AK156,AN156)&lt;5,SUM(Y156,AD156,AF156,AH156,AK156,AN156),SUM(LARGE((Y156,AD156,AF156,AH156,AK156,AN156),{1;2;3;4;5}))))+U156),0)</f>
        <v>0</v>
      </c>
      <c r="Q156" s="661"/>
      <c r="R156" s="405">
        <f t="array" ref="R156">IF(T156="j",((IF(COUNT(V156,W156,AA156,AB156,AC156,AE156,AG156,AI156,AM156,AO156)&lt;7,SUM(V156,W156,AA156,AB156,AC156,AE156,AG156,AI156,AM156,AO156),SUM(LARGE((V156,W156,AA156,AB156,AC156,AE156,AG156,AI156,AM156,AO156),{1;2;3;4;5;6;7}))))+(IF(COUNT(Z156,AD156,AF156,AH156,AJ156,AN156)&lt;5,SUM(Z156,AD156,AF156,AH156,AJ156,AN156),SUM(LARGE((Z156,AD156,AF156,AH156,AJ156,AN156),{1;2;3;4;5}))))+U156),0)</f>
        <v>0</v>
      </c>
      <c r="S156" s="64"/>
      <c r="T156" s="64"/>
      <c r="U156" s="173">
        <v>1</v>
      </c>
      <c r="V156" s="141" t="s">
        <v>397</v>
      </c>
      <c r="W156" s="141" t="s">
        <v>397</v>
      </c>
      <c r="X156" s="141" t="s">
        <v>397</v>
      </c>
      <c r="Y156" s="614"/>
      <c r="Z156" s="611"/>
      <c r="AA156" s="141" t="s">
        <v>397</v>
      </c>
      <c r="AB156" s="15"/>
      <c r="AC156" s="15"/>
      <c r="AD156" s="15"/>
      <c r="AE156" s="15"/>
      <c r="AF156" s="15"/>
      <c r="AG156" s="15"/>
      <c r="AH156" s="15"/>
      <c r="AI156" s="15"/>
      <c r="AJ156" s="15"/>
      <c r="AK156" s="613"/>
      <c r="AL156" s="15"/>
      <c r="AM156" s="15"/>
      <c r="AN156" s="15"/>
      <c r="AO156" s="15"/>
      <c r="AP156" s="33">
        <f t="shared" si="33"/>
        <v>0</v>
      </c>
      <c r="AQ156" s="440">
        <f t="shared" si="34"/>
        <v>0</v>
      </c>
      <c r="AR156" s="441">
        <f t="shared" si="35"/>
        <v>0</v>
      </c>
      <c r="AS156" s="34">
        <f t="shared" si="36"/>
        <v>0</v>
      </c>
      <c r="AT156" s="4">
        <f t="shared" si="37"/>
        <v>3</v>
      </c>
      <c r="AU156" s="285">
        <f t="shared" si="38"/>
        <v>1</v>
      </c>
    </row>
    <row r="157" spans="1:47" ht="12.75" customHeight="1" x14ac:dyDescent="0.2">
      <c r="A157" s="59" t="s">
        <v>327</v>
      </c>
      <c r="B157" s="438" t="str">
        <f t="shared" si="26"/>
        <v/>
      </c>
      <c r="C157" s="432">
        <f t="shared" si="27"/>
        <v>0</v>
      </c>
      <c r="D157" s="61">
        <v>45</v>
      </c>
      <c r="E157" s="438">
        <f t="shared" si="28"/>
        <v>45</v>
      </c>
      <c r="F157" s="431">
        <f t="shared" si="29"/>
        <v>10001</v>
      </c>
      <c r="G157" s="660" t="s">
        <v>327</v>
      </c>
      <c r="H157" s="438" t="str">
        <f t="shared" si="30"/>
        <v/>
      </c>
      <c r="I157" s="658">
        <f t="shared" si="31"/>
        <v>0</v>
      </c>
      <c r="J157" s="154">
        <f t="shared" si="32"/>
        <v>148</v>
      </c>
      <c r="K157" s="139">
        <v>148</v>
      </c>
      <c r="L157" s="65" t="s">
        <v>322</v>
      </c>
      <c r="M157" s="637">
        <v>1</v>
      </c>
      <c r="N157" s="446">
        <f t="array" ref="N157">(IF(COUNT(V157,W157,AA157,AB157,AC157,AE157,AG157,AI157,AM157,AO157)&lt;7,SUM(V157,W157,AA157,AB157,AC157,AE157,AG157,AI157,AM157,AO157),SUM(LARGE((V157,W157,AA157,AB157,AC157,AE157,AG157,AI157,AM157,AO157),{1;2;3;4;5;6;7}))))+(IF(COUNT(X157,AD157,AF157,AH157,AJ157,AN157)&lt;5,SUM(X157,AD157,AF157,AH157,AJ157,AN157),SUM(LARGE((X157,AD157,AF157,AH157,AJ157,AN157),{1;2;3;4;5}))))+U157</f>
        <v>1</v>
      </c>
      <c r="O157" s="413">
        <v>1</v>
      </c>
      <c r="P157" s="405">
        <f t="array" ref="P157">IF(S157="n",((IF(COUNT(V157,W157,AA157,AB157,AC157,AE157,AG157,AI157,AM157,AO157)&lt;7,SUM(V157,W157,AA157,AB157,AC157,AE157,AG157,AI157,AM157,AO157),SUM(LARGE((V157,W157,AA157,AB157,AC157,AE157,AG157,AI157,AM157,AO157),{1;2;3;4;5;6;7}))))+(IF(COUNT(Y157,AD157,AF157,AH157,AK157,AN157)&lt;5,SUM(Y157,AD157,AF157,AH157,AK157,AN157),SUM(LARGE((Y157,AD157,AF157,AH157,AK157,AN157),{1;2;3;4;5}))))+U157),0)</f>
        <v>1</v>
      </c>
      <c r="Q157" s="661"/>
      <c r="R157" s="405">
        <f t="array" ref="R157">IF(T157="j",((IF(COUNT(V157,W157,AA157,AB157,AC157,AE157,AG157,AI157,AM157,AO157)&lt;7,SUM(V157,W157,AA157,AB157,AC157,AE157,AG157,AI157,AM157,AO157),SUM(LARGE((V157,W157,AA157,AB157,AC157,AE157,AG157,AI157,AM157,AO157),{1;2;3;4;5;6;7}))))+(IF(COUNT(Z157,AD157,AF157,AH157,AJ157,AN157)&lt;5,SUM(Z157,AD157,AF157,AH157,AJ157,AN157),SUM(LARGE((Z157,AD157,AF157,AH157,AJ157,AN157),{1;2;3;4;5}))))+U157),0)</f>
        <v>0</v>
      </c>
      <c r="S157" s="64" t="s">
        <v>35</v>
      </c>
      <c r="T157" s="64"/>
      <c r="U157" s="173">
        <v>1</v>
      </c>
      <c r="V157" s="141" t="s">
        <v>397</v>
      </c>
      <c r="W157" s="141" t="s">
        <v>397</v>
      </c>
      <c r="X157" s="141" t="s">
        <v>397</v>
      </c>
      <c r="Y157" s="614"/>
      <c r="Z157" s="611"/>
      <c r="AA157" s="141" t="s">
        <v>397</v>
      </c>
      <c r="AB157" s="15"/>
      <c r="AC157" s="15"/>
      <c r="AD157" s="15"/>
      <c r="AE157" s="15"/>
      <c r="AF157" s="15"/>
      <c r="AG157" s="15"/>
      <c r="AH157" s="15"/>
      <c r="AI157" s="15"/>
      <c r="AJ157" s="15"/>
      <c r="AK157" s="613"/>
      <c r="AL157" s="15"/>
      <c r="AM157" s="15"/>
      <c r="AN157" s="15"/>
      <c r="AO157" s="15"/>
      <c r="AP157" s="33">
        <f t="shared" si="33"/>
        <v>0</v>
      </c>
      <c r="AQ157" s="440">
        <f t="shared" si="34"/>
        <v>0</v>
      </c>
      <c r="AR157" s="441">
        <f t="shared" si="35"/>
        <v>0</v>
      </c>
      <c r="AS157" s="34">
        <f t="shared" si="36"/>
        <v>0</v>
      </c>
      <c r="AT157" s="4">
        <f t="shared" si="37"/>
        <v>3</v>
      </c>
      <c r="AU157" s="285">
        <f t="shared" si="38"/>
        <v>1</v>
      </c>
    </row>
    <row r="158" spans="1:47" ht="12.75" customHeight="1" x14ac:dyDescent="0.2">
      <c r="A158" s="59">
        <v>104</v>
      </c>
      <c r="B158" s="438">
        <f t="shared" si="26"/>
        <v>104</v>
      </c>
      <c r="C158" s="432">
        <f t="shared" si="27"/>
        <v>10001</v>
      </c>
      <c r="D158" s="61" t="s">
        <v>327</v>
      </c>
      <c r="E158" s="438" t="str">
        <f t="shared" si="28"/>
        <v/>
      </c>
      <c r="F158" s="431">
        <f t="shared" si="29"/>
        <v>0</v>
      </c>
      <c r="G158" s="660" t="s">
        <v>327</v>
      </c>
      <c r="H158" s="438" t="str">
        <f t="shared" si="30"/>
        <v/>
      </c>
      <c r="I158" s="658">
        <f t="shared" si="31"/>
        <v>0</v>
      </c>
      <c r="J158" s="154">
        <f t="shared" si="32"/>
        <v>148</v>
      </c>
      <c r="K158" s="139">
        <v>148</v>
      </c>
      <c r="L158" s="67" t="s">
        <v>315</v>
      </c>
      <c r="M158" s="251">
        <v>1</v>
      </c>
      <c r="N158" s="446">
        <f t="array" ref="N158">(IF(COUNT(V158,W158,AA158,AB158,AC158,AE158,AG158,AI158,AM158,AO158)&lt;7,SUM(V158,W158,AA158,AB158,AC158,AE158,AG158,AI158,AM158,AO158),SUM(LARGE((V158,W158,AA158,AB158,AC158,AE158,AG158,AI158,AM158,AO158),{1;2;3;4;5;6;7}))))+(IF(COUNT(X158,AD158,AF158,AH158,AJ158,AN158)&lt;5,SUM(X158,AD158,AF158,AH158,AJ158,AN158),SUM(LARGE((X158,AD158,AF158,AH158,AJ158,AN158),{1;2;3;4;5}))))+U158</f>
        <v>1</v>
      </c>
      <c r="O158" s="413"/>
      <c r="P158" s="405">
        <f t="array" ref="P158">IF(S158="n",((IF(COUNT(V158,W158,AA158,AB158,AC158,AE158,AG158,AI158,AM158,AO158)&lt;7,SUM(V158,W158,AA158,AB158,AC158,AE158,AG158,AI158,AM158,AO158),SUM(LARGE((V158,W158,AA158,AB158,AC158,AE158,AG158,AI158,AM158,AO158),{1;2;3;4;5;6;7}))))+(IF(COUNT(Y158,AD158,AF158,AH158,AK158,AN158)&lt;5,SUM(Y158,AD158,AF158,AH158,AK158,AN158),SUM(LARGE((Y158,AD158,AF158,AH158,AK158,AN158),{1;2;3;4;5}))))+U158),0)</f>
        <v>0</v>
      </c>
      <c r="Q158" s="661"/>
      <c r="R158" s="405">
        <f t="array" ref="R158">IF(T158="j",((IF(COUNT(V158,W158,AA158,AB158,AC158,AE158,AG158,AI158,AM158,AO158)&lt;7,SUM(V158,W158,AA158,AB158,AC158,AE158,AG158,AI158,AM158,AO158),SUM(LARGE((V158,W158,AA158,AB158,AC158,AE158,AG158,AI158,AM158,AO158),{1;2;3;4;5;6;7}))))+(IF(COUNT(Z158,AD158,AF158,AH158,AJ158,AN158)&lt;5,SUM(Z158,AD158,AF158,AH158,AJ158,AN158),SUM(LARGE((Z158,AD158,AF158,AH158,AJ158,AN158),{1;2;3;4;5}))))+U158),0)</f>
        <v>0</v>
      </c>
      <c r="S158" s="64"/>
      <c r="T158" s="64"/>
      <c r="U158" s="173">
        <v>1</v>
      </c>
      <c r="V158" s="141" t="s">
        <v>397</v>
      </c>
      <c r="W158" s="141" t="s">
        <v>397</v>
      </c>
      <c r="X158" s="141" t="s">
        <v>397</v>
      </c>
      <c r="Y158" s="614"/>
      <c r="Z158" s="611"/>
      <c r="AA158" s="141" t="s">
        <v>397</v>
      </c>
      <c r="AB158" s="15"/>
      <c r="AC158" s="15"/>
      <c r="AD158" s="32"/>
      <c r="AE158" s="15"/>
      <c r="AF158" s="15"/>
      <c r="AG158" s="15"/>
      <c r="AH158" s="15"/>
      <c r="AI158" s="15"/>
      <c r="AJ158" s="15"/>
      <c r="AK158" s="613"/>
      <c r="AL158" s="15"/>
      <c r="AM158" s="15"/>
      <c r="AN158" s="15"/>
      <c r="AO158" s="15"/>
      <c r="AP158" s="33">
        <f t="shared" si="33"/>
        <v>0</v>
      </c>
      <c r="AQ158" s="440">
        <f t="shared" si="34"/>
        <v>0</v>
      </c>
      <c r="AR158" s="441">
        <f t="shared" si="35"/>
        <v>0</v>
      </c>
      <c r="AS158" s="34">
        <f t="shared" si="36"/>
        <v>0</v>
      </c>
      <c r="AT158" s="4">
        <f t="shared" si="37"/>
        <v>3</v>
      </c>
      <c r="AU158" s="285">
        <f t="shared" si="38"/>
        <v>1</v>
      </c>
    </row>
    <row r="159" spans="1:47" ht="12.75" customHeight="1" x14ac:dyDescent="0.2">
      <c r="A159" s="59">
        <v>104</v>
      </c>
      <c r="B159" s="438">
        <f t="shared" si="26"/>
        <v>104</v>
      </c>
      <c r="C159" s="432">
        <f t="shared" si="27"/>
        <v>10001</v>
      </c>
      <c r="D159" s="61" t="s">
        <v>327</v>
      </c>
      <c r="E159" s="438" t="str">
        <f t="shared" si="28"/>
        <v/>
      </c>
      <c r="F159" s="431">
        <f t="shared" si="29"/>
        <v>0</v>
      </c>
      <c r="G159" s="660" t="s">
        <v>327</v>
      </c>
      <c r="H159" s="438" t="str">
        <f t="shared" si="30"/>
        <v/>
      </c>
      <c r="I159" s="658">
        <f t="shared" si="31"/>
        <v>0</v>
      </c>
      <c r="J159" s="154">
        <f t="shared" si="32"/>
        <v>148</v>
      </c>
      <c r="K159" s="139">
        <v>148</v>
      </c>
      <c r="L159" s="601" t="s">
        <v>93</v>
      </c>
      <c r="M159" s="139">
        <v>1</v>
      </c>
      <c r="N159" s="446">
        <f t="array" ref="N159">(IF(COUNT(V159,W159,AA159,AB159,AC159,AE159,AG159,AI159,AM159,AO159)&lt;7,SUM(V159,W159,AA159,AB159,AC159,AE159,AG159,AI159,AM159,AO159),SUM(LARGE((V159,W159,AA159,AB159,AC159,AE159,AG159,AI159,AM159,AO159),{1;2;3;4;5;6;7}))))+(IF(COUNT(X159,AD159,AF159,AH159,AJ159,AN159)&lt;5,SUM(X159,AD159,AF159,AH159,AJ159,AN159),SUM(LARGE((X159,AD159,AF159,AH159,AJ159,AN159),{1;2;3;4;5}))))+U159</f>
        <v>1</v>
      </c>
      <c r="O159" s="413"/>
      <c r="P159" s="405">
        <f t="array" ref="P159">IF(S159="n",((IF(COUNT(V159,W159,AA159,AB159,AC159,AE159,AG159,AI159,AM159,AO159)&lt;7,SUM(V159,W159,AA159,AB159,AC159,AE159,AG159,AI159,AM159,AO159),SUM(LARGE((V159,W159,AA159,AB159,AC159,AE159,AG159,AI159,AM159,AO159),{1;2;3;4;5;6;7}))))+(IF(COUNT(Y159,AD159,AF159,AH159,AK159,AN159)&lt;5,SUM(Y159,AD159,AF159,AH159,AK159,AN159),SUM(LARGE((Y159,AD159,AF159,AH159,AK159,AN159),{1;2;3;4;5}))))+U159),0)</f>
        <v>0</v>
      </c>
      <c r="Q159" s="661"/>
      <c r="R159" s="405">
        <f t="array" ref="R159">IF(T159="j",((IF(COUNT(V159,W159,AA159,AB159,AC159,AE159,AG159,AI159,AM159,AO159)&lt;7,SUM(V159,W159,AA159,AB159,AC159,AE159,AG159,AI159,AM159,AO159),SUM(LARGE((V159,W159,AA159,AB159,AC159,AE159,AG159,AI159,AM159,AO159),{1;2;3;4;5;6;7}))))+(IF(COUNT(Z159,AD159,AF159,AH159,AJ159,AN159)&lt;5,SUM(Z159,AD159,AF159,AH159,AJ159,AN159),SUM(LARGE((Z159,AD159,AF159,AH159,AJ159,AN159),{1;2;3;4;5}))))+U159),0)</f>
        <v>0</v>
      </c>
      <c r="S159" s="64"/>
      <c r="T159" s="64"/>
      <c r="U159" s="173">
        <v>1</v>
      </c>
      <c r="V159" s="141" t="s">
        <v>397</v>
      </c>
      <c r="W159" s="141" t="s">
        <v>397</v>
      </c>
      <c r="X159" s="141" t="s">
        <v>397</v>
      </c>
      <c r="Y159" s="614"/>
      <c r="Z159" s="611"/>
      <c r="AA159" s="141" t="s">
        <v>397</v>
      </c>
      <c r="AB159" s="15"/>
      <c r="AC159" s="15"/>
      <c r="AD159" s="15"/>
      <c r="AE159" s="15"/>
      <c r="AF159" s="15"/>
      <c r="AG159" s="15"/>
      <c r="AH159" s="15"/>
      <c r="AI159" s="15"/>
      <c r="AJ159" s="15"/>
      <c r="AK159" s="613"/>
      <c r="AL159" s="15"/>
      <c r="AM159" s="15"/>
      <c r="AN159" s="15"/>
      <c r="AO159" s="15"/>
      <c r="AP159" s="33">
        <f t="shared" si="33"/>
        <v>0</v>
      </c>
      <c r="AQ159" s="440">
        <f t="shared" si="34"/>
        <v>0</v>
      </c>
      <c r="AR159" s="441">
        <f t="shared" si="35"/>
        <v>0</v>
      </c>
      <c r="AS159" s="34">
        <f t="shared" si="36"/>
        <v>0</v>
      </c>
      <c r="AT159" s="4">
        <f t="shared" si="37"/>
        <v>3</v>
      </c>
      <c r="AU159" s="285">
        <f t="shared" si="38"/>
        <v>1</v>
      </c>
    </row>
    <row r="160" spans="1:47" ht="12.75" customHeight="1" x14ac:dyDescent="0.2">
      <c r="A160" s="59">
        <v>104</v>
      </c>
      <c r="B160" s="438">
        <f t="shared" ref="B160:B176" si="39">IF(N160=0,"",IF(S160="n","",RANK(C160,C$9:C$176,0)))</f>
        <v>104</v>
      </c>
      <c r="C160" s="432">
        <f t="shared" si="27"/>
        <v>10001</v>
      </c>
      <c r="D160" s="61" t="s">
        <v>327</v>
      </c>
      <c r="E160" s="438" t="str">
        <f t="shared" si="28"/>
        <v/>
      </c>
      <c r="F160" s="431">
        <f t="shared" si="29"/>
        <v>0</v>
      </c>
      <c r="G160" s="660" t="s">
        <v>327</v>
      </c>
      <c r="H160" s="438" t="str">
        <f t="shared" si="30"/>
        <v/>
      </c>
      <c r="I160" s="658">
        <f t="shared" si="31"/>
        <v>0</v>
      </c>
      <c r="J160" s="154">
        <f t="shared" si="32"/>
        <v>148</v>
      </c>
      <c r="K160" s="139">
        <v>148</v>
      </c>
      <c r="L160" s="67" t="s">
        <v>313</v>
      </c>
      <c r="M160" s="251">
        <v>1</v>
      </c>
      <c r="N160" s="446">
        <f t="array" ref="N160">(IF(COUNT(V160,W160,AA160,AB160,AC160,AE160,AG160,AI160,AM160,AO160)&lt;7,SUM(V160,W160,AA160,AB160,AC160,AE160,AG160,AI160,AM160,AO160),SUM(LARGE((V160,W160,AA160,AB160,AC160,AE160,AG160,AI160,AM160,AO160),{1;2;3;4;5;6;7}))))+(IF(COUNT(X160,AD160,AF160,AH160,AJ160,AN160)&lt;5,SUM(X160,AD160,AF160,AH160,AJ160,AN160),SUM(LARGE((X160,AD160,AF160,AH160,AJ160,AN160),{1;2;3;4;5}))))+U160</f>
        <v>1</v>
      </c>
      <c r="O160" s="413"/>
      <c r="P160" s="405">
        <f t="array" ref="P160">IF(S160="n",((IF(COUNT(V160,W160,AA160,AB160,AC160,AE160,AG160,AI160,AM160,AO160)&lt;7,SUM(V160,W160,AA160,AB160,AC160,AE160,AG160,AI160,AM160,AO160),SUM(LARGE((V160,W160,AA160,AB160,AC160,AE160,AG160,AI160,AM160,AO160),{1;2;3;4;5;6;7}))))+(IF(COUNT(Y160,AD160,AF160,AH160,AK160,AN160)&lt;5,SUM(Y160,AD160,AF160,AH160,AK160,AN160),SUM(LARGE((Y160,AD160,AF160,AH160,AK160,AN160),{1;2;3;4;5}))))+U160),0)</f>
        <v>0</v>
      </c>
      <c r="Q160" s="661"/>
      <c r="R160" s="405">
        <f t="array" ref="R160">IF(T160="j",((IF(COUNT(V160,W160,AA160,AB160,AC160,AE160,AG160,AI160,AM160,AO160)&lt;7,SUM(V160,W160,AA160,AB160,AC160,AE160,AG160,AI160,AM160,AO160),SUM(LARGE((V160,W160,AA160,AB160,AC160,AE160,AG160,AI160,AM160,AO160),{1;2;3;4;5;6;7}))))+(IF(COUNT(Z160,AD160,AF160,AH160,AJ160,AN160)&lt;5,SUM(Z160,AD160,AF160,AH160,AJ160,AN160),SUM(LARGE((Z160,AD160,AF160,AH160,AJ160,AN160),{1;2;3;4;5}))))+U160),0)</f>
        <v>0</v>
      </c>
      <c r="S160" s="64"/>
      <c r="T160" s="64"/>
      <c r="U160" s="173">
        <v>1</v>
      </c>
      <c r="V160" s="141" t="s">
        <v>397</v>
      </c>
      <c r="W160" s="141" t="s">
        <v>397</v>
      </c>
      <c r="X160" s="141" t="s">
        <v>397</v>
      </c>
      <c r="Y160" s="614"/>
      <c r="Z160" s="611"/>
      <c r="AA160" s="141" t="s">
        <v>397</v>
      </c>
      <c r="AB160" s="15"/>
      <c r="AC160" s="15"/>
      <c r="AD160" s="15"/>
      <c r="AE160" s="15"/>
      <c r="AF160" s="15"/>
      <c r="AG160" s="15"/>
      <c r="AH160" s="15"/>
      <c r="AI160" s="15"/>
      <c r="AJ160" s="15"/>
      <c r="AK160" s="613"/>
      <c r="AL160" s="15"/>
      <c r="AM160" s="15"/>
      <c r="AN160" s="15"/>
      <c r="AO160" s="15"/>
      <c r="AP160" s="33">
        <f t="shared" si="33"/>
        <v>0</v>
      </c>
      <c r="AQ160" s="440">
        <f t="shared" si="34"/>
        <v>0</v>
      </c>
      <c r="AR160" s="441">
        <f t="shared" si="35"/>
        <v>0</v>
      </c>
      <c r="AS160" s="34">
        <f t="shared" si="36"/>
        <v>0</v>
      </c>
      <c r="AT160" s="4">
        <f t="shared" si="37"/>
        <v>3</v>
      </c>
      <c r="AU160" s="285">
        <f t="shared" si="38"/>
        <v>1</v>
      </c>
    </row>
    <row r="161" spans="1:47" ht="12.75" customHeight="1" x14ac:dyDescent="0.2">
      <c r="A161" s="59" t="s">
        <v>327</v>
      </c>
      <c r="B161" s="438" t="str">
        <f t="shared" si="39"/>
        <v/>
      </c>
      <c r="C161" s="432">
        <f t="shared" si="27"/>
        <v>0</v>
      </c>
      <c r="D161" s="61">
        <v>45</v>
      </c>
      <c r="E161" s="438">
        <f t="shared" si="28"/>
        <v>45</v>
      </c>
      <c r="F161" s="431">
        <f t="shared" si="29"/>
        <v>10001</v>
      </c>
      <c r="G161" s="660" t="s">
        <v>327</v>
      </c>
      <c r="H161" s="438" t="str">
        <f t="shared" si="30"/>
        <v/>
      </c>
      <c r="I161" s="658">
        <f t="shared" si="31"/>
        <v>0</v>
      </c>
      <c r="J161" s="154">
        <f t="shared" si="32"/>
        <v>148</v>
      </c>
      <c r="K161" s="139">
        <v>148</v>
      </c>
      <c r="L161" s="70" t="s">
        <v>86</v>
      </c>
      <c r="M161" s="139">
        <v>1</v>
      </c>
      <c r="N161" s="446">
        <f t="array" ref="N161">(IF(COUNT(V161,W161,AA161,AB161,AC161,AE161,AG161,AI161,AM161,AO161)&lt;7,SUM(V161,W161,AA161,AB161,AC161,AE161,AG161,AI161,AM161,AO161),SUM(LARGE((V161,W161,AA161,AB161,AC161,AE161,AG161,AI161,AM161,AO161),{1;2;3;4;5;6;7}))))+(IF(COUNT(X161,AD161,AF161,AH161,AJ161,AN161)&lt;5,SUM(X161,AD161,AF161,AH161,AJ161,AN161),SUM(LARGE((X161,AD161,AF161,AH161,AJ161,AN161),{1;2;3;4;5}))))+U161</f>
        <v>1</v>
      </c>
      <c r="O161" s="413">
        <v>1</v>
      </c>
      <c r="P161" s="405">
        <f t="array" ref="P161">IF(S161="n",((IF(COUNT(V161,W161,AA161,AB161,AC161,AE161,AG161,AI161,AM161,AO161)&lt;7,SUM(V161,W161,AA161,AB161,AC161,AE161,AG161,AI161,AM161,AO161),SUM(LARGE((V161,W161,AA161,AB161,AC161,AE161,AG161,AI161,AM161,AO161),{1;2;3;4;5;6;7}))))+(IF(COUNT(Y161,AD161,AF161,AH161,AK161,AN161)&lt;5,SUM(Y161,AD161,AF161,AH161,AK161,AN161),SUM(LARGE((Y161,AD161,AF161,AH161,AK161,AN161),{1;2;3;4;5}))))+U161),0)</f>
        <v>1</v>
      </c>
      <c r="Q161" s="661"/>
      <c r="R161" s="405">
        <f t="array" ref="R161">IF(T161="j",((IF(COUNT(V161,W161,AA161,AB161,AC161,AE161,AG161,AI161,AM161,AO161)&lt;7,SUM(V161,W161,AA161,AB161,AC161,AE161,AG161,AI161,AM161,AO161),SUM(LARGE((V161,W161,AA161,AB161,AC161,AE161,AG161,AI161,AM161,AO161),{1;2;3;4;5;6;7}))))+(IF(COUNT(Z161,AD161,AF161,AH161,AJ161,AN161)&lt;5,SUM(Z161,AD161,AF161,AH161,AJ161,AN161),SUM(LARGE((Z161,AD161,AF161,AH161,AJ161,AN161),{1;2;3;4;5}))))+U161),0)</f>
        <v>0</v>
      </c>
      <c r="S161" s="64" t="s">
        <v>35</v>
      </c>
      <c r="T161" s="64"/>
      <c r="U161" s="173">
        <v>1</v>
      </c>
      <c r="V161" s="141" t="s">
        <v>397</v>
      </c>
      <c r="W161" s="141" t="s">
        <v>397</v>
      </c>
      <c r="X161" s="141" t="s">
        <v>397</v>
      </c>
      <c r="Y161" s="614"/>
      <c r="Z161" s="611"/>
      <c r="AA161" s="141" t="s">
        <v>397</v>
      </c>
      <c r="AB161" s="15"/>
      <c r="AC161" s="15"/>
      <c r="AD161" s="15"/>
      <c r="AE161" s="15"/>
      <c r="AF161" s="15"/>
      <c r="AG161" s="15"/>
      <c r="AH161" s="15"/>
      <c r="AI161" s="15"/>
      <c r="AJ161" s="15"/>
      <c r="AK161" s="613"/>
      <c r="AL161" s="15"/>
      <c r="AM161" s="15"/>
      <c r="AN161" s="15"/>
      <c r="AO161" s="15"/>
      <c r="AP161" s="33">
        <f t="shared" si="33"/>
        <v>0</v>
      </c>
      <c r="AQ161" s="440">
        <f t="shared" si="34"/>
        <v>0</v>
      </c>
      <c r="AR161" s="441">
        <f t="shared" si="35"/>
        <v>0</v>
      </c>
      <c r="AS161" s="34">
        <f t="shared" si="36"/>
        <v>0</v>
      </c>
      <c r="AT161" s="4">
        <f t="shared" si="37"/>
        <v>3</v>
      </c>
      <c r="AU161" s="285">
        <f t="shared" si="38"/>
        <v>1</v>
      </c>
    </row>
    <row r="162" spans="1:47" ht="12.75" customHeight="1" x14ac:dyDescent="0.2">
      <c r="A162" s="59" t="s">
        <v>327</v>
      </c>
      <c r="B162" s="438" t="str">
        <f t="shared" si="39"/>
        <v/>
      </c>
      <c r="C162" s="432">
        <f t="shared" si="27"/>
        <v>0</v>
      </c>
      <c r="D162" s="61">
        <v>45</v>
      </c>
      <c r="E162" s="438">
        <f t="shared" si="28"/>
        <v>45</v>
      </c>
      <c r="F162" s="431">
        <f t="shared" si="29"/>
        <v>10001</v>
      </c>
      <c r="G162" s="660" t="s">
        <v>327</v>
      </c>
      <c r="H162" s="438" t="str">
        <f t="shared" si="30"/>
        <v/>
      </c>
      <c r="I162" s="658">
        <f t="shared" si="31"/>
        <v>0</v>
      </c>
      <c r="J162" s="154">
        <f t="shared" si="32"/>
        <v>148</v>
      </c>
      <c r="K162" s="139">
        <v>148</v>
      </c>
      <c r="L162" s="65" t="s">
        <v>65</v>
      </c>
      <c r="M162" s="139">
        <v>1</v>
      </c>
      <c r="N162" s="446">
        <f t="array" ref="N162">(IF(COUNT(V162,W162,AA162,AB162,AC162,AE162,AG162,AI162,AM162,AO162)&lt;7,SUM(V162,W162,AA162,AB162,AC162,AE162,AG162,AI162,AM162,AO162),SUM(LARGE((V162,W162,AA162,AB162,AC162,AE162,AG162,AI162,AM162,AO162),{1;2;3;4;5;6;7}))))+(IF(COUNT(X162,AD162,AF162,AH162,AJ162,AN162)&lt;5,SUM(X162,AD162,AF162,AH162,AJ162,AN162),SUM(LARGE((X162,AD162,AF162,AH162,AJ162,AN162),{1;2;3;4;5}))))+U162</f>
        <v>1</v>
      </c>
      <c r="O162" s="413">
        <v>1</v>
      </c>
      <c r="P162" s="405">
        <f t="array" ref="P162">IF(S162="n",((IF(COUNT(V162,W162,AA162,AB162,AC162,AE162,AG162,AI162,AM162,AO162)&lt;7,SUM(V162,W162,AA162,AB162,AC162,AE162,AG162,AI162,AM162,AO162),SUM(LARGE((V162,W162,AA162,AB162,AC162,AE162,AG162,AI162,AM162,AO162),{1;2;3;4;5;6;7}))))+(IF(COUNT(Y162,AD162,AF162,AH162,AK162,AN162)&lt;5,SUM(Y162,AD162,AF162,AH162,AK162,AN162),SUM(LARGE((Y162,AD162,AF162,AH162,AK162,AN162),{1;2;3;4;5}))))+U162),0)</f>
        <v>1</v>
      </c>
      <c r="Q162" s="661"/>
      <c r="R162" s="405">
        <f t="array" ref="R162">IF(T162="j",((IF(COUNT(V162,W162,AA162,AB162,AC162,AE162,AG162,AI162,AM162,AO162)&lt;7,SUM(V162,W162,AA162,AB162,AC162,AE162,AG162,AI162,AM162,AO162),SUM(LARGE((V162,W162,AA162,AB162,AC162,AE162,AG162,AI162,AM162,AO162),{1;2;3;4;5;6;7}))))+(IF(COUNT(Z162,AD162,AF162,AH162,AJ162,AN162)&lt;5,SUM(Z162,AD162,AF162,AH162,AJ162,AN162),SUM(LARGE((Z162,AD162,AF162,AH162,AJ162,AN162),{1;2;3;4;5}))))+U162),0)</f>
        <v>0</v>
      </c>
      <c r="S162" s="64" t="s">
        <v>35</v>
      </c>
      <c r="T162" s="64"/>
      <c r="U162" s="173">
        <v>1</v>
      </c>
      <c r="V162" s="141" t="s">
        <v>397</v>
      </c>
      <c r="W162" s="141" t="s">
        <v>397</v>
      </c>
      <c r="X162" s="141" t="s">
        <v>397</v>
      </c>
      <c r="Y162" s="614"/>
      <c r="Z162" s="611"/>
      <c r="AA162" s="141" t="s">
        <v>397</v>
      </c>
      <c r="AB162" s="15"/>
      <c r="AC162" s="15"/>
      <c r="AD162" s="32"/>
      <c r="AE162" s="15"/>
      <c r="AF162" s="15"/>
      <c r="AG162" s="15"/>
      <c r="AH162" s="15"/>
      <c r="AI162" s="15"/>
      <c r="AJ162" s="15"/>
      <c r="AK162" s="613"/>
      <c r="AL162" s="15"/>
      <c r="AM162" s="15"/>
      <c r="AN162" s="15"/>
      <c r="AO162" s="15"/>
      <c r="AP162" s="33">
        <f t="shared" si="33"/>
        <v>0</v>
      </c>
      <c r="AQ162" s="440">
        <f t="shared" si="34"/>
        <v>0</v>
      </c>
      <c r="AR162" s="441">
        <f t="shared" si="35"/>
        <v>0</v>
      </c>
      <c r="AS162" s="34">
        <f t="shared" si="36"/>
        <v>0</v>
      </c>
      <c r="AT162" s="4">
        <f t="shared" si="37"/>
        <v>3</v>
      </c>
      <c r="AU162" s="285">
        <f t="shared" si="38"/>
        <v>1</v>
      </c>
    </row>
    <row r="163" spans="1:47" ht="12.75" customHeight="1" x14ac:dyDescent="0.2">
      <c r="A163" s="59">
        <v>104</v>
      </c>
      <c r="B163" s="438">
        <f t="shared" si="39"/>
        <v>104</v>
      </c>
      <c r="C163" s="432">
        <f t="shared" si="27"/>
        <v>10001</v>
      </c>
      <c r="D163" s="61" t="s">
        <v>327</v>
      </c>
      <c r="E163" s="438" t="str">
        <f t="shared" si="28"/>
        <v/>
      </c>
      <c r="F163" s="431">
        <f t="shared" si="29"/>
        <v>0</v>
      </c>
      <c r="G163" s="660" t="s">
        <v>327</v>
      </c>
      <c r="H163" s="438" t="str">
        <f t="shared" si="30"/>
        <v/>
      </c>
      <c r="I163" s="658">
        <f t="shared" si="31"/>
        <v>0</v>
      </c>
      <c r="J163" s="154">
        <f t="shared" si="32"/>
        <v>148</v>
      </c>
      <c r="K163" s="139">
        <v>148</v>
      </c>
      <c r="L163" s="601" t="s">
        <v>311</v>
      </c>
      <c r="M163" s="139">
        <v>1</v>
      </c>
      <c r="N163" s="446">
        <f t="array" ref="N163">(IF(COUNT(V163,W163,AA163,AB163,AC163,AE163,AG163,AI163,AM163,AO163)&lt;7,SUM(V163,W163,AA163,AB163,AC163,AE163,AG163,AI163,AM163,AO163),SUM(LARGE((V163,W163,AA163,AB163,AC163,AE163,AG163,AI163,AM163,AO163),{1;2;3;4;5;6;7}))))+(IF(COUNT(X163,AD163,AF163,AH163,AJ163,AN163)&lt;5,SUM(X163,AD163,AF163,AH163,AJ163,AN163),SUM(LARGE((X163,AD163,AF163,AH163,AJ163,AN163),{1;2;3;4;5}))))+U163</f>
        <v>1</v>
      </c>
      <c r="O163" s="413"/>
      <c r="P163" s="405">
        <f t="array" ref="P163">IF(S163="n",((IF(COUNT(V163,W163,AA163,AB163,AC163,AE163,AG163,AI163,AM163,AO163)&lt;7,SUM(V163,W163,AA163,AB163,AC163,AE163,AG163,AI163,AM163,AO163),SUM(LARGE((V163,W163,AA163,AB163,AC163,AE163,AG163,AI163,AM163,AO163),{1;2;3;4;5;6;7}))))+(IF(COUNT(Y163,AD163,AF163,AH163,AK163,AN163)&lt;5,SUM(Y163,AD163,AF163,AH163,AK163,AN163),SUM(LARGE((Y163,AD163,AF163,AH163,AK163,AN163),{1;2;3;4;5}))))+U163),0)</f>
        <v>0</v>
      </c>
      <c r="Q163" s="661"/>
      <c r="R163" s="405">
        <f t="array" ref="R163">IF(T163="j",((IF(COUNT(V163,W163,AA163,AB163,AC163,AE163,AG163,AI163,AM163,AO163)&lt;7,SUM(V163,W163,AA163,AB163,AC163,AE163,AG163,AI163,AM163,AO163),SUM(LARGE((V163,W163,AA163,AB163,AC163,AE163,AG163,AI163,AM163,AO163),{1;2;3;4;5;6;7}))))+(IF(COUNT(Z163,AD163,AF163,AH163,AJ163,AN163)&lt;5,SUM(Z163,AD163,AF163,AH163,AJ163,AN163),SUM(LARGE((Z163,AD163,AF163,AH163,AJ163,AN163),{1;2;3;4;5}))))+U163),0)</f>
        <v>0</v>
      </c>
      <c r="S163" s="64"/>
      <c r="T163" s="64"/>
      <c r="U163" s="173">
        <v>1</v>
      </c>
      <c r="V163" s="141" t="s">
        <v>397</v>
      </c>
      <c r="W163" s="141" t="s">
        <v>397</v>
      </c>
      <c r="X163" s="141" t="s">
        <v>397</v>
      </c>
      <c r="Y163" s="614"/>
      <c r="Z163" s="611"/>
      <c r="AA163" s="141" t="s">
        <v>397</v>
      </c>
      <c r="AB163" s="15"/>
      <c r="AC163" s="15"/>
      <c r="AD163" s="15"/>
      <c r="AE163" s="15"/>
      <c r="AF163" s="15"/>
      <c r="AG163" s="15"/>
      <c r="AH163" s="15"/>
      <c r="AI163" s="15"/>
      <c r="AJ163" s="15"/>
      <c r="AK163" s="613"/>
      <c r="AL163" s="15"/>
      <c r="AM163" s="15"/>
      <c r="AN163" s="15"/>
      <c r="AO163" s="15"/>
      <c r="AP163" s="33">
        <f t="shared" si="33"/>
        <v>0</v>
      </c>
      <c r="AQ163" s="440">
        <f t="shared" si="34"/>
        <v>0</v>
      </c>
      <c r="AR163" s="441">
        <f t="shared" si="35"/>
        <v>0</v>
      </c>
      <c r="AS163" s="34">
        <f t="shared" si="36"/>
        <v>0</v>
      </c>
      <c r="AT163" s="4">
        <f t="shared" si="37"/>
        <v>3</v>
      </c>
      <c r="AU163" s="285">
        <f t="shared" si="38"/>
        <v>1</v>
      </c>
    </row>
    <row r="164" spans="1:47" ht="12.75" customHeight="1" x14ac:dyDescent="0.2">
      <c r="A164" s="59">
        <v>104</v>
      </c>
      <c r="B164" s="438">
        <f t="shared" si="39"/>
        <v>104</v>
      </c>
      <c r="C164" s="432">
        <f t="shared" si="27"/>
        <v>10001</v>
      </c>
      <c r="D164" s="61" t="s">
        <v>327</v>
      </c>
      <c r="E164" s="438" t="str">
        <f t="shared" si="28"/>
        <v/>
      </c>
      <c r="F164" s="431">
        <f t="shared" si="29"/>
        <v>0</v>
      </c>
      <c r="G164" s="660" t="s">
        <v>327</v>
      </c>
      <c r="H164" s="438" t="str">
        <f t="shared" si="30"/>
        <v/>
      </c>
      <c r="I164" s="658">
        <f t="shared" si="31"/>
        <v>0</v>
      </c>
      <c r="J164" s="154">
        <f t="shared" si="32"/>
        <v>148</v>
      </c>
      <c r="K164" s="139">
        <v>148</v>
      </c>
      <c r="L164" s="601" t="s">
        <v>306</v>
      </c>
      <c r="M164" s="139">
        <v>1</v>
      </c>
      <c r="N164" s="446">
        <f t="array" ref="N164">(IF(COUNT(V164,W164,AA164,AB164,AC164,AE164,AG164,AI164,AM164,AO164)&lt;7,SUM(V164,W164,AA164,AB164,AC164,AE164,AG164,AI164,AM164,AO164),SUM(LARGE((V164,W164,AA164,AB164,AC164,AE164,AG164,AI164,AM164,AO164),{1;2;3;4;5;6;7}))))+(IF(COUNT(X164,AD164,AF164,AH164,AJ164,AN164)&lt;5,SUM(X164,AD164,AF164,AH164,AJ164,AN164),SUM(LARGE((X164,AD164,AF164,AH164,AJ164,AN164),{1;2;3;4;5}))))+U164</f>
        <v>1</v>
      </c>
      <c r="O164" s="413"/>
      <c r="P164" s="405">
        <f t="array" ref="P164">IF(S164="n",((IF(COUNT(V164,W164,AA164,AB164,AC164,AE164,AG164,AI164,AM164,AO164)&lt;7,SUM(V164,W164,AA164,AB164,AC164,AE164,AG164,AI164,AM164,AO164),SUM(LARGE((V164,W164,AA164,AB164,AC164,AE164,AG164,AI164,AM164,AO164),{1;2;3;4;5;6;7}))))+(IF(COUNT(Y164,AD164,AF164,AH164,AK164,AN164)&lt;5,SUM(Y164,AD164,AF164,AH164,AK164,AN164),SUM(LARGE((Y164,AD164,AF164,AH164,AK164,AN164),{1;2;3;4;5}))))+U164),0)</f>
        <v>0</v>
      </c>
      <c r="Q164" s="661"/>
      <c r="R164" s="405">
        <f t="array" ref="R164">IF(T164="j",((IF(COUNT(V164,W164,AA164,AB164,AC164,AE164,AG164,AI164,AM164,AO164)&lt;7,SUM(V164,W164,AA164,AB164,AC164,AE164,AG164,AI164,AM164,AO164),SUM(LARGE((V164,W164,AA164,AB164,AC164,AE164,AG164,AI164,AM164,AO164),{1;2;3;4;5;6;7}))))+(IF(COUNT(Z164,AD164,AF164,AH164,AJ164,AN164)&lt;5,SUM(Z164,AD164,AF164,AH164,AJ164,AN164),SUM(LARGE((Z164,AD164,AF164,AH164,AJ164,AN164),{1;2;3;4;5}))))+U164),0)</f>
        <v>0</v>
      </c>
      <c r="S164" s="64"/>
      <c r="T164" s="64"/>
      <c r="U164" s="173">
        <v>1</v>
      </c>
      <c r="V164" s="141" t="s">
        <v>397</v>
      </c>
      <c r="W164" s="141" t="s">
        <v>397</v>
      </c>
      <c r="X164" s="141" t="s">
        <v>397</v>
      </c>
      <c r="Y164" s="614"/>
      <c r="Z164" s="611"/>
      <c r="AA164" s="141" t="s">
        <v>397</v>
      </c>
      <c r="AB164" s="15"/>
      <c r="AC164" s="15"/>
      <c r="AD164" s="15"/>
      <c r="AE164" s="15"/>
      <c r="AF164" s="15"/>
      <c r="AG164" s="15"/>
      <c r="AH164" s="15"/>
      <c r="AI164" s="15"/>
      <c r="AJ164" s="15"/>
      <c r="AK164" s="613"/>
      <c r="AL164" s="15"/>
      <c r="AM164" s="15"/>
      <c r="AN164" s="15"/>
      <c r="AO164" s="15"/>
      <c r="AP164" s="33">
        <f t="shared" si="33"/>
        <v>0</v>
      </c>
      <c r="AQ164" s="440">
        <f t="shared" si="34"/>
        <v>0</v>
      </c>
      <c r="AR164" s="441">
        <f t="shared" si="35"/>
        <v>0</v>
      </c>
      <c r="AS164" s="34">
        <f t="shared" si="36"/>
        <v>0</v>
      </c>
      <c r="AT164" s="4">
        <f t="shared" si="37"/>
        <v>3</v>
      </c>
      <c r="AU164" s="285">
        <f t="shared" si="38"/>
        <v>1</v>
      </c>
    </row>
    <row r="165" spans="1:47" ht="12.75" customHeight="1" x14ac:dyDescent="0.2">
      <c r="A165" s="59">
        <v>104</v>
      </c>
      <c r="B165" s="438">
        <f t="shared" si="39"/>
        <v>104</v>
      </c>
      <c r="C165" s="432">
        <f t="shared" si="27"/>
        <v>10001</v>
      </c>
      <c r="D165" s="61" t="s">
        <v>327</v>
      </c>
      <c r="E165" s="438" t="str">
        <f t="shared" si="28"/>
        <v/>
      </c>
      <c r="F165" s="431">
        <f t="shared" si="29"/>
        <v>0</v>
      </c>
      <c r="G165" s="660" t="s">
        <v>327</v>
      </c>
      <c r="H165" s="438" t="str">
        <f t="shared" si="30"/>
        <v/>
      </c>
      <c r="I165" s="658">
        <f t="shared" si="31"/>
        <v>0</v>
      </c>
      <c r="J165" s="154">
        <f t="shared" si="32"/>
        <v>148</v>
      </c>
      <c r="K165" s="139">
        <v>148</v>
      </c>
      <c r="L165" s="601" t="s">
        <v>94</v>
      </c>
      <c r="M165" s="139">
        <v>1</v>
      </c>
      <c r="N165" s="446">
        <f t="array" ref="N165">(IF(COUNT(V165,W165,AA165,AB165,AC165,AE165,AG165,AI165,AM165,AO165)&lt;7,SUM(V165,W165,AA165,AB165,AC165,AE165,AG165,AI165,AM165,AO165),SUM(LARGE((V165,W165,AA165,AB165,AC165,AE165,AG165,AI165,AM165,AO165),{1;2;3;4;5;6;7}))))+(IF(COUNT(X165,AD165,AF165,AH165,AJ165,AN165)&lt;5,SUM(X165,AD165,AF165,AH165,AJ165,AN165),SUM(LARGE((X165,AD165,AF165,AH165,AJ165,AN165),{1;2;3;4;5}))))+U165</f>
        <v>1</v>
      </c>
      <c r="O165" s="413"/>
      <c r="P165" s="405">
        <f t="array" ref="P165">IF(S165="n",((IF(COUNT(V165,W165,AA165,AB165,AC165,AE165,AG165,AI165,AM165,AO165)&lt;7,SUM(V165,W165,AA165,AB165,AC165,AE165,AG165,AI165,AM165,AO165),SUM(LARGE((V165,W165,AA165,AB165,AC165,AE165,AG165,AI165,AM165,AO165),{1;2;3;4;5;6;7}))))+(IF(COUNT(Y165,AD165,AF165,AH165,AK165,AN165)&lt;5,SUM(Y165,AD165,AF165,AH165,AK165,AN165),SUM(LARGE((Y165,AD165,AF165,AH165,AK165,AN165),{1;2;3;4;5}))))+U165),0)</f>
        <v>0</v>
      </c>
      <c r="Q165" s="661"/>
      <c r="R165" s="405">
        <f t="array" ref="R165">IF(T165="j",((IF(COUNT(V165,W165,AA165,AB165,AC165,AE165,AG165,AI165,AM165,AO165)&lt;7,SUM(V165,W165,AA165,AB165,AC165,AE165,AG165,AI165,AM165,AO165),SUM(LARGE((V165,W165,AA165,AB165,AC165,AE165,AG165,AI165,AM165,AO165),{1;2;3;4;5;6;7}))))+(IF(COUNT(Z165,AD165,AF165,AH165,AJ165,AN165)&lt;5,SUM(Z165,AD165,AF165,AH165,AJ165,AN165),SUM(LARGE((Z165,AD165,AF165,AH165,AJ165,AN165),{1;2;3;4;5}))))+U165),0)</f>
        <v>0</v>
      </c>
      <c r="S165" s="64"/>
      <c r="T165" s="64"/>
      <c r="U165" s="173">
        <v>1</v>
      </c>
      <c r="V165" s="141" t="s">
        <v>397</v>
      </c>
      <c r="W165" s="141" t="s">
        <v>397</v>
      </c>
      <c r="X165" s="141" t="s">
        <v>397</v>
      </c>
      <c r="Y165" s="614"/>
      <c r="Z165" s="611"/>
      <c r="AA165" s="141" t="s">
        <v>397</v>
      </c>
      <c r="AB165" s="15"/>
      <c r="AC165" s="15"/>
      <c r="AD165" s="15"/>
      <c r="AE165" s="15"/>
      <c r="AF165" s="15"/>
      <c r="AG165" s="15"/>
      <c r="AH165" s="430"/>
      <c r="AI165" s="15"/>
      <c r="AJ165" s="15"/>
      <c r="AK165" s="613"/>
      <c r="AL165" s="15"/>
      <c r="AM165" s="15"/>
      <c r="AN165" s="15"/>
      <c r="AO165" s="15"/>
      <c r="AP165" s="33">
        <f t="shared" si="33"/>
        <v>0</v>
      </c>
      <c r="AQ165" s="440">
        <f t="shared" si="34"/>
        <v>0</v>
      </c>
      <c r="AR165" s="441">
        <f t="shared" si="35"/>
        <v>0</v>
      </c>
      <c r="AS165" s="34">
        <f t="shared" si="36"/>
        <v>0</v>
      </c>
      <c r="AT165" s="4">
        <f t="shared" si="37"/>
        <v>3</v>
      </c>
      <c r="AU165" s="285">
        <f t="shared" si="38"/>
        <v>1</v>
      </c>
    </row>
    <row r="166" spans="1:47" ht="12.75" customHeight="1" x14ac:dyDescent="0.2">
      <c r="A166" s="59">
        <v>104</v>
      </c>
      <c r="B166" s="438">
        <f t="shared" si="39"/>
        <v>104</v>
      </c>
      <c r="C166" s="432">
        <f t="shared" si="27"/>
        <v>10001</v>
      </c>
      <c r="D166" s="61" t="s">
        <v>327</v>
      </c>
      <c r="E166" s="438" t="str">
        <f t="shared" si="28"/>
        <v/>
      </c>
      <c r="F166" s="431">
        <f t="shared" si="29"/>
        <v>0</v>
      </c>
      <c r="G166" s="660" t="s">
        <v>327</v>
      </c>
      <c r="H166" s="438" t="str">
        <f t="shared" si="30"/>
        <v/>
      </c>
      <c r="I166" s="658">
        <f t="shared" si="31"/>
        <v>0</v>
      </c>
      <c r="J166" s="154">
        <f t="shared" si="32"/>
        <v>148</v>
      </c>
      <c r="K166" s="139">
        <v>148</v>
      </c>
      <c r="L166" s="601" t="s">
        <v>87</v>
      </c>
      <c r="M166" s="139">
        <v>1</v>
      </c>
      <c r="N166" s="446">
        <f t="array" ref="N166">(IF(COUNT(V166,W166,AA166,AB166,AC166,AE166,AG166,AI166,AM166,AO166)&lt;7,SUM(V166,W166,AA166,AB166,AC166,AE166,AG166,AI166,AM166,AO166),SUM(LARGE((V166,W166,AA166,AB166,AC166,AE166,AG166,AI166,AM166,AO166),{1;2;3;4;5;6;7}))))+(IF(COUNT(X166,AD166,AF166,AH166,AJ166,AN166)&lt;5,SUM(X166,AD166,AF166,AH166,AJ166,AN166),SUM(LARGE((X166,AD166,AF166,AH166,AJ166,AN166),{1;2;3;4;5}))))+U166</f>
        <v>1</v>
      </c>
      <c r="O166" s="413"/>
      <c r="P166" s="405">
        <f t="array" ref="P166">IF(S166="n",((IF(COUNT(V166,W166,AA166,AB166,AC166,AE166,AG166,AI166,AM166,AO166)&lt;7,SUM(V166,W166,AA166,AB166,AC166,AE166,AG166,AI166,AM166,AO166),SUM(LARGE((V166,W166,AA166,AB166,AC166,AE166,AG166,AI166,AM166,AO166),{1;2;3;4;5;6;7}))))+(IF(COUNT(Y166,AD166,AF166,AH166,AK166,AN166)&lt;5,SUM(Y166,AD166,AF166,AH166,AK166,AN166),SUM(LARGE((Y166,AD166,AF166,AH166,AK166,AN166),{1;2;3;4;5}))))+U166),0)</f>
        <v>0</v>
      </c>
      <c r="Q166" s="661"/>
      <c r="R166" s="405">
        <f t="array" ref="R166">IF(T166="j",((IF(COUNT(V166,W166,AA166,AB166,AC166,AE166,AG166,AI166,AM166,AO166)&lt;7,SUM(V166,W166,AA166,AB166,AC166,AE166,AG166,AI166,AM166,AO166),SUM(LARGE((V166,W166,AA166,AB166,AC166,AE166,AG166,AI166,AM166,AO166),{1;2;3;4;5;6;7}))))+(IF(COUNT(Z166,AD166,AF166,AH166,AJ166,AN166)&lt;5,SUM(Z166,AD166,AF166,AH166,AJ166,AN166),SUM(LARGE((Z166,AD166,AF166,AH166,AJ166,AN166),{1;2;3;4;5}))))+U166),0)</f>
        <v>0</v>
      </c>
      <c r="S166" s="64"/>
      <c r="T166" s="64"/>
      <c r="U166" s="173">
        <v>1</v>
      </c>
      <c r="V166" s="141" t="s">
        <v>397</v>
      </c>
      <c r="W166" s="141" t="s">
        <v>397</v>
      </c>
      <c r="X166" s="141" t="s">
        <v>397</v>
      </c>
      <c r="Y166" s="614"/>
      <c r="Z166" s="611"/>
      <c r="AA166" s="141" t="s">
        <v>397</v>
      </c>
      <c r="AB166" s="15"/>
      <c r="AC166" s="15"/>
      <c r="AD166" s="15"/>
      <c r="AE166" s="15"/>
      <c r="AF166" s="15"/>
      <c r="AG166" s="15"/>
      <c r="AH166" s="15"/>
      <c r="AI166" s="15"/>
      <c r="AJ166" s="15"/>
      <c r="AK166" s="613"/>
      <c r="AL166" s="15"/>
      <c r="AM166" s="15"/>
      <c r="AN166" s="15"/>
      <c r="AO166" s="15"/>
      <c r="AP166" s="33">
        <f t="shared" si="33"/>
        <v>0</v>
      </c>
      <c r="AQ166" s="440">
        <f t="shared" si="34"/>
        <v>0</v>
      </c>
      <c r="AR166" s="441">
        <f t="shared" si="35"/>
        <v>0</v>
      </c>
      <c r="AS166" s="34">
        <f t="shared" si="36"/>
        <v>0</v>
      </c>
      <c r="AT166" s="4">
        <f t="shared" si="37"/>
        <v>3</v>
      </c>
      <c r="AU166" s="285">
        <f t="shared" si="38"/>
        <v>1</v>
      </c>
    </row>
    <row r="167" spans="1:47" ht="12.75" customHeight="1" x14ac:dyDescent="0.2">
      <c r="A167" s="59">
        <v>104</v>
      </c>
      <c r="B167" s="438">
        <f t="shared" si="39"/>
        <v>104</v>
      </c>
      <c r="C167" s="432">
        <f t="shared" si="27"/>
        <v>10001</v>
      </c>
      <c r="D167" s="61" t="s">
        <v>327</v>
      </c>
      <c r="E167" s="438" t="str">
        <f t="shared" si="28"/>
        <v/>
      </c>
      <c r="F167" s="431">
        <f t="shared" si="29"/>
        <v>0</v>
      </c>
      <c r="G167" s="660" t="s">
        <v>327</v>
      </c>
      <c r="H167" s="438" t="str">
        <f t="shared" si="30"/>
        <v/>
      </c>
      <c r="I167" s="658">
        <f t="shared" si="31"/>
        <v>0</v>
      </c>
      <c r="J167" s="154">
        <f t="shared" si="32"/>
        <v>148</v>
      </c>
      <c r="K167" s="139">
        <v>148</v>
      </c>
      <c r="L167" s="601" t="s">
        <v>307</v>
      </c>
      <c r="M167" s="139">
        <v>1</v>
      </c>
      <c r="N167" s="446">
        <f t="array" ref="N167">(IF(COUNT(V167,W167,AA167,AB167,AC167,AE167,AG167,AI167,AM167,AO167)&lt;7,SUM(V167,W167,AA167,AB167,AC167,AE167,AG167,AI167,AM167,AO167),SUM(LARGE((V167,W167,AA167,AB167,AC167,AE167,AG167,AI167,AM167,AO167),{1;2;3;4;5;6;7}))))+(IF(COUNT(X167,AD167,AF167,AH167,AJ167,AN167)&lt;5,SUM(X167,AD167,AF167,AH167,AJ167,AN167),SUM(LARGE((X167,AD167,AF167,AH167,AJ167,AN167),{1;2;3;4;5}))))+U167</f>
        <v>1</v>
      </c>
      <c r="O167" s="413"/>
      <c r="P167" s="405">
        <f t="array" ref="P167">IF(S167="n",((IF(COUNT(V167,W167,AA167,AB167,AC167,AE167,AG167,AI167,AM167,AO167)&lt;7,SUM(V167,W167,AA167,AB167,AC167,AE167,AG167,AI167,AM167,AO167),SUM(LARGE((V167,W167,AA167,AB167,AC167,AE167,AG167,AI167,AM167,AO167),{1;2;3;4;5;6;7}))))+(IF(COUNT(Y167,AD167,AF167,AH167,AK167,AN167)&lt;5,SUM(Y167,AD167,AF167,AH167,AK167,AN167),SUM(LARGE((Y167,AD167,AF167,AH167,AK167,AN167),{1;2;3;4;5}))))+U167),0)</f>
        <v>0</v>
      </c>
      <c r="Q167" s="661"/>
      <c r="R167" s="405">
        <f t="array" ref="R167">IF(T167="j",((IF(COUNT(V167,W167,AA167,AB167,AC167,AE167,AG167,AI167,AM167,AO167)&lt;7,SUM(V167,W167,AA167,AB167,AC167,AE167,AG167,AI167,AM167,AO167),SUM(LARGE((V167,W167,AA167,AB167,AC167,AE167,AG167,AI167,AM167,AO167),{1;2;3;4;5;6;7}))))+(IF(COUNT(Z167,AD167,AF167,AH167,AJ167,AN167)&lt;5,SUM(Z167,AD167,AF167,AH167,AJ167,AN167),SUM(LARGE((Z167,AD167,AF167,AH167,AJ167,AN167),{1;2;3;4;5}))))+U167),0)</f>
        <v>0</v>
      </c>
      <c r="S167" s="64"/>
      <c r="T167" s="64"/>
      <c r="U167" s="173">
        <v>1</v>
      </c>
      <c r="V167" s="141" t="s">
        <v>397</v>
      </c>
      <c r="W167" s="141" t="s">
        <v>397</v>
      </c>
      <c r="X167" s="141" t="s">
        <v>397</v>
      </c>
      <c r="Y167" s="614"/>
      <c r="Z167" s="611"/>
      <c r="AA167" s="141" t="s">
        <v>397</v>
      </c>
      <c r="AB167" s="15"/>
      <c r="AC167" s="15"/>
      <c r="AD167" s="15"/>
      <c r="AE167" s="15"/>
      <c r="AF167" s="15"/>
      <c r="AG167" s="15"/>
      <c r="AH167" s="15"/>
      <c r="AI167" s="15"/>
      <c r="AJ167" s="15"/>
      <c r="AK167" s="613"/>
      <c r="AL167" s="15"/>
      <c r="AM167" s="15"/>
      <c r="AN167" s="15"/>
      <c r="AO167" s="15"/>
      <c r="AP167" s="33">
        <f t="shared" si="33"/>
        <v>0</v>
      </c>
      <c r="AQ167" s="440">
        <f t="shared" si="34"/>
        <v>0</v>
      </c>
      <c r="AR167" s="441">
        <f t="shared" si="35"/>
        <v>0</v>
      </c>
      <c r="AS167" s="34">
        <f t="shared" si="36"/>
        <v>0</v>
      </c>
      <c r="AT167" s="4">
        <f t="shared" si="37"/>
        <v>3</v>
      </c>
      <c r="AU167" s="285">
        <f t="shared" si="38"/>
        <v>1</v>
      </c>
    </row>
    <row r="168" spans="1:47" ht="12.75" customHeight="1" x14ac:dyDescent="0.2">
      <c r="A168" s="59">
        <v>104</v>
      </c>
      <c r="B168" s="438">
        <f t="shared" si="39"/>
        <v>104</v>
      </c>
      <c r="C168" s="432">
        <f t="shared" si="27"/>
        <v>10001</v>
      </c>
      <c r="D168" s="61" t="s">
        <v>327</v>
      </c>
      <c r="E168" s="438" t="str">
        <f t="shared" si="28"/>
        <v/>
      </c>
      <c r="F168" s="431">
        <f t="shared" si="29"/>
        <v>0</v>
      </c>
      <c r="G168" s="660" t="s">
        <v>327</v>
      </c>
      <c r="H168" s="438" t="str">
        <f t="shared" si="30"/>
        <v/>
      </c>
      <c r="I168" s="658">
        <f t="shared" si="31"/>
        <v>0</v>
      </c>
      <c r="J168" s="154">
        <f t="shared" si="32"/>
        <v>148</v>
      </c>
      <c r="K168" s="139">
        <v>148</v>
      </c>
      <c r="L168" s="256" t="s">
        <v>55</v>
      </c>
      <c r="M168" s="139">
        <v>1</v>
      </c>
      <c r="N168" s="446">
        <f t="array" ref="N168">(IF(COUNT(V168,W168,AA168,AB168,AC168,AE168,AG168,AI168,AM168,AO168)&lt;7,SUM(V168,W168,AA168,AB168,AC168,AE168,AG168,AI168,AM168,AO168),SUM(LARGE((V168,W168,AA168,AB168,AC168,AE168,AG168,AI168,AM168,AO168),{1;2;3;4;5;6;7}))))+(IF(COUNT(X168,AD168,AF168,AH168,AJ168,AN168)&lt;5,SUM(X168,AD168,AF168,AH168,AJ168,AN168),SUM(LARGE((X168,AD168,AF168,AH168,AJ168,AN168),{1;2;3;4;5}))))+U168</f>
        <v>1</v>
      </c>
      <c r="O168" s="413"/>
      <c r="P168" s="405">
        <f t="array" ref="P168">IF(S168="n",((IF(COUNT(V168,W168,AA168,AB168,AC168,AE168,AG168,AI168,AM168,AO168)&lt;7,SUM(V168,W168,AA168,AB168,AC168,AE168,AG168,AI168,AM168,AO168),SUM(LARGE((V168,W168,AA168,AB168,AC168,AE168,AG168,AI168,AM168,AO168),{1;2;3;4;5;6;7}))))+(IF(COUNT(Y168,AD168,AF168,AH168,AK168,AN168)&lt;5,SUM(Y168,AD168,AF168,AH168,AK168,AN168),SUM(LARGE((Y168,AD168,AF168,AH168,AK168,AN168),{1;2;3;4;5}))))+U168),0)</f>
        <v>0</v>
      </c>
      <c r="Q168" s="661"/>
      <c r="R168" s="405">
        <f t="array" ref="R168">IF(T168="j",((IF(COUNT(V168,W168,AA168,AB168,AC168,AE168,AG168,AI168,AM168,AO168)&lt;7,SUM(V168,W168,AA168,AB168,AC168,AE168,AG168,AI168,AM168,AO168),SUM(LARGE((V168,W168,AA168,AB168,AC168,AE168,AG168,AI168,AM168,AO168),{1;2;3;4;5;6;7}))))+(IF(COUNT(Z168,AD168,AF168,AH168,AJ168,AN168)&lt;5,SUM(Z168,AD168,AF168,AH168,AJ168,AN168),SUM(LARGE((Z168,AD168,AF168,AH168,AJ168,AN168),{1;2;3;4;5}))))+U168),0)</f>
        <v>0</v>
      </c>
      <c r="S168" s="64"/>
      <c r="T168" s="64"/>
      <c r="U168" s="173">
        <v>1</v>
      </c>
      <c r="V168" s="141" t="s">
        <v>397</v>
      </c>
      <c r="W168" s="141" t="s">
        <v>397</v>
      </c>
      <c r="X168" s="141" t="s">
        <v>397</v>
      </c>
      <c r="Y168" s="614"/>
      <c r="Z168" s="611"/>
      <c r="AA168" s="141" t="s">
        <v>397</v>
      </c>
      <c r="AB168" s="15"/>
      <c r="AC168" s="15"/>
      <c r="AD168" s="15"/>
      <c r="AE168" s="15"/>
      <c r="AF168" s="15"/>
      <c r="AG168" s="15"/>
      <c r="AH168" s="15"/>
      <c r="AI168" s="15"/>
      <c r="AJ168" s="15"/>
      <c r="AK168" s="613"/>
      <c r="AL168" s="15"/>
      <c r="AM168" s="15"/>
      <c r="AN168" s="15"/>
      <c r="AO168" s="15"/>
      <c r="AP168" s="33">
        <f t="shared" si="33"/>
        <v>0</v>
      </c>
      <c r="AQ168" s="440">
        <f t="shared" si="34"/>
        <v>0</v>
      </c>
      <c r="AR168" s="441">
        <f t="shared" si="35"/>
        <v>0</v>
      </c>
      <c r="AS168" s="34">
        <f t="shared" si="36"/>
        <v>0</v>
      </c>
      <c r="AT168" s="4">
        <f t="shared" si="37"/>
        <v>3</v>
      </c>
      <c r="AU168" s="285">
        <f t="shared" si="38"/>
        <v>1</v>
      </c>
    </row>
    <row r="169" spans="1:47" ht="12.75" customHeight="1" x14ac:dyDescent="0.2">
      <c r="A169" s="59" t="s">
        <v>327</v>
      </c>
      <c r="B169" s="438" t="str">
        <f t="shared" si="39"/>
        <v/>
      </c>
      <c r="C169" s="432">
        <f t="shared" si="27"/>
        <v>0</v>
      </c>
      <c r="D169" s="61">
        <v>45</v>
      </c>
      <c r="E169" s="438">
        <f t="shared" si="28"/>
        <v>45</v>
      </c>
      <c r="F169" s="431">
        <f t="shared" si="29"/>
        <v>10001</v>
      </c>
      <c r="G169" s="660" t="s">
        <v>327</v>
      </c>
      <c r="H169" s="438" t="str">
        <f t="shared" si="30"/>
        <v/>
      </c>
      <c r="I169" s="658">
        <f t="shared" si="31"/>
        <v>0</v>
      </c>
      <c r="J169" s="154">
        <f t="shared" si="32"/>
        <v>148</v>
      </c>
      <c r="K169" s="139">
        <v>148</v>
      </c>
      <c r="L169" s="69" t="s">
        <v>310</v>
      </c>
      <c r="M169" s="637">
        <v>1</v>
      </c>
      <c r="N169" s="446">
        <f t="array" ref="N169">(IF(COUNT(V169,W169,AA169,AB169,AC169,AE169,AG169,AI169,AM169,AO169)&lt;7,SUM(V169,W169,AA169,AB169,AC169,AE169,AG169,AI169,AM169,AO169),SUM(LARGE((V169,W169,AA169,AB169,AC169,AE169,AG169,AI169,AM169,AO169),{1;2;3;4;5;6;7}))))+(IF(COUNT(X169,AD169,AF169,AH169,AJ169,AN169)&lt;5,SUM(X169,AD169,AF169,AH169,AJ169,AN169),SUM(LARGE((X169,AD169,AF169,AH169,AJ169,AN169),{1;2;3;4;5}))))+U169</f>
        <v>1</v>
      </c>
      <c r="O169" s="413">
        <v>1</v>
      </c>
      <c r="P169" s="405">
        <f t="array" ref="P169">IF(S169="n",((IF(COUNT(V169,W169,AA169,AB169,AC169,AE169,AG169,AI169,AM169,AO169)&lt;7,SUM(V169,W169,AA169,AB169,AC169,AE169,AG169,AI169,AM169,AO169),SUM(LARGE((V169,W169,AA169,AB169,AC169,AE169,AG169,AI169,AM169,AO169),{1;2;3;4;5;6;7}))))+(IF(COUNT(Y169,AD169,AF169,AH169,AK169,AN169)&lt;5,SUM(Y169,AD169,AF169,AH169,AK169,AN169),SUM(LARGE((Y169,AD169,AF169,AH169,AK169,AN169),{1;2;3;4;5}))))+U169),0)</f>
        <v>1</v>
      </c>
      <c r="Q169" s="661"/>
      <c r="R169" s="405">
        <f t="array" ref="R169">IF(T169="j",((IF(COUNT(V169,W169,AA169,AB169,AC169,AE169,AG169,AI169,AM169,AO169)&lt;7,SUM(V169,W169,AA169,AB169,AC169,AE169,AG169,AI169,AM169,AO169),SUM(LARGE((V169,W169,AA169,AB169,AC169,AE169,AG169,AI169,AM169,AO169),{1;2;3;4;5;6;7}))))+(IF(COUNT(Z169,AD169,AF169,AH169,AJ169,AN169)&lt;5,SUM(Z169,AD169,AF169,AH169,AJ169,AN169),SUM(LARGE((Z169,AD169,AF169,AH169,AJ169,AN169),{1;2;3;4;5}))))+U169),0)</f>
        <v>0</v>
      </c>
      <c r="S169" s="64" t="s">
        <v>35</v>
      </c>
      <c r="T169" s="64"/>
      <c r="U169" s="173">
        <v>1</v>
      </c>
      <c r="V169" s="141" t="s">
        <v>397</v>
      </c>
      <c r="W169" s="141" t="s">
        <v>397</v>
      </c>
      <c r="X169" s="141" t="s">
        <v>397</v>
      </c>
      <c r="Y169" s="614"/>
      <c r="Z169" s="611"/>
      <c r="AA169" s="141" t="s">
        <v>397</v>
      </c>
      <c r="AB169" s="15"/>
      <c r="AC169" s="15"/>
      <c r="AD169" s="15"/>
      <c r="AE169" s="15"/>
      <c r="AF169" s="15"/>
      <c r="AG169" s="15"/>
      <c r="AH169" s="15"/>
      <c r="AI169" s="15"/>
      <c r="AJ169" s="15"/>
      <c r="AK169" s="613"/>
      <c r="AL169" s="15"/>
      <c r="AM169" s="15"/>
      <c r="AN169" s="15"/>
      <c r="AO169" s="15"/>
      <c r="AP169" s="33">
        <f t="shared" si="33"/>
        <v>0</v>
      </c>
      <c r="AQ169" s="440">
        <f t="shared" si="34"/>
        <v>0</v>
      </c>
      <c r="AR169" s="441">
        <f t="shared" si="35"/>
        <v>0</v>
      </c>
      <c r="AS169" s="34">
        <f t="shared" si="36"/>
        <v>0</v>
      </c>
      <c r="AT169" s="4">
        <f t="shared" si="37"/>
        <v>3</v>
      </c>
      <c r="AU169" s="285">
        <f t="shared" si="38"/>
        <v>1</v>
      </c>
    </row>
    <row r="170" spans="1:47" ht="12.75" customHeight="1" x14ac:dyDescent="0.2">
      <c r="A170" s="59">
        <v>104</v>
      </c>
      <c r="B170" s="438">
        <f t="shared" si="39"/>
        <v>104</v>
      </c>
      <c r="C170" s="432">
        <f t="shared" si="27"/>
        <v>10001</v>
      </c>
      <c r="D170" s="61" t="s">
        <v>327</v>
      </c>
      <c r="E170" s="438" t="str">
        <f t="shared" si="28"/>
        <v/>
      </c>
      <c r="F170" s="431">
        <f t="shared" si="29"/>
        <v>0</v>
      </c>
      <c r="G170" s="660" t="s">
        <v>327</v>
      </c>
      <c r="H170" s="438" t="str">
        <f t="shared" si="30"/>
        <v/>
      </c>
      <c r="I170" s="658">
        <f t="shared" si="31"/>
        <v>0</v>
      </c>
      <c r="J170" s="154">
        <f t="shared" si="32"/>
        <v>148</v>
      </c>
      <c r="K170" s="139">
        <v>148</v>
      </c>
      <c r="L170" s="601" t="s">
        <v>312</v>
      </c>
      <c r="M170" s="139">
        <v>1</v>
      </c>
      <c r="N170" s="446">
        <f t="array" ref="N170">(IF(COUNT(V170,W170,AA170,AB170,AC170,AE170,AG170,AI170,AM170,AO170)&lt;7,SUM(V170,W170,AA170,AB170,AC170,AE170,AG170,AI170,AM170,AO170),SUM(LARGE((V170,W170,AA170,AB170,AC170,AE170,AG170,AI170,AM170,AO170),{1;2;3;4;5;6;7}))))+(IF(COUNT(X170,AD170,AF170,AH170,AJ170,AN170)&lt;5,SUM(X170,AD170,AF170,AH170,AJ170,AN170),SUM(LARGE((X170,AD170,AF170,AH170,AJ170,AN170),{1;2;3;4;5}))))+U170</f>
        <v>1</v>
      </c>
      <c r="O170" s="413"/>
      <c r="P170" s="405">
        <f t="array" ref="P170">IF(S170="n",((IF(COUNT(V170,W170,AA170,AB170,AC170,AE170,AG170,AI170,AM170,AO170)&lt;7,SUM(V170,W170,AA170,AB170,AC170,AE170,AG170,AI170,AM170,AO170),SUM(LARGE((V170,W170,AA170,AB170,AC170,AE170,AG170,AI170,AM170,AO170),{1;2;3;4;5;6;7}))))+(IF(COUNT(Y170,AD170,AF170,AH170,AK170,AN170)&lt;5,SUM(Y170,AD170,AF170,AH170,AK170,AN170),SUM(LARGE((Y170,AD170,AF170,AH170,AK170,AN170),{1;2;3;4;5}))))+U170),0)</f>
        <v>0</v>
      </c>
      <c r="Q170" s="661"/>
      <c r="R170" s="405">
        <f t="array" ref="R170">IF(T170="j",((IF(COUNT(V170,W170,AA170,AB170,AC170,AE170,AG170,AI170,AM170,AO170)&lt;7,SUM(V170,W170,AA170,AB170,AC170,AE170,AG170,AI170,AM170,AO170),SUM(LARGE((V170,W170,AA170,AB170,AC170,AE170,AG170,AI170,AM170,AO170),{1;2;3;4;5;6;7}))))+(IF(COUNT(Z170,AD170,AF170,AH170,AJ170,AN170)&lt;5,SUM(Z170,AD170,AF170,AH170,AJ170,AN170),SUM(LARGE((Z170,AD170,AF170,AH170,AJ170,AN170),{1;2;3;4;5}))))+U170),0)</f>
        <v>0</v>
      </c>
      <c r="S170" s="64"/>
      <c r="T170" s="64"/>
      <c r="U170" s="173">
        <v>1</v>
      </c>
      <c r="V170" s="141" t="s">
        <v>397</v>
      </c>
      <c r="W170" s="141" t="s">
        <v>397</v>
      </c>
      <c r="X170" s="141" t="s">
        <v>397</v>
      </c>
      <c r="Y170" s="614"/>
      <c r="Z170" s="611"/>
      <c r="AA170" s="141" t="s">
        <v>397</v>
      </c>
      <c r="AB170" s="15"/>
      <c r="AC170" s="15"/>
      <c r="AD170" s="15"/>
      <c r="AE170" s="15"/>
      <c r="AF170" s="15"/>
      <c r="AG170" s="15"/>
      <c r="AH170" s="15"/>
      <c r="AI170" s="15"/>
      <c r="AJ170" s="15"/>
      <c r="AK170" s="613"/>
      <c r="AL170" s="15"/>
      <c r="AM170" s="15"/>
      <c r="AN170" s="15"/>
      <c r="AO170" s="15"/>
      <c r="AP170" s="33">
        <f t="shared" si="33"/>
        <v>0</v>
      </c>
      <c r="AQ170" s="440">
        <f t="shared" si="34"/>
        <v>0</v>
      </c>
      <c r="AR170" s="441">
        <f t="shared" si="35"/>
        <v>0</v>
      </c>
      <c r="AS170" s="34">
        <f t="shared" si="36"/>
        <v>0</v>
      </c>
      <c r="AT170" s="4">
        <f t="shared" si="37"/>
        <v>3</v>
      </c>
      <c r="AU170" s="285">
        <f t="shared" si="38"/>
        <v>1</v>
      </c>
    </row>
    <row r="171" spans="1:47" ht="12.75" customHeight="1" x14ac:dyDescent="0.2">
      <c r="A171" s="59">
        <v>104</v>
      </c>
      <c r="B171" s="438">
        <f t="shared" si="39"/>
        <v>104</v>
      </c>
      <c r="C171" s="432">
        <f t="shared" si="27"/>
        <v>10001</v>
      </c>
      <c r="D171" s="61" t="s">
        <v>327</v>
      </c>
      <c r="E171" s="438" t="str">
        <f t="shared" si="28"/>
        <v/>
      </c>
      <c r="F171" s="431">
        <f t="shared" si="29"/>
        <v>0</v>
      </c>
      <c r="G171" s="660" t="s">
        <v>327</v>
      </c>
      <c r="H171" s="438" t="str">
        <f t="shared" si="30"/>
        <v/>
      </c>
      <c r="I171" s="658">
        <f t="shared" si="31"/>
        <v>0</v>
      </c>
      <c r="J171" s="154">
        <f t="shared" si="32"/>
        <v>148</v>
      </c>
      <c r="K171" s="139">
        <v>148</v>
      </c>
      <c r="L171" s="601" t="s">
        <v>317</v>
      </c>
      <c r="M171" s="139">
        <v>1</v>
      </c>
      <c r="N171" s="446">
        <f t="array" ref="N171">(IF(COUNT(V171,W171,AA171,AB171,AC171,AE171,AG171,AI171,AM171,AO171)&lt;7,SUM(V171,W171,AA171,AB171,AC171,AE171,AG171,AI171,AM171,AO171),SUM(LARGE((V171,W171,AA171,AB171,AC171,AE171,AG171,AI171,AM171,AO171),{1;2;3;4;5;6;7}))))+(IF(COUNT(X171,AD171,AF171,AH171,AJ171,AN171)&lt;5,SUM(X171,AD171,AF171,AH171,AJ171,AN171),SUM(LARGE((X171,AD171,AF171,AH171,AJ171,AN171),{1;2;3;4;5}))))+U171</f>
        <v>1</v>
      </c>
      <c r="O171" s="413"/>
      <c r="P171" s="405">
        <f t="array" ref="P171">IF(S171="n",((IF(COUNT(V171,W171,AA171,AB171,AC171,AE171,AG171,AI171,AM171,AO171)&lt;7,SUM(V171,W171,AA171,AB171,AC171,AE171,AG171,AI171,AM171,AO171),SUM(LARGE((V171,W171,AA171,AB171,AC171,AE171,AG171,AI171,AM171,AO171),{1;2;3;4;5;6;7}))))+(IF(COUNT(Y171,AD171,AF171,AH171,AK171,AN171)&lt;5,SUM(Y171,AD171,AF171,AH171,AK171,AN171),SUM(LARGE((Y171,AD171,AF171,AH171,AK171,AN171),{1;2;3;4;5}))))+U171),0)</f>
        <v>0</v>
      </c>
      <c r="Q171" s="661"/>
      <c r="R171" s="405">
        <f t="array" ref="R171">IF(T171="j",((IF(COUNT(V171,W171,AA171,AB171,AC171,AE171,AG171,AI171,AM171,AO171)&lt;7,SUM(V171,W171,AA171,AB171,AC171,AE171,AG171,AI171,AM171,AO171),SUM(LARGE((V171,W171,AA171,AB171,AC171,AE171,AG171,AI171,AM171,AO171),{1;2;3;4;5;6;7}))))+(IF(COUNT(Z171,AD171,AF171,AH171,AJ171,AN171)&lt;5,SUM(Z171,AD171,AF171,AH171,AJ171,AN171),SUM(LARGE((Z171,AD171,AF171,AH171,AJ171,AN171),{1;2;3;4;5}))))+U171),0)</f>
        <v>0</v>
      </c>
      <c r="S171" s="64"/>
      <c r="T171" s="64"/>
      <c r="U171" s="173">
        <v>1</v>
      </c>
      <c r="V171" s="141" t="s">
        <v>397</v>
      </c>
      <c r="W171" s="141" t="s">
        <v>397</v>
      </c>
      <c r="X171" s="141" t="s">
        <v>397</v>
      </c>
      <c r="Y171" s="614"/>
      <c r="Z171" s="611"/>
      <c r="AA171" s="141" t="s">
        <v>397</v>
      </c>
      <c r="AB171" s="15"/>
      <c r="AC171" s="15"/>
      <c r="AD171" s="15"/>
      <c r="AE171" s="15"/>
      <c r="AF171" s="15"/>
      <c r="AG171" s="15"/>
      <c r="AH171" s="15"/>
      <c r="AI171" s="15"/>
      <c r="AJ171" s="15"/>
      <c r="AK171" s="613"/>
      <c r="AL171" s="15"/>
      <c r="AM171" s="15"/>
      <c r="AN171" s="15"/>
      <c r="AO171" s="15"/>
      <c r="AP171" s="33">
        <f t="shared" si="33"/>
        <v>0</v>
      </c>
      <c r="AQ171" s="440">
        <f t="shared" si="34"/>
        <v>0</v>
      </c>
      <c r="AR171" s="441">
        <f t="shared" si="35"/>
        <v>0</v>
      </c>
      <c r="AS171" s="34">
        <f t="shared" si="36"/>
        <v>0</v>
      </c>
      <c r="AT171" s="4">
        <f t="shared" si="37"/>
        <v>3</v>
      </c>
      <c r="AU171" s="285">
        <f t="shared" si="38"/>
        <v>1</v>
      </c>
    </row>
    <row r="172" spans="1:47" ht="12.75" customHeight="1" x14ac:dyDescent="0.2">
      <c r="A172" s="59">
        <v>104</v>
      </c>
      <c r="B172" s="438">
        <f t="shared" si="39"/>
        <v>104</v>
      </c>
      <c r="C172" s="432">
        <f t="shared" si="27"/>
        <v>10001</v>
      </c>
      <c r="D172" s="61" t="s">
        <v>327</v>
      </c>
      <c r="E172" s="438" t="str">
        <f t="shared" si="28"/>
        <v/>
      </c>
      <c r="F172" s="431">
        <f t="shared" si="29"/>
        <v>0</v>
      </c>
      <c r="G172" s="660" t="s">
        <v>327</v>
      </c>
      <c r="H172" s="438" t="str">
        <f t="shared" si="30"/>
        <v/>
      </c>
      <c r="I172" s="658">
        <f t="shared" si="31"/>
        <v>0</v>
      </c>
      <c r="J172" s="154">
        <f t="shared" si="32"/>
        <v>148</v>
      </c>
      <c r="K172" s="139">
        <v>148</v>
      </c>
      <c r="L172" s="601" t="s">
        <v>319</v>
      </c>
      <c r="M172" s="637">
        <v>1</v>
      </c>
      <c r="N172" s="446">
        <f t="array" ref="N172">(IF(COUNT(V172,W172,AA172,AB172,AC172,AE172,AG172,AI172,AM172,AO172)&lt;7,SUM(V172,W172,AA172,AB172,AC172,AE172,AG172,AI172,AM172,AO172),SUM(LARGE((V172,W172,AA172,AB172,AC172,AE172,AG172,AI172,AM172,AO172),{1;2;3;4;5;6;7}))))+(IF(COUNT(X172,AD172,AF172,AH172,AJ172,AN172)&lt;5,SUM(X172,AD172,AF172,AH172,AJ172,AN172),SUM(LARGE((X172,AD172,AF172,AH172,AJ172,AN172),{1;2;3;4;5}))))+U172</f>
        <v>1</v>
      </c>
      <c r="O172" s="413"/>
      <c r="P172" s="405">
        <f t="array" ref="P172">IF(S172="n",((IF(COUNT(V172,W172,AA172,AB172,AC172,AE172,AG172,AI172,AM172,AO172)&lt;7,SUM(V172,W172,AA172,AB172,AC172,AE172,AG172,AI172,AM172,AO172),SUM(LARGE((V172,W172,AA172,AB172,AC172,AE172,AG172,AI172,AM172,AO172),{1;2;3;4;5;6;7}))))+(IF(COUNT(Y172,AD172,AF172,AH172,AK172,AN172)&lt;5,SUM(Y172,AD172,AF172,AH172,AK172,AN172),SUM(LARGE((Y172,AD172,AF172,AH172,AK172,AN172),{1;2;3;4;5}))))+U172),0)</f>
        <v>0</v>
      </c>
      <c r="Q172" s="661"/>
      <c r="R172" s="405">
        <f t="array" ref="R172">IF(T172="j",((IF(COUNT(V172,W172,AA172,AB172,AC172,AE172,AG172,AI172,AM172,AO172)&lt;7,SUM(V172,W172,AA172,AB172,AC172,AE172,AG172,AI172,AM172,AO172),SUM(LARGE((V172,W172,AA172,AB172,AC172,AE172,AG172,AI172,AM172,AO172),{1;2;3;4;5;6;7}))))+(IF(COUNT(Z172,AD172,AF172,AH172,AJ172,AN172)&lt;5,SUM(Z172,AD172,AF172,AH172,AJ172,AN172),SUM(LARGE((Z172,AD172,AF172,AH172,AJ172,AN172),{1;2;3;4;5}))))+U172),0)</f>
        <v>0</v>
      </c>
      <c r="S172" s="64"/>
      <c r="T172" s="64"/>
      <c r="U172" s="173">
        <v>1</v>
      </c>
      <c r="V172" s="141" t="s">
        <v>397</v>
      </c>
      <c r="W172" s="141" t="s">
        <v>397</v>
      </c>
      <c r="X172" s="141" t="s">
        <v>397</v>
      </c>
      <c r="Y172" s="614"/>
      <c r="Z172" s="611"/>
      <c r="AA172" s="141" t="s">
        <v>397</v>
      </c>
      <c r="AB172" s="15"/>
      <c r="AC172" s="15"/>
      <c r="AD172" s="15"/>
      <c r="AE172" s="15"/>
      <c r="AF172" s="15"/>
      <c r="AG172" s="15"/>
      <c r="AH172" s="15"/>
      <c r="AI172" s="15"/>
      <c r="AJ172" s="15"/>
      <c r="AK172" s="613"/>
      <c r="AL172" s="15"/>
      <c r="AM172" s="15"/>
      <c r="AN172" s="15"/>
      <c r="AO172" s="15"/>
      <c r="AP172" s="33">
        <f t="shared" si="33"/>
        <v>0</v>
      </c>
      <c r="AQ172" s="440">
        <f t="shared" si="34"/>
        <v>0</v>
      </c>
      <c r="AR172" s="441">
        <f t="shared" si="35"/>
        <v>0</v>
      </c>
      <c r="AS172" s="34">
        <f t="shared" si="36"/>
        <v>0</v>
      </c>
      <c r="AT172" s="4">
        <f t="shared" si="37"/>
        <v>3</v>
      </c>
      <c r="AU172" s="285">
        <f t="shared" si="38"/>
        <v>1</v>
      </c>
    </row>
    <row r="173" spans="1:47" ht="12.75" customHeight="1" x14ac:dyDescent="0.2">
      <c r="A173" s="59">
        <v>104</v>
      </c>
      <c r="B173" s="438">
        <f t="shared" si="39"/>
        <v>104</v>
      </c>
      <c r="C173" s="432">
        <f t="shared" si="27"/>
        <v>10001</v>
      </c>
      <c r="D173" s="61" t="s">
        <v>327</v>
      </c>
      <c r="E173" s="438" t="str">
        <f t="shared" si="28"/>
        <v/>
      </c>
      <c r="F173" s="431">
        <f t="shared" si="29"/>
        <v>0</v>
      </c>
      <c r="G173" s="660" t="s">
        <v>327</v>
      </c>
      <c r="H173" s="438" t="str">
        <f t="shared" si="30"/>
        <v/>
      </c>
      <c r="I173" s="658">
        <f t="shared" si="31"/>
        <v>0</v>
      </c>
      <c r="J173" s="154">
        <f t="shared" si="32"/>
        <v>148</v>
      </c>
      <c r="K173" s="139">
        <v>148</v>
      </c>
      <c r="L173" s="601" t="s">
        <v>78</v>
      </c>
      <c r="M173" s="139">
        <v>1</v>
      </c>
      <c r="N173" s="446">
        <f t="array" ref="N173">(IF(COUNT(V173,W173,AA173,AB173,AC173,AE173,AG173,AI173,AM173,AO173)&lt;7,SUM(V173,W173,AA173,AB173,AC173,AE173,AG173,AI173,AM173,AO173),SUM(LARGE((V173,W173,AA173,AB173,AC173,AE173,AG173,AI173,AM173,AO173),{1;2;3;4;5;6;7}))))+(IF(COUNT(X173,AD173,AF173,AH173,AJ173,AN173)&lt;5,SUM(X173,AD173,AF173,AH173,AJ173,AN173),SUM(LARGE((X173,AD173,AF173,AH173,AJ173,AN173),{1;2;3;4;5}))))+U173</f>
        <v>1</v>
      </c>
      <c r="O173" s="413"/>
      <c r="P173" s="405">
        <f t="array" ref="P173">IF(S173="n",((IF(COUNT(V173,W173,AA173,AB173,AC173,AE173,AG173,AI173,AM173,AO173)&lt;7,SUM(V173,W173,AA173,AB173,AC173,AE173,AG173,AI173,AM173,AO173),SUM(LARGE((V173,W173,AA173,AB173,AC173,AE173,AG173,AI173,AM173,AO173),{1;2;3;4;5;6;7}))))+(IF(COUNT(Y173,AD173,AF173,AH173,AK173,AN173)&lt;5,SUM(Y173,AD173,AF173,AH173,AK173,AN173),SUM(LARGE((Y173,AD173,AF173,AH173,AK173,AN173),{1;2;3;4;5}))))+U173),0)</f>
        <v>0</v>
      </c>
      <c r="Q173" s="661"/>
      <c r="R173" s="405">
        <f t="array" ref="R173">IF(T173="j",((IF(COUNT(V173,W173,AA173,AB173,AC173,AE173,AG173,AI173,AM173,AO173)&lt;7,SUM(V173,W173,AA173,AB173,AC173,AE173,AG173,AI173,AM173,AO173),SUM(LARGE((V173,W173,AA173,AB173,AC173,AE173,AG173,AI173,AM173,AO173),{1;2;3;4;5;6;7}))))+(IF(COUNT(Z173,AD173,AF173,AH173,AJ173,AN173)&lt;5,SUM(Z173,AD173,AF173,AH173,AJ173,AN173),SUM(LARGE((Z173,AD173,AF173,AH173,AJ173,AN173),{1;2;3;4;5}))))+U173),0)</f>
        <v>0</v>
      </c>
      <c r="S173" s="64"/>
      <c r="T173" s="64"/>
      <c r="U173" s="173">
        <v>1</v>
      </c>
      <c r="V173" s="141" t="s">
        <v>397</v>
      </c>
      <c r="W173" s="141" t="s">
        <v>397</v>
      </c>
      <c r="X173" s="141" t="s">
        <v>397</v>
      </c>
      <c r="Y173" s="614"/>
      <c r="Z173" s="611"/>
      <c r="AA173" s="141" t="s">
        <v>397</v>
      </c>
      <c r="AB173" s="15"/>
      <c r="AC173" s="15"/>
      <c r="AD173" s="15"/>
      <c r="AE173" s="15"/>
      <c r="AF173" s="15"/>
      <c r="AG173" s="15"/>
      <c r="AH173" s="15"/>
      <c r="AI173" s="15"/>
      <c r="AJ173" s="15"/>
      <c r="AK173" s="613"/>
      <c r="AL173" s="15"/>
      <c r="AM173" s="15"/>
      <c r="AN173" s="15"/>
      <c r="AO173" s="15"/>
      <c r="AP173" s="33">
        <f t="shared" si="33"/>
        <v>0</v>
      </c>
      <c r="AQ173" s="440">
        <f t="shared" si="34"/>
        <v>0</v>
      </c>
      <c r="AR173" s="441">
        <f t="shared" si="35"/>
        <v>0</v>
      </c>
      <c r="AS173" s="34">
        <f t="shared" si="36"/>
        <v>0</v>
      </c>
      <c r="AT173" s="4">
        <f t="shared" si="37"/>
        <v>3</v>
      </c>
      <c r="AU173" s="285">
        <f t="shared" si="38"/>
        <v>1</v>
      </c>
    </row>
    <row r="174" spans="1:47" ht="12.75" customHeight="1" x14ac:dyDescent="0.2">
      <c r="A174" s="59">
        <v>104</v>
      </c>
      <c r="B174" s="438">
        <f t="shared" si="39"/>
        <v>104</v>
      </c>
      <c r="C174" s="432">
        <f t="shared" si="27"/>
        <v>10001</v>
      </c>
      <c r="D174" s="61" t="s">
        <v>327</v>
      </c>
      <c r="E174" s="438" t="str">
        <f t="shared" si="28"/>
        <v/>
      </c>
      <c r="F174" s="431">
        <f t="shared" si="29"/>
        <v>0</v>
      </c>
      <c r="G174" s="660" t="s">
        <v>327</v>
      </c>
      <c r="H174" s="438" t="str">
        <f t="shared" si="30"/>
        <v/>
      </c>
      <c r="I174" s="658">
        <f t="shared" si="31"/>
        <v>0</v>
      </c>
      <c r="J174" s="154">
        <f t="shared" si="32"/>
        <v>148</v>
      </c>
      <c r="K174" s="139">
        <v>148</v>
      </c>
      <c r="L174" s="601" t="s">
        <v>95</v>
      </c>
      <c r="M174" s="139">
        <v>1</v>
      </c>
      <c r="N174" s="446">
        <f t="array" ref="N174">(IF(COUNT(V174,W174,AA174,AB174,AC174,AE174,AG174,AI174,AM174,AO174)&lt;7,SUM(V174,W174,AA174,AB174,AC174,AE174,AG174,AI174,AM174,AO174),SUM(LARGE((V174,W174,AA174,AB174,AC174,AE174,AG174,AI174,AM174,AO174),{1;2;3;4;5;6;7}))))+(IF(COUNT(X174,AD174,AF174,AH174,AJ174,AN174)&lt;5,SUM(X174,AD174,AF174,AH174,AJ174,AN174),SUM(LARGE((X174,AD174,AF174,AH174,AJ174,AN174),{1;2;3;4;5}))))+U174</f>
        <v>1</v>
      </c>
      <c r="O174" s="413"/>
      <c r="P174" s="405">
        <f t="array" ref="P174">IF(S174="n",((IF(COUNT(V174,W174,AA174,AB174,AC174,AE174,AG174,AI174,AM174,AO174)&lt;7,SUM(V174,W174,AA174,AB174,AC174,AE174,AG174,AI174,AM174,AO174),SUM(LARGE((V174,W174,AA174,AB174,AC174,AE174,AG174,AI174,AM174,AO174),{1;2;3;4;5;6;7}))))+(IF(COUNT(Y174,AD174,AF174,AH174,AK174,AN174)&lt;5,SUM(Y174,AD174,AF174,AH174,AK174,AN174),SUM(LARGE((Y174,AD174,AF174,AH174,AK174,AN174),{1;2;3;4;5}))))+U174),0)</f>
        <v>0</v>
      </c>
      <c r="Q174" s="661"/>
      <c r="R174" s="405">
        <f t="array" ref="R174">IF(T174="j",((IF(COUNT(V174,W174,AA174,AB174,AC174,AE174,AG174,AI174,AM174,AO174)&lt;7,SUM(V174,W174,AA174,AB174,AC174,AE174,AG174,AI174,AM174,AO174),SUM(LARGE((V174,W174,AA174,AB174,AC174,AE174,AG174,AI174,AM174,AO174),{1;2;3;4;5;6;7}))))+(IF(COUNT(Z174,AD174,AF174,AH174,AJ174,AN174)&lt;5,SUM(Z174,AD174,AF174,AH174,AJ174,AN174),SUM(LARGE((Z174,AD174,AF174,AH174,AJ174,AN174),{1;2;3;4;5}))))+U174),0)</f>
        <v>0</v>
      </c>
      <c r="S174" s="64"/>
      <c r="T174" s="64"/>
      <c r="U174" s="173">
        <v>1</v>
      </c>
      <c r="V174" s="141" t="s">
        <v>397</v>
      </c>
      <c r="W174" s="141" t="s">
        <v>397</v>
      </c>
      <c r="X174" s="141" t="s">
        <v>397</v>
      </c>
      <c r="Y174" s="614"/>
      <c r="Z174" s="611"/>
      <c r="AA174" s="141" t="s">
        <v>397</v>
      </c>
      <c r="AB174" s="15"/>
      <c r="AC174" s="15"/>
      <c r="AD174" s="15"/>
      <c r="AE174" s="15"/>
      <c r="AF174" s="15"/>
      <c r="AG174" s="15"/>
      <c r="AH174" s="15"/>
      <c r="AI174" s="15"/>
      <c r="AJ174" s="15"/>
      <c r="AK174" s="613"/>
      <c r="AL174" s="15"/>
      <c r="AM174" s="15"/>
      <c r="AN174" s="15"/>
      <c r="AO174" s="15"/>
      <c r="AP174" s="33">
        <f t="shared" si="33"/>
        <v>0</v>
      </c>
      <c r="AQ174" s="440">
        <f t="shared" si="34"/>
        <v>0</v>
      </c>
      <c r="AR174" s="441">
        <f t="shared" si="35"/>
        <v>0</v>
      </c>
      <c r="AS174" s="34">
        <f t="shared" si="36"/>
        <v>0</v>
      </c>
      <c r="AT174" s="4">
        <f t="shared" si="37"/>
        <v>3</v>
      </c>
      <c r="AU174" s="285">
        <f t="shared" si="38"/>
        <v>1</v>
      </c>
    </row>
    <row r="175" spans="1:47" ht="12.75" customHeight="1" x14ac:dyDescent="0.2">
      <c r="A175" s="59" t="s">
        <v>327</v>
      </c>
      <c r="B175" s="438" t="str">
        <f t="shared" si="39"/>
        <v/>
      </c>
      <c r="C175" s="432">
        <f t="shared" si="27"/>
        <v>0</v>
      </c>
      <c r="D175" s="61">
        <v>45</v>
      </c>
      <c r="E175" s="438">
        <f t="shared" si="28"/>
        <v>45</v>
      </c>
      <c r="F175" s="431">
        <f t="shared" si="29"/>
        <v>10001</v>
      </c>
      <c r="G175" s="660" t="s">
        <v>327</v>
      </c>
      <c r="H175" s="438" t="str">
        <f t="shared" si="30"/>
        <v/>
      </c>
      <c r="I175" s="658">
        <f t="shared" si="31"/>
        <v>0</v>
      </c>
      <c r="J175" s="154">
        <f t="shared" si="32"/>
        <v>148</v>
      </c>
      <c r="K175" s="139">
        <v>148</v>
      </c>
      <c r="L175" s="68" t="s">
        <v>99</v>
      </c>
      <c r="M175" s="251">
        <v>1</v>
      </c>
      <c r="N175" s="446">
        <f t="array" ref="N175">(IF(COUNT(V175,W175,AA175,AB175,AC175,AE175,AG175,AI175,AM175,AO175)&lt;7,SUM(V175,W175,AA175,AB175,AC175,AE175,AG175,AI175,AM175,AO175),SUM(LARGE((V175,W175,AA175,AB175,AC175,AE175,AG175,AI175,AM175,AO175),{1;2;3;4;5;6;7}))))+(IF(COUNT(X175,AD175,AF175,AH175,AJ175,AN175)&lt;5,SUM(X175,AD175,AF175,AH175,AJ175,AN175),SUM(LARGE((X175,AD175,AF175,AH175,AJ175,AN175),{1;2;3;4;5}))))+U175</f>
        <v>1</v>
      </c>
      <c r="O175" s="413">
        <v>1</v>
      </c>
      <c r="P175" s="405">
        <f t="array" ref="P175">IF(S175="n",((IF(COUNT(V175,W175,AA175,AB175,AC175,AE175,AG175,AI175,AM175,AO175)&lt;7,SUM(V175,W175,AA175,AB175,AC175,AE175,AG175,AI175,AM175,AO175),SUM(LARGE((V175,W175,AA175,AB175,AC175,AE175,AG175,AI175,AM175,AO175),{1;2;3;4;5;6;7}))))+(IF(COUNT(Y175,AD175,AF175,AH175,AK175,AN175)&lt;5,SUM(Y175,AD175,AF175,AH175,AK175,AN175),SUM(LARGE((Y175,AD175,AF175,AH175,AK175,AN175),{1;2;3;4;5}))))+U175),0)</f>
        <v>1</v>
      </c>
      <c r="Q175" s="661"/>
      <c r="R175" s="405">
        <f t="array" ref="R175">IF(T175="j",((IF(COUNT(V175,W175,AA175,AB175,AC175,AE175,AG175,AI175,AM175,AO175)&lt;7,SUM(V175,W175,AA175,AB175,AC175,AE175,AG175,AI175,AM175,AO175),SUM(LARGE((V175,W175,AA175,AB175,AC175,AE175,AG175,AI175,AM175,AO175),{1;2;3;4;5;6;7}))))+(IF(COUNT(Z175,AD175,AF175,AH175,AJ175,AN175)&lt;5,SUM(Z175,AD175,AF175,AH175,AJ175,AN175),SUM(LARGE((Z175,AD175,AF175,AH175,AJ175,AN175),{1;2;3;4;5}))))+U175),0)</f>
        <v>0</v>
      </c>
      <c r="S175" s="64" t="s">
        <v>35</v>
      </c>
      <c r="T175" s="64"/>
      <c r="U175" s="173">
        <v>1</v>
      </c>
      <c r="V175" s="141" t="s">
        <v>397</v>
      </c>
      <c r="W175" s="141" t="s">
        <v>397</v>
      </c>
      <c r="X175" s="141" t="s">
        <v>397</v>
      </c>
      <c r="Y175" s="614"/>
      <c r="Z175" s="611"/>
      <c r="AA175" s="141" t="s">
        <v>397</v>
      </c>
      <c r="AB175" s="15"/>
      <c r="AC175" s="15"/>
      <c r="AD175" s="15"/>
      <c r="AE175" s="15"/>
      <c r="AF175" s="15"/>
      <c r="AG175" s="15"/>
      <c r="AH175" s="15"/>
      <c r="AI175" s="15"/>
      <c r="AJ175" s="15"/>
      <c r="AK175" s="613"/>
      <c r="AL175" s="15"/>
      <c r="AM175" s="15"/>
      <c r="AN175" s="15"/>
      <c r="AO175" s="15"/>
      <c r="AP175" s="33">
        <f t="shared" si="33"/>
        <v>0</v>
      </c>
      <c r="AQ175" s="440">
        <f t="shared" si="34"/>
        <v>0</v>
      </c>
      <c r="AR175" s="441">
        <f t="shared" si="35"/>
        <v>0</v>
      </c>
      <c r="AS175" s="34">
        <f t="shared" si="36"/>
        <v>0</v>
      </c>
      <c r="AT175" s="4">
        <f t="shared" si="37"/>
        <v>3</v>
      </c>
      <c r="AU175" s="285">
        <f t="shared" si="38"/>
        <v>1</v>
      </c>
    </row>
    <row r="176" spans="1:47" ht="12.75" customHeight="1" x14ac:dyDescent="0.2">
      <c r="A176" s="59">
        <v>104</v>
      </c>
      <c r="B176" s="438">
        <f t="shared" si="39"/>
        <v>104</v>
      </c>
      <c r="C176" s="432">
        <f t="shared" si="27"/>
        <v>10001</v>
      </c>
      <c r="D176" s="61" t="s">
        <v>327</v>
      </c>
      <c r="E176" s="438" t="str">
        <f t="shared" si="28"/>
        <v/>
      </c>
      <c r="F176" s="431">
        <f t="shared" si="29"/>
        <v>0</v>
      </c>
      <c r="G176" s="660" t="s">
        <v>327</v>
      </c>
      <c r="H176" s="438" t="str">
        <f t="shared" si="30"/>
        <v/>
      </c>
      <c r="I176" s="658">
        <f t="shared" si="31"/>
        <v>0</v>
      </c>
      <c r="J176" s="154">
        <f t="shared" si="32"/>
        <v>148</v>
      </c>
      <c r="K176" s="139">
        <v>148</v>
      </c>
      <c r="L176" s="601" t="s">
        <v>325</v>
      </c>
      <c r="M176" s="139">
        <v>1</v>
      </c>
      <c r="N176" s="446">
        <f t="array" ref="N176">(IF(COUNT(V176,W176,AA176,AB176,AC176,AE176,AG176,AI176,AM176,AO176)&lt;7,SUM(V176,W176,AA176,AB176,AC176,AE176,AG176,AI176,AM176,AO176),SUM(LARGE((V176,W176,AA176,AB176,AC176,AE176,AG176,AI176,AM176,AO176),{1;2;3;4;5;6;7}))))+(IF(COUNT(X176,AD176,AF176,AH176,AJ176,AN176)&lt;5,SUM(X176,AD176,AF176,AH176,AJ176,AN176),SUM(LARGE((X176,AD176,AF176,AH176,AJ176,AN176),{1;2;3;4;5}))))+U176</f>
        <v>1</v>
      </c>
      <c r="O176" s="413"/>
      <c r="P176" s="405">
        <f t="array" ref="P176">IF(S176="n",((IF(COUNT(V176,W176,AA176,AB176,AC176,AE176,AG176,AI176,AM176,AO176)&lt;7,SUM(V176,W176,AA176,AB176,AC176,AE176,AG176,AI176,AM176,AO176),SUM(LARGE((V176,W176,AA176,AB176,AC176,AE176,AG176,AI176,AM176,AO176),{1;2;3;4;5;6;7}))))+(IF(COUNT(Y176,AD176,AF176,AH176,AK176,AN176)&lt;5,SUM(Y176,AD176,AF176,AH176,AK176,AN176),SUM(LARGE((Y176,AD176,AF176,AH176,AK176,AN176),{1;2;3;4;5}))))+U176),0)</f>
        <v>0</v>
      </c>
      <c r="Q176" s="661"/>
      <c r="R176" s="405">
        <f t="array" ref="R176">IF(T176="j",((IF(COUNT(V176,W176,AA176,AB176,AC176,AE176,AG176,AI176,AM176,AO176)&lt;7,SUM(V176,W176,AA176,AB176,AC176,AE176,AG176,AI176,AM176,AO176),SUM(LARGE((V176,W176,AA176,AB176,AC176,AE176,AG176,AI176,AM176,AO176),{1;2;3;4;5;6;7}))))+(IF(COUNT(Z176,AD176,AF176,AH176,AJ176,AN176)&lt;5,SUM(Z176,AD176,AF176,AH176,AJ176,AN176),SUM(LARGE((Z176,AD176,AF176,AH176,AJ176,AN176),{1;2;3;4;5}))))+U176),0)</f>
        <v>0</v>
      </c>
      <c r="S176" s="64"/>
      <c r="T176" s="64"/>
      <c r="U176" s="173">
        <v>1</v>
      </c>
      <c r="V176" s="141" t="s">
        <v>397</v>
      </c>
      <c r="W176" s="141" t="s">
        <v>397</v>
      </c>
      <c r="X176" s="141" t="s">
        <v>397</v>
      </c>
      <c r="Y176" s="614"/>
      <c r="Z176" s="611"/>
      <c r="AA176" s="141" t="s">
        <v>397</v>
      </c>
      <c r="AB176" s="15"/>
      <c r="AC176" s="15"/>
      <c r="AD176" s="15"/>
      <c r="AE176" s="15"/>
      <c r="AF176" s="15"/>
      <c r="AG176" s="15"/>
      <c r="AH176" s="15"/>
      <c r="AI176" s="15"/>
      <c r="AJ176" s="15"/>
      <c r="AK176" s="613"/>
      <c r="AL176" s="15"/>
      <c r="AM176" s="15"/>
      <c r="AN176" s="15"/>
      <c r="AO176" s="15"/>
      <c r="AP176" s="33">
        <f t="shared" si="33"/>
        <v>0</v>
      </c>
      <c r="AQ176" s="440">
        <f t="shared" si="34"/>
        <v>0</v>
      </c>
      <c r="AR176" s="441">
        <f t="shared" si="35"/>
        <v>0</v>
      </c>
      <c r="AS176" s="34">
        <f t="shared" si="36"/>
        <v>0</v>
      </c>
      <c r="AT176" s="4">
        <f t="shared" si="37"/>
        <v>3</v>
      </c>
      <c r="AU176" s="285">
        <f t="shared" si="38"/>
        <v>1</v>
      </c>
    </row>
    <row r="177" spans="1:45" x14ac:dyDescent="0.2">
      <c r="A177" s="222">
        <f>COUNT(A9:A176)</f>
        <v>119</v>
      </c>
      <c r="B177" s="222">
        <f>COUNT(B9:B176)</f>
        <v>119</v>
      </c>
      <c r="C177" s="35"/>
      <c r="D177" s="223">
        <f>COUNT(D9:D176)</f>
        <v>49</v>
      </c>
      <c r="E177" s="223">
        <f>COUNT(E9:E176)</f>
        <v>49</v>
      </c>
      <c r="F177" s="35"/>
      <c r="G177" s="659">
        <f>COUNT(G9:G176)</f>
        <v>11</v>
      </c>
      <c r="H177" s="659">
        <f>COUNT(H9:H176)</f>
        <v>11</v>
      </c>
      <c r="I177" s="35"/>
      <c r="J177" s="35"/>
      <c r="K177" s="35">
        <f>COUNT(K9:K176)</f>
        <v>168</v>
      </c>
      <c r="L177" s="36" t="s">
        <v>101</v>
      </c>
      <c r="M177" s="37"/>
      <c r="N177" s="37"/>
      <c r="O177" s="37"/>
      <c r="P177" s="37"/>
      <c r="Q177" s="37"/>
      <c r="R177" s="37"/>
      <c r="S177" s="37"/>
      <c r="T177" s="37"/>
      <c r="U177" s="38">
        <f>COUNTIF(U9:U176,"&gt;=0")</f>
        <v>88</v>
      </c>
      <c r="V177" s="75">
        <f t="shared" ref="V177:AO177" si="40">COUNTIF(V9:V176,"&gt;=0")+COUNTIF(V9:V176,"=v")+COUNTIF(V9:V176,"=w")</f>
        <v>28</v>
      </c>
      <c r="W177" s="75">
        <f t="shared" si="40"/>
        <v>26</v>
      </c>
      <c r="X177" s="75">
        <f t="shared" si="40"/>
        <v>41</v>
      </c>
      <c r="Y177" s="75">
        <f t="shared" si="40"/>
        <v>11</v>
      </c>
      <c r="Z177" s="75">
        <f t="shared" si="40"/>
        <v>8</v>
      </c>
      <c r="AA177" s="75">
        <f t="shared" si="40"/>
        <v>31</v>
      </c>
      <c r="AB177" s="75">
        <f t="shared" si="40"/>
        <v>56</v>
      </c>
      <c r="AC177" s="75">
        <f t="shared" si="40"/>
        <v>54</v>
      </c>
      <c r="AD177" s="75">
        <f t="shared" si="40"/>
        <v>30</v>
      </c>
      <c r="AE177" s="75">
        <f t="shared" si="40"/>
        <v>34</v>
      </c>
      <c r="AF177" s="75">
        <f t="shared" si="40"/>
        <v>31</v>
      </c>
      <c r="AG177" s="75">
        <f t="shared" si="40"/>
        <v>50</v>
      </c>
      <c r="AH177" s="75">
        <f t="shared" si="40"/>
        <v>35</v>
      </c>
      <c r="AI177" s="75">
        <f t="shared" si="40"/>
        <v>37</v>
      </c>
      <c r="AJ177" s="75">
        <f t="shared" si="40"/>
        <v>25</v>
      </c>
      <c r="AK177" s="75">
        <f t="shared" si="40"/>
        <v>7</v>
      </c>
      <c r="AL177" s="75">
        <f t="shared" si="40"/>
        <v>0</v>
      </c>
      <c r="AM177" s="75">
        <f t="shared" si="40"/>
        <v>53</v>
      </c>
      <c r="AN177" s="75">
        <f t="shared" si="40"/>
        <v>30</v>
      </c>
      <c r="AO177" s="75">
        <f t="shared" si="40"/>
        <v>32</v>
      </c>
      <c r="AP177" s="37"/>
      <c r="AQ177" s="39">
        <f>SUM(AQ9:AQ176)</f>
        <v>123</v>
      </c>
      <c r="AR177" s="39">
        <f>SUM(AR9:AR176)</f>
        <v>40</v>
      </c>
      <c r="AS177" s="40">
        <f>SUM(AS9:AS176)</f>
        <v>15</v>
      </c>
    </row>
    <row r="178" spans="1:45" x14ac:dyDescent="0.2">
      <c r="A178" s="41"/>
      <c r="B178" s="41"/>
      <c r="C178" s="41"/>
      <c r="D178" s="41"/>
      <c r="E178" s="41"/>
      <c r="F178" s="41"/>
      <c r="G178" s="41"/>
      <c r="H178" s="41"/>
      <c r="I178" s="41"/>
      <c r="J178" s="41"/>
      <c r="K178" s="41"/>
      <c r="L178" s="42" t="s">
        <v>102</v>
      </c>
      <c r="M178" s="43"/>
      <c r="N178" s="11"/>
      <c r="O178" s="43"/>
      <c r="P178" s="11"/>
      <c r="Q178" s="43"/>
      <c r="R178" s="11"/>
      <c r="S178" s="11"/>
      <c r="T178" s="11"/>
      <c r="U178" s="11"/>
      <c r="V178" s="72">
        <f>IF((V177/(LEN(V7)-LEN(SUBSTITUTE(V7,"*","")))-0.5)&lt;0,"",V177/(LEN(V7)-LEN(SUBSTITUTE(V7,"*","")))-0.5)</f>
        <v>8.8333333333333339</v>
      </c>
      <c r="W178" s="72">
        <f>IF((W177/(LEN(W7)-LEN(SUBSTITUTE(W7,"*","")))-0.5)&lt;0,"",W177/(LEN(W7)-LEN(SUBSTITUTE(W7,"*","")))-0.5)</f>
        <v>12.5</v>
      </c>
      <c r="X178" s="72"/>
      <c r="Y178" s="72"/>
      <c r="Z178" s="72"/>
      <c r="AA178" s="72">
        <f>IF((AA177/(LEN(AA7)-LEN(SUBSTITUTE(AA7,"*","")))-0.5)&lt;0,"",AA177/(LEN(AA7)-LEN(SUBSTITUTE(AA7,"*","")))-0.5)</f>
        <v>9.8333333333333339</v>
      </c>
      <c r="AB178" s="72">
        <f>IF((AB177/(LEN(AB7)-LEN(SUBSTITUTE(AB7,"*","")))-0.5)&lt;0,"",AB177/(LEN(AB7)-LEN(SUBSTITUTE(AB7,"*","")))-0.5)</f>
        <v>27.5</v>
      </c>
      <c r="AC178" s="72">
        <v>17</v>
      </c>
      <c r="AD178" s="72">
        <f t="shared" ref="AD178:AI178" si="41">IF((AD177/(LEN(AD7)-LEN(SUBSTITUTE(AD7,"*","")))-0.5)&lt;0,"",AD177/(LEN(AD7)-LEN(SUBSTITUTE(AD7,"*","")))-0.5)</f>
        <v>9.5</v>
      </c>
      <c r="AE178" s="72">
        <f t="shared" si="41"/>
        <v>16.5</v>
      </c>
      <c r="AF178" s="72">
        <f t="shared" si="41"/>
        <v>15</v>
      </c>
      <c r="AG178" s="72">
        <f t="shared" si="41"/>
        <v>16.166666666666668</v>
      </c>
      <c r="AH178" s="72">
        <f t="shared" si="41"/>
        <v>17</v>
      </c>
      <c r="AI178" s="72">
        <f t="shared" si="41"/>
        <v>11.833333333333334</v>
      </c>
      <c r="AJ178" s="72"/>
      <c r="AK178" s="72"/>
      <c r="AL178" s="72"/>
      <c r="AM178" s="72">
        <f>IF((AM177/(LEN(AM7)-LEN(SUBSTITUTE(AM7,"*","")))-0.5)&lt;0,"",AM177/(LEN(AM7)-LEN(SUBSTITUTE(AM7,"*","")))-0.5)</f>
        <v>26</v>
      </c>
      <c r="AN178" s="72">
        <f>IF((AN177/(LEN(AN7)-LEN(SUBSTITUTE(AN7,"*","")))-0.5)&lt;0,"",AN177/(LEN(AN7)-LEN(SUBSTITUTE(AN7,"*","")))-0.5)</f>
        <v>9.5</v>
      </c>
      <c r="AO178" s="72">
        <f>IF((AO177/(LEN(AO7)-LEN(SUBSTITUTE(AO7,"*","")))-0.5)&lt;0,"",AO177/(LEN(AO7)-LEN(SUBSTITUTE(AO7,"*","")))-0.5)</f>
        <v>15.5</v>
      </c>
      <c r="AP178" s="41"/>
      <c r="AQ178" s="41"/>
      <c r="AR178" s="41"/>
      <c r="AS178" s="41"/>
    </row>
  </sheetData>
  <autoFilter ref="A8:AU178"/>
  <conditionalFormatting sqref="V177:AO177">
    <cfRule type="top10" dxfId="169" priority="39" stopIfTrue="1" rank="1"/>
  </conditionalFormatting>
  <conditionalFormatting sqref="AO9 AO11:AO12 AM9:AM176 V9:W176 AE9:AE176 AA9:AC176 AG9:AG176 AI9:AI176 AO16:AO176">
    <cfRule type="cellIs" dxfId="168" priority="36" stopIfTrue="1" operator="equal">
      <formula>97</formula>
    </cfRule>
    <cfRule type="cellIs" dxfId="167" priority="37" stopIfTrue="1" operator="equal">
      <formula>105</formula>
    </cfRule>
    <cfRule type="cellIs" dxfId="166" priority="38" stopIfTrue="1" operator="equal">
      <formula>115</formula>
    </cfRule>
  </conditionalFormatting>
  <conditionalFormatting sqref="AN9 AN11:AN12 X9:Z176 AJ9:AL176 AH9:AH176 AD9:AD176 AF9:AF176 AN16:AN176">
    <cfRule type="cellIs" dxfId="165" priority="33" stopIfTrue="1" operator="equal">
      <formula>146</formula>
    </cfRule>
    <cfRule type="cellIs" dxfId="164" priority="34" stopIfTrue="1" operator="equal">
      <formula>158</formula>
    </cfRule>
    <cfRule type="cellIs" dxfId="163" priority="35" stopIfTrue="1" operator="equal">
      <formula>173</formula>
    </cfRule>
  </conditionalFormatting>
  <conditionalFormatting sqref="X9:Z176 AJ9:AL176">
    <cfRule type="cellIs" dxfId="162" priority="30" stopIfTrue="1" operator="equal">
      <formula>83</formula>
    </cfRule>
    <cfRule type="cellIs" dxfId="161" priority="31" stopIfTrue="1" operator="equal">
      <formula>93</formula>
    </cfRule>
    <cfRule type="cellIs" dxfId="160" priority="32" stopIfTrue="1" operator="equal">
      <formula>105</formula>
    </cfRule>
  </conditionalFormatting>
  <conditionalFormatting sqref="AT9:AT176">
    <cfRule type="cellIs" dxfId="159" priority="28" stopIfTrue="1" operator="greaterThan">
      <formula>3</formula>
    </cfRule>
    <cfRule type="cellIs" dxfId="158" priority="29" stopIfTrue="1" operator="equal">
      <formula>3</formula>
    </cfRule>
  </conditionalFormatting>
  <conditionalFormatting sqref="AU9:AU176">
    <cfRule type="cellIs" dxfId="157" priority="26" stopIfTrue="1" operator="greaterThan">
      <formula>1</formula>
    </cfRule>
    <cfRule type="cellIs" dxfId="156" priority="27" stopIfTrue="1" operator="equal">
      <formula>1</formula>
    </cfRule>
  </conditionalFormatting>
  <conditionalFormatting sqref="R9:R176">
    <cfRule type="timePeriod" dxfId="155" priority="25" stopIfTrue="1" timePeriod="yesterday">
      <formula>FLOOR(R9,1)=TODAY()-1</formula>
    </cfRule>
  </conditionalFormatting>
  <conditionalFormatting sqref="AO14">
    <cfRule type="cellIs" dxfId="154" priority="22" stopIfTrue="1" operator="equal">
      <formula>97</formula>
    </cfRule>
    <cfRule type="cellIs" dxfId="153" priority="23" stopIfTrue="1" operator="equal">
      <formula>105</formula>
    </cfRule>
    <cfRule type="cellIs" dxfId="152" priority="24" stopIfTrue="1" operator="equal">
      <formula>115</formula>
    </cfRule>
  </conditionalFormatting>
  <conditionalFormatting sqref="AN14">
    <cfRule type="cellIs" dxfId="151" priority="19" stopIfTrue="1" operator="equal">
      <formula>146</formula>
    </cfRule>
    <cfRule type="cellIs" dxfId="150" priority="20" stopIfTrue="1" operator="equal">
      <formula>158</formula>
    </cfRule>
    <cfRule type="cellIs" dxfId="149" priority="21" stopIfTrue="1" operator="equal">
      <formula>173</formula>
    </cfRule>
  </conditionalFormatting>
  <conditionalFormatting sqref="AO13">
    <cfRule type="cellIs" dxfId="148" priority="16" stopIfTrue="1" operator="equal">
      <formula>97</formula>
    </cfRule>
    <cfRule type="cellIs" dxfId="147" priority="17" stopIfTrue="1" operator="equal">
      <formula>105</formula>
    </cfRule>
    <cfRule type="cellIs" dxfId="146" priority="18" stopIfTrue="1" operator="equal">
      <formula>115</formula>
    </cfRule>
  </conditionalFormatting>
  <conditionalFormatting sqref="AN13">
    <cfRule type="cellIs" dxfId="145" priority="13" stopIfTrue="1" operator="equal">
      <formula>146</formula>
    </cfRule>
    <cfRule type="cellIs" dxfId="144" priority="14" stopIfTrue="1" operator="equal">
      <formula>158</formula>
    </cfRule>
    <cfRule type="cellIs" dxfId="143" priority="15" stopIfTrue="1" operator="equal">
      <formula>173</formula>
    </cfRule>
  </conditionalFormatting>
  <conditionalFormatting sqref="AO15">
    <cfRule type="cellIs" dxfId="142" priority="10" stopIfTrue="1" operator="equal">
      <formula>97</formula>
    </cfRule>
    <cfRule type="cellIs" dxfId="141" priority="11" stopIfTrue="1" operator="equal">
      <formula>105</formula>
    </cfRule>
    <cfRule type="cellIs" dxfId="140" priority="12" stopIfTrue="1" operator="equal">
      <formula>115</formula>
    </cfRule>
  </conditionalFormatting>
  <conditionalFormatting sqref="AN15">
    <cfRule type="cellIs" dxfId="139" priority="7" stopIfTrue="1" operator="equal">
      <formula>146</formula>
    </cfRule>
    <cfRule type="cellIs" dxfId="138" priority="8" stopIfTrue="1" operator="equal">
      <formula>158</formula>
    </cfRule>
    <cfRule type="cellIs" dxfId="137" priority="9" stopIfTrue="1" operator="equal">
      <formula>173</formula>
    </cfRule>
  </conditionalFormatting>
  <conditionalFormatting sqref="AO10">
    <cfRule type="cellIs" dxfId="136" priority="4" stopIfTrue="1" operator="equal">
      <formula>97</formula>
    </cfRule>
    <cfRule type="cellIs" dxfId="135" priority="5" stopIfTrue="1" operator="equal">
      <formula>105</formula>
    </cfRule>
    <cfRule type="cellIs" dxfId="134" priority="6" stopIfTrue="1" operator="equal">
      <formula>115</formula>
    </cfRule>
  </conditionalFormatting>
  <conditionalFormatting sqref="AN10">
    <cfRule type="cellIs" dxfId="133" priority="1" stopIfTrue="1" operator="equal">
      <formula>146</formula>
    </cfRule>
    <cfRule type="cellIs" dxfId="132" priority="2" stopIfTrue="1" operator="equal">
      <formula>158</formula>
    </cfRule>
    <cfRule type="cellIs" dxfId="131" priority="3" stopIfTrue="1" operator="equal">
      <formula>173</formula>
    </cfRule>
  </conditionalFormatting>
  <conditionalFormatting sqref="L141:L167 L169:L176 L9:L139">
    <cfRule type="duplicateValues" dxfId="130" priority="40" stopIfTrue="1"/>
  </conditionalFormatting>
  <conditionalFormatting sqref="P9:P176">
    <cfRule type="duplicateValues" dxfId="129" priority="41" stopIfTrue="1"/>
  </conditionalFormatting>
  <conditionalFormatting sqref="AP9:AP176">
    <cfRule type="top10" dxfId="128" priority="42" stopIfTrue="1" rank="1"/>
  </conditionalFormatting>
  <conditionalFormatting sqref="AQ9:AQ176">
    <cfRule type="top10" dxfId="127" priority="43" stopIfTrue="1" rank="1"/>
  </conditionalFormatting>
  <conditionalFormatting sqref="AR9:AR176">
    <cfRule type="top10" dxfId="126" priority="44" stopIfTrue="1" rank="1"/>
  </conditionalFormatting>
  <conditionalFormatting sqref="AS9:AS176">
    <cfRule type="top10" dxfId="125" priority="45" stopIfTrue="1" rank="1"/>
  </conditionalFormatting>
  <conditionalFormatting sqref="J9:J176">
    <cfRule type="duplicateValues" dxfId="124" priority="46" stopIfTrue="1"/>
  </conditionalFormatting>
  <conditionalFormatting sqref="N9:N176">
    <cfRule type="duplicateValues" dxfId="123" priority="47" stopIfTrue="1"/>
  </conditionalFormatting>
  <conditionalFormatting sqref="B9:B176">
    <cfRule type="duplicateValues" dxfId="122" priority="48" stopIfTrue="1"/>
  </conditionalFormatting>
  <conditionalFormatting sqref="E9:E176">
    <cfRule type="duplicateValues" dxfId="121" priority="49" stopIfTrue="1"/>
  </conditionalFormatting>
  <conditionalFormatting sqref="H9:H176">
    <cfRule type="duplicateValues" dxfId="120" priority="50" stopIfTrue="1"/>
  </conditionalFormatting>
  <printOptions horizontalCentered="1"/>
  <pageMargins left="0.27559055118110237" right="0.27559055118110237" top="0.59055118110236227" bottom="0.31496062992125984" header="0.39370078740157483" footer="0"/>
  <pageSetup paperSize="9" scale="90" fitToHeight="0" orientation="landscape" r:id="rId1"/>
  <headerFooter>
    <oddHeader>&amp;R&amp;"Arial,Regular"&amp;9Page &amp;P of &amp;N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39</vt:i4>
      </vt:variant>
    </vt:vector>
  </HeadingPairs>
  <TitlesOfParts>
    <vt:vector size="76" baseType="lpstr">
      <vt:lpstr>Kalend</vt:lpstr>
      <vt:lpstr>Üldreiting</vt:lpstr>
      <vt:lpstr>Mehed</vt:lpstr>
      <vt:lpstr>Naised</vt:lpstr>
      <vt:lpstr>Juuniorid</vt:lpstr>
      <vt:lpstr>1</vt:lpstr>
      <vt:lpstr>2</vt:lpstr>
      <vt:lpstr>KV-1</vt:lpstr>
      <vt:lpstr>3M</vt:lpstr>
      <vt:lpstr>3N</vt:lpstr>
      <vt:lpstr>3J</vt:lpstr>
      <vt:lpstr>4</vt:lpstr>
      <vt:lpstr>5</vt:lpstr>
      <vt:lpstr>6</vt:lpstr>
      <vt:lpstr>KV-M</vt:lpstr>
      <vt:lpstr>KV-2</vt:lpstr>
      <vt:lpstr>KV-F</vt:lpstr>
      <vt:lpstr>7</vt:lpstr>
      <vt:lpstr>8</vt:lpstr>
      <vt:lpstr>9</vt:lpstr>
      <vt:lpstr>10</vt:lpstr>
      <vt:lpstr>11</vt:lpstr>
      <vt:lpstr>12</vt:lpstr>
      <vt:lpstr>13M</vt:lpstr>
      <vt:lpstr>13N</vt:lpstr>
      <vt:lpstr>14</vt:lpstr>
      <vt:lpstr>15</vt:lpstr>
      <vt:lpstr>16</vt:lpstr>
      <vt:lpstr>KK-Ala</vt:lpstr>
      <vt:lpstr>KK-Fin</vt:lpstr>
      <vt:lpstr>Ee-So</vt:lpstr>
      <vt:lpstr>Arvestus</vt:lpstr>
      <vt:lpstr>Juhend</vt:lpstr>
      <vt:lpstr>Punktid</vt:lpstr>
      <vt:lpstr>Litsentsid</vt:lpstr>
      <vt:lpstr>KV juhend</vt:lpstr>
      <vt:lpstr>Üld</vt:lpstr>
      <vt:lpstr>'1'!Print_Area</vt:lpstr>
      <vt:lpstr>Arvestus!Print_Area</vt:lpstr>
      <vt:lpstr>'Ee-So'!Print_Area</vt:lpstr>
      <vt:lpstr>'KK-Ala'!Print_Area</vt:lpstr>
      <vt:lpstr>'KK-Fin'!Print_Area</vt:lpstr>
      <vt:lpstr>Üld!Print_Area</vt:lpstr>
      <vt:lpstr>Üldreiting!Print_Area</vt:lpstr>
      <vt:lpstr>'1'!Print_Titles</vt:lpstr>
      <vt:lpstr>'10'!Print_Titles</vt:lpstr>
      <vt:lpstr>'11'!Print_Titles</vt:lpstr>
      <vt:lpstr>'12'!Print_Titles</vt:lpstr>
      <vt:lpstr>'13M'!Print_Titles</vt:lpstr>
      <vt:lpstr>'13N'!Print_Titles</vt:lpstr>
      <vt:lpstr>'14'!Print_Titles</vt:lpstr>
      <vt:lpstr>'15'!Print_Titles</vt:lpstr>
      <vt:lpstr>'16'!Print_Titles</vt:lpstr>
      <vt:lpstr>'2'!Print_Titles</vt:lpstr>
      <vt:lpstr>'3J'!Print_Titles</vt:lpstr>
      <vt:lpstr>'3M'!Print_Titles</vt:lpstr>
      <vt:lpstr>'3N'!Print_Titles</vt:lpstr>
      <vt:lpstr>'4'!Print_Titles</vt:lpstr>
      <vt:lpstr>'5'!Print_Titles</vt:lpstr>
      <vt:lpstr>'6'!Print_Titles</vt:lpstr>
      <vt:lpstr>'7'!Print_Titles</vt:lpstr>
      <vt:lpstr>'8'!Print_Titles</vt:lpstr>
      <vt:lpstr>'9'!Print_Titles</vt:lpstr>
      <vt:lpstr>'Ee-So'!Print_Titles</vt:lpstr>
      <vt:lpstr>Juuniorid!Print_Titles</vt:lpstr>
      <vt:lpstr>Kalend!Print_Titles</vt:lpstr>
      <vt:lpstr>'KK-Ala'!Print_Titles</vt:lpstr>
      <vt:lpstr>'KK-Fin'!Print_Titles</vt:lpstr>
      <vt:lpstr>'KV-1'!Print_Titles</vt:lpstr>
      <vt:lpstr>'KV-2'!Print_Titles</vt:lpstr>
      <vt:lpstr>'KV-F'!Print_Titles</vt:lpstr>
      <vt:lpstr>'KV-M'!Print_Titles</vt:lpstr>
      <vt:lpstr>Mehed!Print_Titles</vt:lpstr>
      <vt:lpstr>Naised!Print_Titles</vt:lpstr>
      <vt:lpstr>Üld!Print_Titles</vt:lpstr>
      <vt:lpstr>Üldreiting!Print_Titles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2016-05-19T09:19:44Z</dcterms:created>
  <dcterms:modified xsi:type="dcterms:W3CDTF">2018-10-30T19:52:02Z</dcterms:modified>
</cp:coreProperties>
</file>