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195" windowWidth="5025" windowHeight="10140" tabRatio="798" activeTab="1"/>
  </bookViews>
  <sheets>
    <sheet name="Kalend" sheetId="22" r:id="rId1"/>
    <sheet name="Üldreiting" sheetId="1" r:id="rId2"/>
    <sheet name="1" sheetId="24" r:id="rId3"/>
    <sheet name="2" sheetId="26" r:id="rId4"/>
    <sheet name="3" sheetId="4" r:id="rId5"/>
    <sheet name="JT" sheetId="28" r:id="rId6"/>
    <sheet name="4" sheetId="7" r:id="rId7"/>
    <sheet name="5" sheetId="34" r:id="rId8"/>
    <sheet name="5b" sheetId="30" r:id="rId9"/>
    <sheet name="6" sheetId="35" r:id="rId10"/>
    <sheet name="7" sheetId="36" r:id="rId11"/>
    <sheet name="8" sheetId="38" r:id="rId12"/>
    <sheet name="9" sheetId="10" r:id="rId13"/>
    <sheet name="10" sheetId="11" r:id="rId14"/>
    <sheet name="nalja" sheetId="39" r:id="rId15"/>
    <sheet name="11" sheetId="12" r:id="rId16"/>
    <sheet name="12" sheetId="40" r:id="rId17"/>
    <sheet name="Juhend" sheetId="14" r:id="rId18"/>
    <sheet name="Arvestus" sheetId="13" r:id="rId19"/>
    <sheet name="Punktid" sheetId="15" r:id="rId20"/>
    <sheet name="Reg K juhend" sheetId="21" r:id="rId21"/>
    <sheet name="KV juhend" sheetId="29" r:id="rId22"/>
  </sheets>
  <definedNames>
    <definedName name="_xlnm._FilterDatabase" localSheetId="0" hidden="1">Kalend!$A$4:$H$34</definedName>
    <definedName name="_xlnm._FilterDatabase" localSheetId="1" hidden="1">Üldreiting!$C$8:$X$124</definedName>
    <definedName name="Nimed" localSheetId="2">#REF!</definedName>
    <definedName name="Nimed" localSheetId="16">#REF!</definedName>
    <definedName name="Nimed" localSheetId="3">#REF!</definedName>
    <definedName name="Nimed" localSheetId="7">#REF!</definedName>
    <definedName name="Nimed" localSheetId="8">#REF!</definedName>
    <definedName name="Nimed" localSheetId="9">#REF!</definedName>
    <definedName name="Nimed" localSheetId="10">#REF!</definedName>
    <definedName name="Nimed" localSheetId="11">#REF!</definedName>
    <definedName name="Nimed" localSheetId="5">#REF!</definedName>
    <definedName name="Nimed" localSheetId="14">#REF!</definedName>
    <definedName name="Nimed">#REF!</definedName>
    <definedName name="_xlnm.Print_Area" localSheetId="6">'4'!$A$1:$O$118</definedName>
    <definedName name="_xlnm.Print_Area" localSheetId="9">'6'!$A$1:$O$128</definedName>
    <definedName name="_xlnm.Print_Area" localSheetId="10">'7'!$A$1:$O$115</definedName>
    <definedName name="_xlnm.Print_Titles" localSheetId="2">'1'!$1:$2</definedName>
    <definedName name="_xlnm.Print_Titles" localSheetId="13">'10'!$1:$2</definedName>
    <definedName name="_xlnm.Print_Titles" localSheetId="15">'11'!$1:$2</definedName>
    <definedName name="_xlnm.Print_Titles" localSheetId="16">'12'!$1:$2</definedName>
    <definedName name="_xlnm.Print_Titles" localSheetId="3">'2'!$1:$2</definedName>
    <definedName name="_xlnm.Print_Titles" localSheetId="4">'3'!$1:$2</definedName>
    <definedName name="_xlnm.Print_Titles" localSheetId="6">'4'!$1:$2</definedName>
    <definedName name="_xlnm.Print_Titles" localSheetId="7">'5'!$1:$7</definedName>
    <definedName name="_xlnm.Print_Titles" localSheetId="8">'5b'!$1:$2</definedName>
    <definedName name="_xlnm.Print_Titles" localSheetId="9">'6'!$1:$2</definedName>
    <definedName name="_xlnm.Print_Titles" localSheetId="10">'7'!$1:$2</definedName>
    <definedName name="_xlnm.Print_Titles" localSheetId="11">'8'!$1:$2</definedName>
    <definedName name="_xlnm.Print_Titles" localSheetId="12">'9'!$1:$2</definedName>
    <definedName name="_xlnm.Print_Titles" localSheetId="5">JT!$1:$2</definedName>
    <definedName name="_xlnm.Print_Titles" localSheetId="0">Kalend!$1:$1</definedName>
    <definedName name="_xlnm.Print_Titles" localSheetId="14">nalja!$1:$2</definedName>
    <definedName name="_xlnm.Print_Titles" localSheetId="1">Üldreiting!$1:$8</definedName>
    <definedName name="sd" localSheetId="16">#REF!</definedName>
    <definedName name="sd" localSheetId="3">#REF!</definedName>
    <definedName name="sd" localSheetId="7">#REF!</definedName>
    <definedName name="sd" localSheetId="8">#REF!</definedName>
    <definedName name="sd" localSheetId="9">#REF!</definedName>
    <definedName name="sd" localSheetId="10">#REF!</definedName>
    <definedName name="sd" localSheetId="11">#REF!</definedName>
    <definedName name="sd" localSheetId="5">#REF!</definedName>
    <definedName name="sd" localSheetId="14">#REF!</definedName>
    <definedName name="sd">#REF!</definedName>
  </definedNames>
  <calcPr calcId="145621"/>
</workbook>
</file>

<file path=xl/calcChain.xml><?xml version="1.0" encoding="utf-8"?>
<calcChain xmlns="http://schemas.openxmlformats.org/spreadsheetml/2006/main">
  <c r="E40" i="40" l="1"/>
  <c r="E34" i="40"/>
  <c r="E28" i="40"/>
  <c r="E22" i="40"/>
  <c r="E16" i="40"/>
  <c r="E10" i="40"/>
  <c r="C40" i="40" l="1"/>
  <c r="C34" i="40"/>
  <c r="C28" i="40"/>
  <c r="C22" i="40"/>
  <c r="C16" i="40"/>
  <c r="C10" i="40"/>
  <c r="G39" i="40"/>
  <c r="G38" i="40"/>
  <c r="G37" i="40"/>
  <c r="G33" i="40"/>
  <c r="G32" i="40"/>
  <c r="G31" i="40"/>
  <c r="G26" i="40"/>
  <c r="G25" i="40"/>
  <c r="G20" i="40"/>
  <c r="G19" i="40"/>
  <c r="G15" i="40"/>
  <c r="G14" i="40"/>
  <c r="G13" i="40"/>
  <c r="G9" i="40"/>
  <c r="G8" i="40"/>
  <c r="G7" i="40"/>
  <c r="A4" i="40" l="1"/>
  <c r="A3" i="40"/>
  <c r="A2" i="40"/>
  <c r="A1" i="40"/>
  <c r="D1" i="40"/>
  <c r="D27" i="22" l="1"/>
  <c r="C27" i="22"/>
  <c r="D26" i="22"/>
  <c r="C26" i="22"/>
  <c r="D25" i="22"/>
  <c r="C25" i="22"/>
  <c r="C24" i="22"/>
  <c r="D14" i="22"/>
  <c r="C14" i="22"/>
  <c r="D12" i="22"/>
  <c r="C12" i="22"/>
  <c r="D9" i="22"/>
  <c r="C9" i="22"/>
  <c r="C8" i="22"/>
  <c r="D34" i="22"/>
  <c r="D8" i="22" l="1"/>
  <c r="D24" i="22"/>
  <c r="D37" i="22"/>
  <c r="A4" i="39" l="1"/>
  <c r="A3" i="39"/>
  <c r="A2" i="39"/>
  <c r="A1" i="39"/>
  <c r="F34" i="22"/>
  <c r="A4" i="12" l="1"/>
  <c r="A3" i="12"/>
  <c r="A2" i="12"/>
  <c r="A1" i="12"/>
  <c r="C37" i="22" l="1"/>
  <c r="C34" i="22"/>
  <c r="C29" i="22"/>
  <c r="C15" i="22"/>
  <c r="C11" i="22"/>
  <c r="C19" i="22"/>
  <c r="C38" i="22"/>
  <c r="C35" i="22"/>
  <c r="C32" i="22"/>
  <c r="C31" i="22"/>
  <c r="C30" i="22"/>
  <c r="C23" i="22"/>
  <c r="C21" i="22"/>
  <c r="C18" i="22"/>
  <c r="C17" i="22"/>
  <c r="C13" i="22"/>
  <c r="C7" i="22"/>
  <c r="C6" i="22"/>
  <c r="J1" i="39"/>
  <c r="A4" i="11"/>
  <c r="A2" i="11"/>
  <c r="H18" i="1" l="1" a="1"/>
  <c r="H18" i="1" s="1"/>
  <c r="H9" i="1" a="1"/>
  <c r="H9" i="1" s="1"/>
  <c r="H12" i="1" a="1"/>
  <c r="H12" i="1" s="1"/>
  <c r="H10" i="1" a="1"/>
  <c r="H10" i="1" s="1"/>
  <c r="H11" i="1" a="1"/>
  <c r="H11" i="1" s="1"/>
  <c r="H17" i="1" a="1"/>
  <c r="H17" i="1" s="1"/>
  <c r="H13" i="1" a="1"/>
  <c r="H13" i="1" s="1"/>
  <c r="H19" i="1" a="1"/>
  <c r="H19" i="1" s="1"/>
  <c r="H15" i="1" a="1"/>
  <c r="H15" i="1" s="1"/>
  <c r="H16" i="1" a="1"/>
  <c r="H16" i="1" s="1"/>
  <c r="H20" i="1" a="1"/>
  <c r="H20" i="1" s="1"/>
  <c r="H25" i="1" a="1"/>
  <c r="H25" i="1" s="1"/>
  <c r="H21" i="1" a="1"/>
  <c r="H21" i="1" s="1"/>
  <c r="H30" i="1" a="1"/>
  <c r="H30" i="1" s="1"/>
  <c r="H47" i="1" a="1"/>
  <c r="H47" i="1" s="1"/>
  <c r="H22" i="1" a="1"/>
  <c r="H22" i="1" s="1"/>
  <c r="H29" i="1" a="1"/>
  <c r="H29" i="1" s="1"/>
  <c r="H27" i="1" a="1"/>
  <c r="H27" i="1" s="1"/>
  <c r="H35" i="1" a="1"/>
  <c r="H35" i="1" s="1"/>
  <c r="H33" i="1" a="1"/>
  <c r="H33" i="1" s="1"/>
  <c r="H40" i="1" a="1"/>
  <c r="H40" i="1" s="1"/>
  <c r="H26" i="1" a="1"/>
  <c r="H26" i="1" s="1"/>
  <c r="H32" i="1" a="1"/>
  <c r="H32" i="1" s="1"/>
  <c r="H45" i="1" a="1"/>
  <c r="H45" i="1" s="1"/>
  <c r="H46" i="1" a="1"/>
  <c r="H46" i="1" s="1"/>
  <c r="H68" i="1" a="1"/>
  <c r="H68" i="1" s="1"/>
  <c r="H41" i="1" a="1"/>
  <c r="H41" i="1" s="1"/>
  <c r="H36" i="1" a="1"/>
  <c r="H36" i="1" s="1"/>
  <c r="H37" i="1" a="1"/>
  <c r="H37" i="1" s="1"/>
  <c r="H24" i="1" a="1"/>
  <c r="H24" i="1" s="1"/>
  <c r="H48" i="1" a="1"/>
  <c r="H48" i="1" s="1"/>
  <c r="H31" i="1" a="1"/>
  <c r="H31" i="1" s="1"/>
  <c r="H43" i="1" a="1"/>
  <c r="H43" i="1" s="1"/>
  <c r="H54" i="1" a="1"/>
  <c r="H54" i="1" s="1"/>
  <c r="H55" i="1" a="1"/>
  <c r="H55" i="1" s="1"/>
  <c r="H38" i="1" a="1"/>
  <c r="H38" i="1" s="1"/>
  <c r="H39" i="1" a="1"/>
  <c r="H39" i="1" s="1"/>
  <c r="H57" i="1" a="1"/>
  <c r="H57" i="1" s="1"/>
  <c r="H58" i="1" a="1"/>
  <c r="H58" i="1" s="1"/>
  <c r="H42" i="1" a="1"/>
  <c r="H42" i="1" s="1"/>
  <c r="H23" i="1" a="1"/>
  <c r="H23" i="1" s="1"/>
  <c r="H53" i="1" a="1"/>
  <c r="H53" i="1" s="1"/>
  <c r="H49" i="1" a="1"/>
  <c r="H49" i="1" s="1"/>
  <c r="H50" i="1" a="1"/>
  <c r="H50" i="1" s="1"/>
  <c r="H69" i="1" a="1"/>
  <c r="H69" i="1" s="1"/>
  <c r="H61" i="1" a="1"/>
  <c r="H61" i="1" s="1"/>
  <c r="H62" i="1" a="1"/>
  <c r="H62" i="1" s="1"/>
  <c r="H34" i="1" a="1"/>
  <c r="H34" i="1" s="1"/>
  <c r="H59" i="1" a="1"/>
  <c r="H59" i="1" s="1"/>
  <c r="H72" i="1" a="1"/>
  <c r="H72" i="1" s="1"/>
  <c r="H80" i="1" a="1"/>
  <c r="H80" i="1" s="1"/>
  <c r="H82" i="1" a="1"/>
  <c r="H82" i="1" s="1"/>
  <c r="H56" i="1" a="1"/>
  <c r="H56" i="1" s="1"/>
  <c r="H77" i="1" a="1"/>
  <c r="H77" i="1" s="1"/>
  <c r="H74" i="1" a="1"/>
  <c r="H74" i="1" s="1"/>
  <c r="H60" i="1" a="1"/>
  <c r="H60" i="1" s="1"/>
  <c r="H65" i="1" a="1"/>
  <c r="H65" i="1" s="1"/>
  <c r="H73" i="1" a="1"/>
  <c r="H73" i="1" s="1"/>
  <c r="H66" i="1" a="1"/>
  <c r="H66" i="1" s="1"/>
  <c r="H84" i="1" a="1"/>
  <c r="H84" i="1" s="1"/>
  <c r="H85" i="1" a="1"/>
  <c r="H85" i="1" s="1"/>
  <c r="H86" i="1" a="1"/>
  <c r="H86" i="1" s="1"/>
  <c r="H87" i="1" a="1"/>
  <c r="H87" i="1" s="1"/>
  <c r="H78" i="1" a="1"/>
  <c r="H78" i="1" s="1"/>
  <c r="H79" i="1" a="1"/>
  <c r="H79" i="1" s="1"/>
  <c r="H89" i="1" a="1"/>
  <c r="H89" i="1" s="1"/>
  <c r="H71" i="1" a="1"/>
  <c r="H71" i="1" s="1"/>
  <c r="H83" i="1" a="1"/>
  <c r="H83" i="1" s="1"/>
  <c r="H91" i="1" a="1"/>
  <c r="H91" i="1" s="1"/>
  <c r="H98" i="1" a="1"/>
  <c r="H98" i="1" s="1"/>
  <c r="H105" i="1" a="1"/>
  <c r="H105" i="1" s="1"/>
  <c r="H109" i="1" a="1"/>
  <c r="H109" i="1" s="1"/>
  <c r="H64" i="1" a="1"/>
  <c r="H64" i="1" s="1"/>
  <c r="H94" i="1" a="1"/>
  <c r="H94" i="1" s="1"/>
  <c r="H95" i="1" a="1"/>
  <c r="H95" i="1" s="1"/>
  <c r="H97" i="1" a="1"/>
  <c r="H97" i="1" s="1"/>
  <c r="H93" i="1" a="1"/>
  <c r="H93" i="1" s="1"/>
  <c r="H92" i="1" a="1"/>
  <c r="H92" i="1" s="1"/>
  <c r="H96" i="1" a="1"/>
  <c r="H96" i="1" s="1"/>
  <c r="H99" i="1" a="1"/>
  <c r="H99" i="1" s="1"/>
  <c r="H103" i="1" a="1"/>
  <c r="H103" i="1" s="1"/>
  <c r="H106" i="1" a="1"/>
  <c r="H106" i="1" s="1"/>
  <c r="H28" i="1" a="1"/>
  <c r="H28" i="1" s="1"/>
  <c r="H116" i="1" a="1"/>
  <c r="H116" i="1" s="1"/>
  <c r="H115" i="1" a="1"/>
  <c r="H115" i="1" s="1"/>
  <c r="H81" i="1" a="1"/>
  <c r="H81" i="1" s="1"/>
  <c r="H90" i="1" a="1"/>
  <c r="H90" i="1" s="1"/>
  <c r="H120" i="1" a="1"/>
  <c r="H120" i="1" s="1"/>
  <c r="H88" i="1" a="1"/>
  <c r="H88" i="1" s="1"/>
  <c r="H122" i="1" a="1"/>
  <c r="H122" i="1" s="1"/>
  <c r="H75" i="1" a="1"/>
  <c r="H75" i="1" s="1"/>
  <c r="H114" i="1" a="1"/>
  <c r="H114" i="1" s="1"/>
  <c r="H44" i="1" a="1"/>
  <c r="H44" i="1" s="1"/>
  <c r="H119" i="1" a="1"/>
  <c r="H119" i="1" s="1"/>
  <c r="H121" i="1" a="1"/>
  <c r="H121" i="1" s="1"/>
  <c r="H112" i="1" a="1"/>
  <c r="H112" i="1" s="1"/>
  <c r="H14" i="1" a="1"/>
  <c r="H14" i="1" s="1"/>
  <c r="A4" i="38" l="1"/>
  <c r="A3" i="38"/>
  <c r="A2" i="38"/>
  <c r="E1" i="38"/>
  <c r="A4" i="10"/>
  <c r="A3" i="10"/>
  <c r="A2" i="10"/>
  <c r="F27" i="22" l="1"/>
  <c r="A4" i="36" l="1"/>
  <c r="A2" i="36"/>
  <c r="F1" i="36"/>
  <c r="C135" i="34" l="1"/>
  <c r="D135" i="34"/>
  <c r="E135" i="34"/>
  <c r="F135" i="34"/>
  <c r="G135" i="34"/>
  <c r="H135" i="34"/>
  <c r="I135" i="34"/>
  <c r="J135" i="34"/>
  <c r="K135" i="34"/>
  <c r="L135" i="34"/>
  <c r="M135" i="34"/>
  <c r="N135" i="34"/>
  <c r="O135" i="34"/>
  <c r="P135" i="34"/>
  <c r="Q135" i="34"/>
  <c r="R135" i="34"/>
  <c r="S135" i="34"/>
  <c r="T135" i="34"/>
  <c r="U135" i="34"/>
  <c r="V135" i="34"/>
  <c r="D134" i="34"/>
  <c r="E134" i="34"/>
  <c r="F134" i="34"/>
  <c r="G134" i="34"/>
  <c r="H134" i="34"/>
  <c r="I134" i="34"/>
  <c r="J134" i="34"/>
  <c r="K134" i="34"/>
  <c r="L134" i="34"/>
  <c r="M134" i="34"/>
  <c r="N134" i="34"/>
  <c r="O134" i="34"/>
  <c r="P134" i="34"/>
  <c r="Q134" i="34"/>
  <c r="R134" i="34"/>
  <c r="S134" i="34"/>
  <c r="T134" i="34"/>
  <c r="U134" i="34"/>
  <c r="V134" i="34"/>
  <c r="C134" i="34"/>
  <c r="G136" i="34"/>
  <c r="K136" i="34"/>
  <c r="O136" i="34"/>
  <c r="S136" i="34"/>
  <c r="C136" i="34"/>
  <c r="A4" i="35" l="1"/>
  <c r="A2" i="35"/>
  <c r="E1" i="35"/>
  <c r="M8" i="1" l="1"/>
  <c r="D18" i="22"/>
  <c r="W9" i="34"/>
  <c r="W10" i="34"/>
  <c r="W11" i="34"/>
  <c r="W12" i="34"/>
  <c r="W13" i="34"/>
  <c r="W14" i="34"/>
  <c r="W15" i="34"/>
  <c r="W16" i="34"/>
  <c r="W17" i="34"/>
  <c r="W18" i="34"/>
  <c r="W19" i="34"/>
  <c r="W20" i="34"/>
  <c r="W21" i="34"/>
  <c r="W22" i="34"/>
  <c r="W23" i="34"/>
  <c r="W24" i="34"/>
  <c r="W25" i="34"/>
  <c r="W26" i="34"/>
  <c r="W27" i="34"/>
  <c r="W28" i="34"/>
  <c r="W29" i="34"/>
  <c r="W30" i="34"/>
  <c r="W31" i="34"/>
  <c r="W32" i="34"/>
  <c r="W33" i="34"/>
  <c r="W34" i="34"/>
  <c r="W35" i="34"/>
  <c r="W36" i="34"/>
  <c r="W37" i="34"/>
  <c r="W38" i="34"/>
  <c r="W40" i="34"/>
  <c r="W41" i="34"/>
  <c r="W42" i="34"/>
  <c r="W43" i="34"/>
  <c r="W44" i="34"/>
  <c r="W45" i="34"/>
  <c r="W46" i="34"/>
  <c r="W47" i="34"/>
  <c r="W48" i="34"/>
  <c r="W49" i="34"/>
  <c r="W50" i="34"/>
  <c r="W51" i="34"/>
  <c r="W52" i="34"/>
  <c r="W53" i="34"/>
  <c r="W54" i="34"/>
  <c r="W55" i="34"/>
  <c r="W56" i="34"/>
  <c r="W57" i="34"/>
  <c r="W58" i="34"/>
  <c r="W59" i="34"/>
  <c r="W60" i="34"/>
  <c r="W61" i="34"/>
  <c r="W62" i="34"/>
  <c r="W63" i="34"/>
  <c r="W64" i="34"/>
  <c r="W65" i="34"/>
  <c r="W66" i="34"/>
  <c r="W67" i="34"/>
  <c r="W68" i="34"/>
  <c r="W69" i="34"/>
  <c r="W70" i="34"/>
  <c r="W71" i="34"/>
  <c r="W73" i="34"/>
  <c r="W74" i="34"/>
  <c r="W75" i="34"/>
  <c r="Y75" i="34" s="1"/>
  <c r="W76" i="34"/>
  <c r="W77" i="34"/>
  <c r="W78" i="34"/>
  <c r="W79" i="34"/>
  <c r="W80" i="34"/>
  <c r="W81" i="34"/>
  <c r="W82" i="34"/>
  <c r="W83" i="34"/>
  <c r="W84" i="34"/>
  <c r="W86" i="34"/>
  <c r="W87" i="34"/>
  <c r="W88" i="34"/>
  <c r="W89" i="34"/>
  <c r="W90" i="34"/>
  <c r="W91" i="34"/>
  <c r="W92" i="34"/>
  <c r="W93" i="34"/>
  <c r="W94" i="34"/>
  <c r="W95" i="34"/>
  <c r="W96" i="34"/>
  <c r="W97" i="34"/>
  <c r="W98" i="34"/>
  <c r="W99" i="34"/>
  <c r="W100" i="34"/>
  <c r="W101" i="34"/>
  <c r="W102" i="34"/>
  <c r="W103" i="34"/>
  <c r="W104" i="34"/>
  <c r="W105" i="34"/>
  <c r="W106" i="34"/>
  <c r="W107" i="34"/>
  <c r="W108" i="34"/>
  <c r="W109" i="34"/>
  <c r="W110" i="34"/>
  <c r="W111" i="34"/>
  <c r="W112" i="34"/>
  <c r="W113" i="34"/>
  <c r="W114" i="34"/>
  <c r="W115" i="34"/>
  <c r="W116" i="34"/>
  <c r="W117" i="34"/>
  <c r="W118" i="34"/>
  <c r="W120" i="34"/>
  <c r="W121" i="34"/>
  <c r="W122" i="34"/>
  <c r="W123" i="34"/>
  <c r="W124" i="34"/>
  <c r="W125" i="34"/>
  <c r="W126" i="34"/>
  <c r="W127" i="34"/>
  <c r="W128" i="34"/>
  <c r="W129" i="34"/>
  <c r="W130" i="34"/>
  <c r="W131" i="34"/>
  <c r="W132" i="34"/>
  <c r="X36" i="34" l="1"/>
  <c r="X37" i="34"/>
  <c r="X35" i="34"/>
  <c r="X33" i="34"/>
  <c r="X31" i="34"/>
  <c r="X29" i="34"/>
  <c r="Z75" i="34"/>
  <c r="AB75" i="34"/>
  <c r="AA75" i="34"/>
  <c r="X34" i="34"/>
  <c r="X32" i="34"/>
  <c r="X30" i="34"/>
  <c r="X28" i="34"/>
  <c r="X26" i="34"/>
  <c r="X24" i="34"/>
  <c r="X22" i="34"/>
  <c r="X20" i="34"/>
  <c r="X18" i="34"/>
  <c r="X16" i="34"/>
  <c r="X14" i="34"/>
  <c r="X12" i="34"/>
  <c r="X10" i="34"/>
  <c r="Z73" i="34"/>
  <c r="X27" i="34"/>
  <c r="X25" i="34"/>
  <c r="X23" i="34"/>
  <c r="X21" i="34"/>
  <c r="X19" i="34"/>
  <c r="X17" i="34"/>
  <c r="X15" i="34"/>
  <c r="X13" i="34"/>
  <c r="X11" i="34"/>
  <c r="X9" i="34"/>
  <c r="R144" i="34" s="1"/>
  <c r="G145" i="34"/>
  <c r="R142" i="34"/>
  <c r="R143" i="34"/>
  <c r="R145" i="34"/>
  <c r="G146" i="34"/>
  <c r="G147" i="34"/>
  <c r="AB111" i="34"/>
  <c r="Z111" i="34"/>
  <c r="Z112" i="34"/>
  <c r="AA111" i="34"/>
  <c r="X124" i="34"/>
  <c r="Z118" i="34"/>
  <c r="Z80" i="34"/>
  <c r="Z78" i="34"/>
  <c r="Z76" i="34"/>
  <c r="AA77" i="34"/>
  <c r="AA79" i="34"/>
  <c r="AA83" i="34"/>
  <c r="AA81" i="34"/>
  <c r="A4" i="34"/>
  <c r="A2" i="34"/>
  <c r="S1" i="34"/>
  <c r="A1" i="34"/>
  <c r="X132" i="34"/>
  <c r="X129" i="34"/>
  <c r="X128" i="34"/>
  <c r="X131" i="34"/>
  <c r="Z82" i="34" l="1"/>
  <c r="Z84" i="34"/>
  <c r="AA117" i="34"/>
  <c r="AA113" i="34"/>
  <c r="AA115" i="34"/>
  <c r="AB117" i="34"/>
  <c r="X126" i="34"/>
  <c r="Z114" i="34"/>
  <c r="Z117" i="34"/>
  <c r="Y81" i="34"/>
  <c r="Y77" i="34"/>
  <c r="Z113" i="34"/>
  <c r="AB113" i="34"/>
  <c r="Z115" i="34"/>
  <c r="AB115" i="34"/>
  <c r="Z116" i="34"/>
  <c r="X123" i="34"/>
  <c r="X125" i="34"/>
  <c r="AB73" i="34"/>
  <c r="AB83" i="34"/>
  <c r="Y83" i="34"/>
  <c r="Y79" i="34"/>
  <c r="AB77" i="34"/>
  <c r="AB79" i="34"/>
  <c r="AB81" i="34"/>
  <c r="Y73" i="34"/>
  <c r="AA73" i="34"/>
  <c r="Y76" i="34"/>
  <c r="Z77" i="34"/>
  <c r="Y78" i="34"/>
  <c r="Z79" i="34"/>
  <c r="Y80" i="34"/>
  <c r="Z81" i="34"/>
  <c r="Y82" i="34"/>
  <c r="Z83" i="34"/>
  <c r="Y84" i="34"/>
  <c r="Y74" i="34"/>
  <c r="X116" i="34"/>
  <c r="W121" i="30"/>
  <c r="W120" i="30"/>
  <c r="X114" i="34" l="1"/>
  <c r="X117" i="34"/>
  <c r="X118" i="34"/>
  <c r="X111" i="34"/>
  <c r="X84" i="34"/>
  <c r="X74" i="34"/>
  <c r="X76" i="34"/>
  <c r="X78" i="34"/>
  <c r="X80" i="34"/>
  <c r="X82" i="34"/>
  <c r="X73" i="34"/>
  <c r="X75" i="34"/>
  <c r="X77" i="34"/>
  <c r="X79" i="34"/>
  <c r="X81" i="34"/>
  <c r="X112" i="34"/>
  <c r="X113" i="34"/>
  <c r="X115" i="34"/>
  <c r="W107" i="30"/>
  <c r="W103" i="30"/>
  <c r="W99" i="30"/>
  <c r="W95" i="30"/>
  <c r="W91" i="30"/>
  <c r="W87" i="30"/>
  <c r="W57" i="30"/>
  <c r="W53" i="30"/>
  <c r="W49" i="30"/>
  <c r="W45" i="30"/>
  <c r="W69" i="30"/>
  <c r="W65" i="30"/>
  <c r="W66" i="30"/>
  <c r="W67" i="30"/>
  <c r="W61" i="30"/>
  <c r="W62" i="30"/>
  <c r="W63" i="30"/>
  <c r="W41" i="30"/>
  <c r="W42" i="30"/>
  <c r="W43" i="30"/>
  <c r="W78" i="30"/>
  <c r="W77" i="30"/>
  <c r="W76" i="30"/>
  <c r="W75" i="30"/>
  <c r="B139" i="34" l="1"/>
  <c r="B141" i="34"/>
  <c r="B143" i="34"/>
  <c r="B146" i="34"/>
  <c r="B148" i="34"/>
  <c r="G140" i="34"/>
  <c r="G144" i="34"/>
  <c r="B145" i="34"/>
  <c r="B140" i="34"/>
  <c r="B142" i="34"/>
  <c r="B144" i="34"/>
  <c r="B147" i="34"/>
  <c r="G139" i="34"/>
  <c r="G141" i="34"/>
  <c r="AB77" i="30"/>
  <c r="AB75" i="30"/>
  <c r="AA75" i="30"/>
  <c r="AA77" i="30"/>
  <c r="W73" i="30"/>
  <c r="W74" i="30"/>
  <c r="W79" i="30"/>
  <c r="W80" i="30"/>
  <c r="W81" i="30"/>
  <c r="W82" i="30"/>
  <c r="W83" i="30"/>
  <c r="W84" i="30"/>
  <c r="W10" i="30"/>
  <c r="Y76" i="30" s="1"/>
  <c r="W11" i="30"/>
  <c r="W12" i="30"/>
  <c r="W13" i="30"/>
  <c r="W14" i="30"/>
  <c r="W15" i="30"/>
  <c r="Y78" i="30" s="1"/>
  <c r="W16" i="30"/>
  <c r="W17" i="30"/>
  <c r="W18" i="30"/>
  <c r="W19" i="30"/>
  <c r="W20" i="30"/>
  <c r="W21" i="30"/>
  <c r="W22" i="30"/>
  <c r="W23" i="30"/>
  <c r="W24" i="30"/>
  <c r="W25" i="30"/>
  <c r="W26" i="30"/>
  <c r="W27" i="30"/>
  <c r="W28" i="30"/>
  <c r="W29" i="30"/>
  <c r="Y77" i="30" s="1"/>
  <c r="W30" i="30"/>
  <c r="W31" i="30"/>
  <c r="Y75" i="30" s="1"/>
  <c r="W32" i="30"/>
  <c r="W33" i="30"/>
  <c r="W34" i="30"/>
  <c r="W35" i="30"/>
  <c r="W36" i="30"/>
  <c r="W37" i="30"/>
  <c r="W38" i="30"/>
  <c r="W9" i="30"/>
  <c r="X17" i="30" l="1"/>
  <c r="X38" i="30"/>
  <c r="Y84" i="30"/>
  <c r="Y82" i="30"/>
  <c r="Y80" i="30"/>
  <c r="Y74" i="30"/>
  <c r="Y83" i="30"/>
  <c r="Y81" i="30"/>
  <c r="Y79" i="30"/>
  <c r="Y73" i="30"/>
  <c r="X9" i="30"/>
  <c r="X37" i="30"/>
  <c r="X35" i="30"/>
  <c r="X33" i="30"/>
  <c r="X31" i="30"/>
  <c r="X29" i="30"/>
  <c r="X27" i="30"/>
  <c r="X25" i="30"/>
  <c r="X23" i="30"/>
  <c r="X21" i="30"/>
  <c r="X19" i="30"/>
  <c r="X15" i="30"/>
  <c r="X13" i="30"/>
  <c r="X11" i="30"/>
  <c r="X36" i="30"/>
  <c r="X34" i="30"/>
  <c r="X32" i="30"/>
  <c r="X30" i="30"/>
  <c r="X28" i="30"/>
  <c r="X26" i="30"/>
  <c r="X24" i="30"/>
  <c r="X22" i="30"/>
  <c r="X20" i="30"/>
  <c r="X18" i="30"/>
  <c r="X16" i="30"/>
  <c r="X14" i="30"/>
  <c r="X12" i="30"/>
  <c r="X10" i="30"/>
  <c r="W55" i="30"/>
  <c r="W54" i="30"/>
  <c r="W52" i="30"/>
  <c r="W51" i="30"/>
  <c r="W50" i="30"/>
  <c r="W48" i="30"/>
  <c r="W71" i="30"/>
  <c r="W70" i="30"/>
  <c r="W68" i="30"/>
  <c r="W109" i="30"/>
  <c r="W108" i="30"/>
  <c r="W106" i="30"/>
  <c r="W105" i="30"/>
  <c r="W104" i="30"/>
  <c r="W102" i="30"/>
  <c r="W101" i="30"/>
  <c r="W100" i="30"/>
  <c r="W98" i="30"/>
  <c r="W97" i="30"/>
  <c r="W96" i="30"/>
  <c r="W94" i="30"/>
  <c r="W93" i="30"/>
  <c r="W92" i="30"/>
  <c r="W90" i="30"/>
  <c r="W89" i="30"/>
  <c r="W88" i="30"/>
  <c r="W86" i="30"/>
  <c r="W60" i="30"/>
  <c r="W59" i="30"/>
  <c r="W58" i="30"/>
  <c r="W56" i="30"/>
  <c r="W64" i="30"/>
  <c r="W47" i="30"/>
  <c r="W46" i="30"/>
  <c r="W44" i="30"/>
  <c r="W40" i="30"/>
  <c r="X74" i="30" l="1"/>
  <c r="X76" i="30"/>
  <c r="X78" i="30"/>
  <c r="X75" i="30"/>
  <c r="W132" i="30"/>
  <c r="W131" i="30"/>
  <c r="W130" i="30"/>
  <c r="W129" i="30"/>
  <c r="W128" i="30"/>
  <c r="W127" i="30"/>
  <c r="W126" i="30"/>
  <c r="W125" i="30"/>
  <c r="W124" i="30"/>
  <c r="W123" i="30"/>
  <c r="W122" i="30"/>
  <c r="W118" i="30"/>
  <c r="W117" i="30"/>
  <c r="W116" i="30"/>
  <c r="W115" i="30"/>
  <c r="W114" i="30"/>
  <c r="W113" i="30"/>
  <c r="W112" i="30"/>
  <c r="W111" i="30"/>
  <c r="W110" i="30"/>
  <c r="A4" i="30"/>
  <c r="A2" i="30"/>
  <c r="S1" i="30"/>
  <c r="A1" i="30"/>
  <c r="X128" i="30"/>
  <c r="X131" i="30"/>
  <c r="X129" i="30"/>
  <c r="X132" i="30"/>
  <c r="AB111" i="30" l="1"/>
  <c r="AB117" i="30"/>
  <c r="X126" i="30"/>
  <c r="X124" i="30"/>
  <c r="X125" i="30"/>
  <c r="X123" i="30"/>
  <c r="AB113" i="30"/>
  <c r="Z76" i="30"/>
  <c r="Z75" i="30"/>
  <c r="Z77" i="30"/>
  <c r="Z78" i="30"/>
  <c r="Z112" i="30"/>
  <c r="Z114" i="30"/>
  <c r="Z116" i="30"/>
  <c r="Z118" i="30"/>
  <c r="Z117" i="30"/>
  <c r="AB115" i="30"/>
  <c r="Z115" i="30"/>
  <c r="X115" i="30" s="1"/>
  <c r="Z113" i="30"/>
  <c r="X113" i="30" s="1"/>
  <c r="Z111" i="30"/>
  <c r="AA79" i="30"/>
  <c r="AA83" i="30"/>
  <c r="AB81" i="30"/>
  <c r="Z82" i="30"/>
  <c r="AB79" i="30"/>
  <c r="Z80" i="30"/>
  <c r="AA81" i="30"/>
  <c r="AB83" i="30"/>
  <c r="Z84" i="30"/>
  <c r="AA73" i="30"/>
  <c r="Z79" i="30"/>
  <c r="Z81" i="30"/>
  <c r="Z83" i="30"/>
  <c r="AA111" i="30"/>
  <c r="AA113" i="30"/>
  <c r="AA115" i="30"/>
  <c r="AA117" i="30"/>
  <c r="Z73" i="30"/>
  <c r="AB73" i="30"/>
  <c r="X117" i="30" l="1"/>
  <c r="X118" i="30"/>
  <c r="X116" i="30"/>
  <c r="X114" i="30"/>
  <c r="X111" i="30"/>
  <c r="X112" i="30"/>
  <c r="X84" i="30"/>
  <c r="X80" i="30"/>
  <c r="X79" i="30"/>
  <c r="X73" i="30"/>
  <c r="X83" i="30"/>
  <c r="X82" i="30"/>
  <c r="X81" i="30"/>
  <c r="A4" i="7"/>
  <c r="A2" i="7"/>
  <c r="C123" i="1"/>
  <c r="G135" i="30" l="1"/>
  <c r="G139" i="30"/>
  <c r="G136" i="30"/>
  <c r="G141" i="30"/>
  <c r="G140" i="30"/>
  <c r="G142" i="30"/>
  <c r="R137" i="30"/>
  <c r="B139" i="30"/>
  <c r="B140" i="30"/>
  <c r="B141" i="30"/>
  <c r="B134" i="30"/>
  <c r="G134" i="30"/>
  <c r="B143" i="30"/>
  <c r="R140" i="30"/>
  <c r="B135" i="30"/>
  <c r="B136" i="30"/>
  <c r="B142" i="30"/>
  <c r="R139" i="30"/>
  <c r="R138" i="30"/>
  <c r="B137" i="30"/>
  <c r="B138" i="30"/>
  <c r="F20" i="22"/>
  <c r="F19" i="22"/>
  <c r="A4" i="28" l="1"/>
  <c r="A2" i="28"/>
  <c r="F1" i="28"/>
  <c r="N6" i="1" l="1"/>
  <c r="O6" i="1"/>
  <c r="P6" i="1"/>
  <c r="D6" i="22" l="1"/>
  <c r="G42" i="1" l="1"/>
  <c r="U42" i="1"/>
  <c r="V42" i="1"/>
  <c r="W42" i="1"/>
  <c r="X42" i="1"/>
  <c r="G32" i="1"/>
  <c r="U32" i="1"/>
  <c r="V32" i="1"/>
  <c r="W32" i="1"/>
  <c r="X32" i="1"/>
  <c r="G92" i="1"/>
  <c r="U92" i="1"/>
  <c r="V92" i="1"/>
  <c r="W92" i="1"/>
  <c r="X92" i="1"/>
  <c r="G72" i="1"/>
  <c r="U72" i="1"/>
  <c r="V72" i="1"/>
  <c r="W72" i="1"/>
  <c r="X72" i="1"/>
  <c r="G96" i="1"/>
  <c r="U96" i="1"/>
  <c r="V96" i="1"/>
  <c r="W96" i="1"/>
  <c r="X96" i="1"/>
  <c r="G83" i="1"/>
  <c r="U83" i="1"/>
  <c r="V83" i="1"/>
  <c r="W83" i="1"/>
  <c r="X83" i="1"/>
  <c r="G15" i="1"/>
  <c r="U15" i="1"/>
  <c r="V15" i="1"/>
  <c r="W15" i="1"/>
  <c r="X15" i="1"/>
  <c r="G115" i="1"/>
  <c r="U115" i="1"/>
  <c r="V115" i="1"/>
  <c r="W115" i="1"/>
  <c r="X115" i="1"/>
  <c r="G40" i="1"/>
  <c r="U40" i="1"/>
  <c r="V40" i="1"/>
  <c r="W40" i="1"/>
  <c r="X40" i="1"/>
  <c r="G81" i="1"/>
  <c r="U81" i="1"/>
  <c r="V81" i="1"/>
  <c r="W81" i="1"/>
  <c r="X81" i="1"/>
  <c r="G90" i="1"/>
  <c r="U90" i="1"/>
  <c r="V90" i="1"/>
  <c r="W90" i="1"/>
  <c r="X90" i="1"/>
  <c r="G53" i="1"/>
  <c r="U53" i="1"/>
  <c r="V53" i="1"/>
  <c r="W53" i="1"/>
  <c r="X53" i="1"/>
  <c r="G120" i="1"/>
  <c r="U120" i="1"/>
  <c r="V120" i="1"/>
  <c r="W120" i="1"/>
  <c r="X120" i="1"/>
  <c r="G88" i="1"/>
  <c r="U88" i="1"/>
  <c r="V88" i="1"/>
  <c r="W88" i="1"/>
  <c r="X88" i="1"/>
  <c r="G122" i="1"/>
  <c r="U122" i="1"/>
  <c r="V122" i="1"/>
  <c r="W122" i="1"/>
  <c r="X122" i="1"/>
  <c r="G71" i="1"/>
  <c r="U71" i="1"/>
  <c r="V71" i="1"/>
  <c r="W71" i="1"/>
  <c r="X71" i="1"/>
  <c r="G68" i="1"/>
  <c r="U68" i="1"/>
  <c r="V68" i="1"/>
  <c r="W68" i="1"/>
  <c r="X68" i="1"/>
  <c r="G75" i="1"/>
  <c r="U75" i="1"/>
  <c r="V75" i="1"/>
  <c r="W75" i="1"/>
  <c r="X75" i="1"/>
  <c r="G114" i="1"/>
  <c r="U114" i="1"/>
  <c r="V114" i="1"/>
  <c r="W114" i="1"/>
  <c r="X114" i="1"/>
  <c r="G41" i="1"/>
  <c r="U41" i="1"/>
  <c r="V41" i="1"/>
  <c r="W41" i="1"/>
  <c r="X41" i="1"/>
  <c r="G44" i="1"/>
  <c r="U44" i="1"/>
  <c r="V44" i="1"/>
  <c r="W44" i="1"/>
  <c r="X44" i="1"/>
  <c r="G30" i="1"/>
  <c r="U30" i="1"/>
  <c r="V30" i="1"/>
  <c r="W30" i="1"/>
  <c r="X30" i="1"/>
  <c r="G47" i="1"/>
  <c r="U47" i="1"/>
  <c r="V47" i="1"/>
  <c r="W47" i="1"/>
  <c r="X47" i="1"/>
  <c r="G98" i="1"/>
  <c r="U98" i="1"/>
  <c r="V98" i="1"/>
  <c r="W98" i="1"/>
  <c r="X98" i="1"/>
  <c r="G105" i="1"/>
  <c r="U105" i="1"/>
  <c r="V105" i="1"/>
  <c r="W105" i="1"/>
  <c r="X105" i="1"/>
  <c r="G119" i="1"/>
  <c r="U119" i="1"/>
  <c r="V119" i="1"/>
  <c r="W119" i="1"/>
  <c r="X119" i="1"/>
  <c r="G109" i="1"/>
  <c r="U109" i="1"/>
  <c r="V109" i="1"/>
  <c r="W109" i="1"/>
  <c r="X109" i="1"/>
  <c r="G121" i="1"/>
  <c r="U121" i="1"/>
  <c r="V121" i="1"/>
  <c r="W121" i="1"/>
  <c r="X121" i="1"/>
  <c r="G64" i="1"/>
  <c r="U64" i="1"/>
  <c r="V64" i="1"/>
  <c r="W64" i="1"/>
  <c r="X64" i="1"/>
  <c r="G112" i="1"/>
  <c r="U112" i="1"/>
  <c r="V112" i="1"/>
  <c r="W112" i="1"/>
  <c r="X112" i="1"/>
  <c r="G113" i="1"/>
  <c r="H113" i="1" a="1"/>
  <c r="H113" i="1" s="1"/>
  <c r="U113" i="1"/>
  <c r="V113" i="1"/>
  <c r="W113" i="1"/>
  <c r="X113" i="1"/>
  <c r="G63" i="1"/>
  <c r="H63" i="1" a="1"/>
  <c r="H63" i="1" s="1"/>
  <c r="U63" i="1"/>
  <c r="V63" i="1"/>
  <c r="W63" i="1"/>
  <c r="X63" i="1"/>
  <c r="G117" i="1"/>
  <c r="H117" i="1" a="1"/>
  <c r="H117" i="1" s="1"/>
  <c r="U117" i="1"/>
  <c r="V117" i="1"/>
  <c r="W117" i="1"/>
  <c r="X117" i="1"/>
  <c r="G118" i="1"/>
  <c r="H118" i="1" a="1"/>
  <c r="H118" i="1" s="1"/>
  <c r="U118" i="1"/>
  <c r="V118" i="1"/>
  <c r="W118" i="1"/>
  <c r="X118" i="1"/>
  <c r="G51" i="1"/>
  <c r="H51" i="1" a="1"/>
  <c r="H51" i="1" s="1"/>
  <c r="U51" i="1"/>
  <c r="V51" i="1"/>
  <c r="W51" i="1"/>
  <c r="X51" i="1"/>
  <c r="G67" i="1"/>
  <c r="H67" i="1" a="1"/>
  <c r="H67" i="1" s="1"/>
  <c r="U67" i="1"/>
  <c r="V67" i="1"/>
  <c r="W67" i="1"/>
  <c r="X67" i="1"/>
  <c r="G100" i="1"/>
  <c r="H100" i="1" a="1"/>
  <c r="H100" i="1" s="1"/>
  <c r="U100" i="1"/>
  <c r="V100" i="1"/>
  <c r="W100" i="1"/>
  <c r="X100" i="1"/>
  <c r="G101" i="1"/>
  <c r="H101" i="1" a="1"/>
  <c r="H101" i="1" s="1"/>
  <c r="U101" i="1"/>
  <c r="V101" i="1"/>
  <c r="W101" i="1"/>
  <c r="X101" i="1"/>
  <c r="G102" i="1"/>
  <c r="H102" i="1" a="1"/>
  <c r="H102" i="1" s="1"/>
  <c r="U102" i="1"/>
  <c r="V102" i="1"/>
  <c r="W102" i="1"/>
  <c r="X102" i="1"/>
  <c r="G104" i="1"/>
  <c r="H104" i="1" a="1"/>
  <c r="H104" i="1" s="1"/>
  <c r="U104" i="1"/>
  <c r="V104" i="1"/>
  <c r="W104" i="1"/>
  <c r="X104" i="1"/>
  <c r="G76" i="1"/>
  <c r="H76" i="1" a="1"/>
  <c r="H76" i="1" s="1"/>
  <c r="U76" i="1"/>
  <c r="V76" i="1"/>
  <c r="W76" i="1"/>
  <c r="X76" i="1"/>
  <c r="G70" i="1"/>
  <c r="H70" i="1" a="1"/>
  <c r="H70" i="1" s="1"/>
  <c r="U70" i="1"/>
  <c r="V70" i="1"/>
  <c r="W70" i="1"/>
  <c r="X70" i="1"/>
  <c r="G107" i="1"/>
  <c r="H107" i="1" a="1"/>
  <c r="H107" i="1" s="1"/>
  <c r="U107" i="1"/>
  <c r="V107" i="1"/>
  <c r="W107" i="1"/>
  <c r="X107" i="1"/>
  <c r="G108" i="1"/>
  <c r="H108" i="1" a="1"/>
  <c r="H108" i="1" s="1"/>
  <c r="U108" i="1"/>
  <c r="V108" i="1"/>
  <c r="W108" i="1"/>
  <c r="X108" i="1"/>
  <c r="G52" i="1"/>
  <c r="H52" i="1" a="1"/>
  <c r="H52" i="1" s="1"/>
  <c r="U52" i="1"/>
  <c r="V52" i="1"/>
  <c r="W52" i="1"/>
  <c r="X52" i="1"/>
  <c r="G110" i="1"/>
  <c r="H110" i="1" a="1"/>
  <c r="H110" i="1" s="1"/>
  <c r="U110" i="1"/>
  <c r="V110" i="1"/>
  <c r="W110" i="1"/>
  <c r="X110" i="1"/>
  <c r="G111" i="1"/>
  <c r="H111" i="1" a="1"/>
  <c r="H111" i="1" s="1"/>
  <c r="U111" i="1"/>
  <c r="V111" i="1"/>
  <c r="W111" i="1"/>
  <c r="X111" i="1"/>
  <c r="F109" i="1" l="1"/>
  <c r="F107" i="1"/>
  <c r="F51" i="1"/>
  <c r="F114" i="1"/>
  <c r="F111" i="1"/>
  <c r="F102" i="1"/>
  <c r="F113" i="1"/>
  <c r="F47" i="1"/>
  <c r="F110" i="1"/>
  <c r="F70" i="1"/>
  <c r="F101" i="1"/>
  <c r="F118" i="1"/>
  <c r="F112" i="1"/>
  <c r="F119" i="1"/>
  <c r="F30" i="1"/>
  <c r="F75" i="1"/>
  <c r="F88" i="1"/>
  <c r="F81" i="1"/>
  <c r="F83" i="1"/>
  <c r="F72" i="1"/>
  <c r="F32" i="1"/>
  <c r="F52" i="1"/>
  <c r="F108" i="1"/>
  <c r="F76" i="1"/>
  <c r="F104" i="1"/>
  <c r="F100" i="1"/>
  <c r="F67" i="1"/>
  <c r="F117" i="1"/>
  <c r="F63" i="1"/>
  <c r="F64" i="1"/>
  <c r="F121" i="1"/>
  <c r="F105" i="1"/>
  <c r="F98" i="1"/>
  <c r="F44" i="1"/>
  <c r="F41" i="1"/>
  <c r="F68" i="1"/>
  <c r="F71" i="1"/>
  <c r="F122" i="1"/>
  <c r="F53" i="1"/>
  <c r="F90" i="1"/>
  <c r="F115" i="1"/>
  <c r="F15" i="1"/>
  <c r="F96" i="1"/>
  <c r="F92" i="1"/>
  <c r="F42" i="1"/>
  <c r="F120" i="1"/>
  <c r="F40" i="1"/>
  <c r="Q8" i="1"/>
  <c r="P8" i="1"/>
  <c r="O8" i="1"/>
  <c r="N8" i="1"/>
  <c r="L8" i="1"/>
  <c r="K8" i="1"/>
  <c r="J8" i="1"/>
  <c r="I8" i="1"/>
  <c r="R8" i="1"/>
  <c r="E1" i="4"/>
  <c r="E1" i="26"/>
  <c r="F1" i="24"/>
  <c r="A4" i="26" l="1"/>
  <c r="A2" i="26"/>
  <c r="A4" i="4" l="1"/>
  <c r="A2" i="4"/>
  <c r="A4" i="24"/>
  <c r="A2" i="24"/>
  <c r="A1" i="24"/>
  <c r="T6" i="1" l="1"/>
  <c r="S6" i="1"/>
  <c r="R6" i="1"/>
  <c r="Q6" i="1"/>
  <c r="M6" i="1"/>
  <c r="L6" i="1"/>
  <c r="K6" i="1"/>
  <c r="J6" i="1"/>
  <c r="I6" i="1"/>
  <c r="T8" i="1" l="1"/>
  <c r="S8" i="1"/>
  <c r="T4" i="1"/>
  <c r="S4" i="1"/>
  <c r="R4" i="1"/>
  <c r="O4" i="1"/>
  <c r="N4" i="1"/>
  <c r="M4" i="1"/>
  <c r="L4" i="1"/>
  <c r="K4" i="1"/>
  <c r="J4" i="1"/>
  <c r="I4" i="1"/>
  <c r="F12" i="22" l="1"/>
  <c r="D21" i="22" l="1"/>
  <c r="A1" i="35" s="1"/>
  <c r="D17" i="22"/>
  <c r="A1" i="7" s="1"/>
  <c r="D13" i="22"/>
  <c r="D15" i="22"/>
  <c r="D7" i="22"/>
  <c r="A1" i="26" s="1"/>
  <c r="D23" i="22"/>
  <c r="A1" i="36" s="1"/>
  <c r="D30" i="22"/>
  <c r="A1" i="38" s="1"/>
  <c r="D31" i="22"/>
  <c r="A1" i="10" s="1"/>
  <c r="D38" i="22"/>
  <c r="D35" i="22"/>
  <c r="D32" i="22"/>
  <c r="F38" i="22"/>
  <c r="F37" i="22"/>
  <c r="F35" i="22"/>
  <c r="F32" i="22"/>
  <c r="A3" i="11" l="1"/>
  <c r="A1" i="11"/>
  <c r="A1" i="28"/>
  <c r="A1" i="4"/>
  <c r="F29" i="22"/>
  <c r="F24" i="22" l="1"/>
  <c r="F23" i="22"/>
  <c r="A3" i="36" s="1"/>
  <c r="F21" i="22"/>
  <c r="A3" i="35" s="1"/>
  <c r="F18" i="22"/>
  <c r="F17" i="22"/>
  <c r="A3" i="7" s="1"/>
  <c r="F15" i="22"/>
  <c r="F13" i="22"/>
  <c r="F11" i="22"/>
  <c r="F8" i="22"/>
  <c r="F7" i="22"/>
  <c r="A3" i="26" s="1"/>
  <c r="F6" i="22"/>
  <c r="A3" i="24" s="1"/>
  <c r="J123" i="1"/>
  <c r="K123" i="1"/>
  <c r="L123" i="1"/>
  <c r="I17" i="22" s="1"/>
  <c r="M123" i="1"/>
  <c r="I18" i="22" s="1"/>
  <c r="N123" i="1"/>
  <c r="I21" i="22" s="1"/>
  <c r="O123" i="1"/>
  <c r="I23" i="22" s="1"/>
  <c r="P123" i="1"/>
  <c r="P124" i="1" s="1"/>
  <c r="Q123" i="1"/>
  <c r="I31" i="22" s="1"/>
  <c r="R123" i="1"/>
  <c r="S123" i="1"/>
  <c r="T123" i="1"/>
  <c r="T124" i="1" s="1"/>
  <c r="I123" i="1"/>
  <c r="I6" i="22" s="1"/>
  <c r="U9" i="1"/>
  <c r="V9" i="1"/>
  <c r="W9" i="1"/>
  <c r="X9" i="1"/>
  <c r="U20" i="1"/>
  <c r="V20" i="1"/>
  <c r="W20" i="1"/>
  <c r="X20" i="1"/>
  <c r="U11" i="1"/>
  <c r="V11" i="1"/>
  <c r="W11" i="1"/>
  <c r="X11" i="1"/>
  <c r="U33" i="1"/>
  <c r="V33" i="1"/>
  <c r="W33" i="1"/>
  <c r="X33" i="1"/>
  <c r="U37" i="1"/>
  <c r="V37" i="1"/>
  <c r="W37" i="1"/>
  <c r="X37" i="1"/>
  <c r="U38" i="1"/>
  <c r="V38" i="1"/>
  <c r="W38" i="1"/>
  <c r="X38" i="1"/>
  <c r="U39" i="1"/>
  <c r="V39" i="1"/>
  <c r="W39" i="1"/>
  <c r="X39" i="1"/>
  <c r="U10" i="1"/>
  <c r="V10" i="1"/>
  <c r="W10" i="1"/>
  <c r="X10" i="1"/>
  <c r="U21" i="1"/>
  <c r="V21" i="1"/>
  <c r="W21" i="1"/>
  <c r="X21" i="1"/>
  <c r="U84" i="1"/>
  <c r="V84" i="1"/>
  <c r="W84" i="1"/>
  <c r="X84" i="1"/>
  <c r="U50" i="1"/>
  <c r="V50" i="1"/>
  <c r="W50" i="1"/>
  <c r="X50" i="1"/>
  <c r="U49" i="1"/>
  <c r="V49" i="1"/>
  <c r="W49" i="1"/>
  <c r="X49" i="1"/>
  <c r="U23" i="1"/>
  <c r="V23" i="1"/>
  <c r="W23" i="1"/>
  <c r="X23" i="1"/>
  <c r="U46" i="1"/>
  <c r="V46" i="1"/>
  <c r="W46" i="1"/>
  <c r="X46" i="1"/>
  <c r="U43" i="1"/>
  <c r="V43" i="1"/>
  <c r="W43" i="1"/>
  <c r="X43" i="1"/>
  <c r="U36" i="1"/>
  <c r="V36" i="1"/>
  <c r="W36" i="1"/>
  <c r="X36" i="1"/>
  <c r="U54" i="1"/>
  <c r="V54" i="1"/>
  <c r="W54" i="1"/>
  <c r="X54" i="1"/>
  <c r="U60" i="1"/>
  <c r="V60" i="1"/>
  <c r="W60" i="1"/>
  <c r="X60" i="1"/>
  <c r="U57" i="1"/>
  <c r="V57" i="1"/>
  <c r="W57" i="1"/>
  <c r="X57" i="1"/>
  <c r="U26" i="1"/>
  <c r="V26" i="1"/>
  <c r="W26" i="1"/>
  <c r="X26" i="1"/>
  <c r="U116" i="1"/>
  <c r="V116" i="1"/>
  <c r="W116" i="1"/>
  <c r="X116" i="1"/>
  <c r="U95" i="1"/>
  <c r="V95" i="1"/>
  <c r="W95" i="1"/>
  <c r="X95" i="1"/>
  <c r="U14" i="1"/>
  <c r="V14" i="1"/>
  <c r="W14" i="1"/>
  <c r="X14" i="1"/>
  <c r="U19" i="1"/>
  <c r="V19" i="1"/>
  <c r="W19" i="1"/>
  <c r="X19" i="1"/>
  <c r="U65" i="1"/>
  <c r="V65" i="1"/>
  <c r="W65" i="1"/>
  <c r="X65" i="1"/>
  <c r="U31" i="1"/>
  <c r="V31" i="1"/>
  <c r="W31" i="1"/>
  <c r="X31" i="1"/>
  <c r="U27" i="1"/>
  <c r="V27" i="1"/>
  <c r="W27" i="1"/>
  <c r="X27" i="1"/>
  <c r="U22" i="1"/>
  <c r="V22" i="1"/>
  <c r="W22" i="1"/>
  <c r="X22" i="1"/>
  <c r="U18" i="1"/>
  <c r="V18" i="1"/>
  <c r="W18" i="1"/>
  <c r="X18" i="1"/>
  <c r="U34" i="1"/>
  <c r="V34" i="1"/>
  <c r="W34" i="1"/>
  <c r="X34" i="1"/>
  <c r="U29" i="1"/>
  <c r="V29" i="1"/>
  <c r="W29" i="1"/>
  <c r="X29" i="1"/>
  <c r="U55" i="1"/>
  <c r="V55" i="1"/>
  <c r="W55" i="1"/>
  <c r="X55" i="1"/>
  <c r="U61" i="1"/>
  <c r="V61" i="1"/>
  <c r="W61" i="1"/>
  <c r="X61" i="1"/>
  <c r="U45" i="1"/>
  <c r="V45" i="1"/>
  <c r="W45" i="1"/>
  <c r="X45" i="1"/>
  <c r="U74" i="1"/>
  <c r="V74" i="1"/>
  <c r="W74" i="1"/>
  <c r="X74" i="1"/>
  <c r="U97" i="1"/>
  <c r="V97" i="1"/>
  <c r="W97" i="1"/>
  <c r="X97" i="1"/>
  <c r="U17" i="1"/>
  <c r="V17" i="1"/>
  <c r="W17" i="1"/>
  <c r="X17" i="1"/>
  <c r="U58" i="1"/>
  <c r="V58" i="1"/>
  <c r="W58" i="1"/>
  <c r="X58" i="1"/>
  <c r="U62" i="1"/>
  <c r="V62" i="1"/>
  <c r="W62" i="1"/>
  <c r="X62" i="1"/>
  <c r="U73" i="1"/>
  <c r="V73" i="1"/>
  <c r="W73" i="1"/>
  <c r="X73" i="1"/>
  <c r="U78" i="1"/>
  <c r="V78" i="1"/>
  <c r="W78" i="1"/>
  <c r="X78" i="1"/>
  <c r="U48" i="1"/>
  <c r="V48" i="1"/>
  <c r="W48" i="1"/>
  <c r="X48" i="1"/>
  <c r="U79" i="1"/>
  <c r="V79" i="1"/>
  <c r="W79" i="1"/>
  <c r="X79" i="1"/>
  <c r="U13" i="1"/>
  <c r="V13" i="1"/>
  <c r="W13" i="1"/>
  <c r="X13" i="1"/>
  <c r="U91" i="1"/>
  <c r="V91" i="1"/>
  <c r="W91" i="1"/>
  <c r="X91" i="1"/>
  <c r="U25" i="1"/>
  <c r="V25" i="1"/>
  <c r="W25" i="1"/>
  <c r="X25" i="1"/>
  <c r="U99" i="1"/>
  <c r="V99" i="1"/>
  <c r="W99" i="1"/>
  <c r="X99" i="1"/>
  <c r="U35" i="1"/>
  <c r="V35" i="1"/>
  <c r="W35" i="1"/>
  <c r="X35" i="1"/>
  <c r="U77" i="1"/>
  <c r="V77" i="1"/>
  <c r="W77" i="1"/>
  <c r="X77" i="1"/>
  <c r="U87" i="1"/>
  <c r="V87" i="1"/>
  <c r="W87" i="1"/>
  <c r="X87" i="1"/>
  <c r="U56" i="1"/>
  <c r="V56" i="1"/>
  <c r="W56" i="1"/>
  <c r="X56" i="1"/>
  <c r="U103" i="1"/>
  <c r="V103" i="1"/>
  <c r="W103" i="1"/>
  <c r="X103" i="1"/>
  <c r="U80" i="1"/>
  <c r="V80" i="1"/>
  <c r="W80" i="1"/>
  <c r="X80" i="1"/>
  <c r="U59" i="1"/>
  <c r="V59" i="1"/>
  <c r="W59" i="1"/>
  <c r="X59" i="1"/>
  <c r="U89" i="1"/>
  <c r="V89" i="1"/>
  <c r="W89" i="1"/>
  <c r="X89" i="1"/>
  <c r="U106" i="1"/>
  <c r="V106" i="1"/>
  <c r="W106" i="1"/>
  <c r="X106" i="1"/>
  <c r="U28" i="1"/>
  <c r="V28" i="1"/>
  <c r="W28" i="1"/>
  <c r="X28" i="1"/>
  <c r="U93" i="1"/>
  <c r="V93" i="1"/>
  <c r="W93" i="1"/>
  <c r="X93" i="1"/>
  <c r="U85" i="1"/>
  <c r="V85" i="1"/>
  <c r="W85" i="1"/>
  <c r="X85" i="1"/>
  <c r="U24" i="1"/>
  <c r="V24" i="1"/>
  <c r="W24" i="1"/>
  <c r="X24" i="1"/>
  <c r="U66" i="1"/>
  <c r="V66" i="1"/>
  <c r="W66" i="1"/>
  <c r="X66" i="1"/>
  <c r="U82" i="1"/>
  <c r="V82" i="1"/>
  <c r="W82" i="1"/>
  <c r="X82" i="1"/>
  <c r="U69" i="1"/>
  <c r="V69" i="1"/>
  <c r="W69" i="1"/>
  <c r="X69" i="1"/>
  <c r="U16" i="1"/>
  <c r="V16" i="1"/>
  <c r="W16" i="1"/>
  <c r="X16" i="1"/>
  <c r="U94" i="1"/>
  <c r="V94" i="1"/>
  <c r="W94" i="1"/>
  <c r="X94" i="1"/>
  <c r="U86" i="1"/>
  <c r="V86" i="1"/>
  <c r="W86" i="1"/>
  <c r="X86" i="1"/>
  <c r="G12" i="1"/>
  <c r="G20" i="1"/>
  <c r="G33" i="1"/>
  <c r="G11" i="1"/>
  <c r="G37" i="1"/>
  <c r="G38" i="1"/>
  <c r="G39" i="1"/>
  <c r="G21" i="1"/>
  <c r="G50" i="1"/>
  <c r="G49" i="1"/>
  <c r="G84" i="1"/>
  <c r="F84" i="1" s="1"/>
  <c r="G46" i="1"/>
  <c r="G10" i="1"/>
  <c r="G36" i="1"/>
  <c r="F36" i="1" s="1"/>
  <c r="G23" i="1"/>
  <c r="G60" i="1"/>
  <c r="G54" i="1"/>
  <c r="G43" i="1"/>
  <c r="G95" i="1"/>
  <c r="G14" i="1"/>
  <c r="G19" i="1"/>
  <c r="G26" i="1"/>
  <c r="G116" i="1"/>
  <c r="F116" i="1" s="1"/>
  <c r="G31" i="1"/>
  <c r="G22" i="1"/>
  <c r="G27" i="1"/>
  <c r="G65" i="1"/>
  <c r="G18" i="1"/>
  <c r="G57" i="1"/>
  <c r="G29" i="1"/>
  <c r="G55" i="1"/>
  <c r="G61" i="1"/>
  <c r="G34" i="1"/>
  <c r="G17" i="1"/>
  <c r="G74" i="1"/>
  <c r="F74" i="1" s="1"/>
  <c r="G97" i="1"/>
  <c r="F97" i="1" s="1"/>
  <c r="G58" i="1"/>
  <c r="G78" i="1"/>
  <c r="G62" i="1"/>
  <c r="G73" i="1"/>
  <c r="G48" i="1"/>
  <c r="F48" i="1" s="1"/>
  <c r="G79" i="1"/>
  <c r="G13" i="1"/>
  <c r="G99" i="1"/>
  <c r="G91" i="1"/>
  <c r="G25" i="1"/>
  <c r="G77" i="1"/>
  <c r="F77" i="1" s="1"/>
  <c r="G35" i="1"/>
  <c r="G45" i="1"/>
  <c r="F45" i="1" s="1"/>
  <c r="G87" i="1"/>
  <c r="G56" i="1"/>
  <c r="F56" i="1" s="1"/>
  <c r="G103" i="1"/>
  <c r="F103" i="1" s="1"/>
  <c r="G59" i="1"/>
  <c r="G89" i="1"/>
  <c r="G80" i="1"/>
  <c r="G106" i="1"/>
  <c r="G28" i="1"/>
  <c r="G93" i="1"/>
  <c r="G85" i="1"/>
  <c r="F85" i="1" s="1"/>
  <c r="G24" i="1"/>
  <c r="G66" i="1"/>
  <c r="F66" i="1" s="1"/>
  <c r="G82" i="1"/>
  <c r="G69" i="1"/>
  <c r="F69" i="1" s="1"/>
  <c r="G16" i="1"/>
  <c r="G94" i="1"/>
  <c r="G86" i="1"/>
  <c r="U12" i="1"/>
  <c r="V12" i="1"/>
  <c r="W12" i="1"/>
  <c r="X12" i="1"/>
  <c r="D1" i="12"/>
  <c r="F1" i="11"/>
  <c r="D1" i="10"/>
  <c r="H1" i="7"/>
  <c r="G9" i="1"/>
  <c r="B123" i="1"/>
  <c r="F54" i="1" l="1"/>
  <c r="F59" i="1"/>
  <c r="I30" i="22"/>
  <c r="F58" i="1"/>
  <c r="F57" i="1"/>
  <c r="F80" i="1"/>
  <c r="F99" i="1"/>
  <c r="F55" i="1"/>
  <c r="F28" i="1"/>
  <c r="Q124" i="1"/>
  <c r="F50" i="1"/>
  <c r="F39" i="1"/>
  <c r="F12" i="1"/>
  <c r="A3" i="34"/>
  <c r="A3" i="30"/>
  <c r="A3" i="28"/>
  <c r="A3" i="4"/>
  <c r="F79" i="1"/>
  <c r="F78" i="1"/>
  <c r="F87" i="1"/>
  <c r="F38" i="1"/>
  <c r="F31" i="1"/>
  <c r="F46" i="1"/>
  <c r="F11" i="1"/>
  <c r="F49" i="1"/>
  <c r="F95" i="1"/>
  <c r="F20" i="1"/>
  <c r="F25" i="1"/>
  <c r="F22" i="1"/>
  <c r="F21" i="1"/>
  <c r="F35" i="1"/>
  <c r="F43" i="1"/>
  <c r="F26" i="1"/>
  <c r="F19" i="1"/>
  <c r="F27" i="1"/>
  <c r="F18" i="1"/>
  <c r="F29" i="1"/>
  <c r="F61" i="1"/>
  <c r="F14" i="1"/>
  <c r="F13" i="1"/>
  <c r="F65" i="1"/>
  <c r="F60" i="1"/>
  <c r="F73" i="1"/>
  <c r="N124" i="1"/>
  <c r="F16" i="1"/>
  <c r="F82" i="1"/>
  <c r="F24" i="1"/>
  <c r="F93" i="1"/>
  <c r="F106" i="1"/>
  <c r="F89" i="1"/>
  <c r="F86" i="1"/>
  <c r="F91" i="1"/>
  <c r="F37" i="1"/>
  <c r="F33" i="1"/>
  <c r="F34" i="1"/>
  <c r="F62" i="1"/>
  <c r="F94" i="1"/>
  <c r="F23" i="1"/>
  <c r="F10" i="1"/>
  <c r="W123" i="1"/>
  <c r="I124" i="1"/>
  <c r="F9" i="1"/>
  <c r="A76" i="1" s="1"/>
  <c r="F17" i="1"/>
  <c r="S124" i="1"/>
  <c r="I35" i="22"/>
  <c r="I38" i="22"/>
  <c r="R124" i="1"/>
  <c r="I32" i="22"/>
  <c r="O124" i="1"/>
  <c r="J124" i="1"/>
  <c r="I7" i="22"/>
  <c r="V123" i="1"/>
  <c r="X123" i="1"/>
  <c r="K124" i="1"/>
  <c r="I13" i="22"/>
  <c r="A100" i="1" l="1"/>
  <c r="A111" i="1"/>
  <c r="A101" i="1"/>
  <c r="A110" i="1"/>
  <c r="A102" i="1"/>
  <c r="A108" i="1"/>
  <c r="A104" i="1"/>
  <c r="A107" i="1"/>
  <c r="A67" i="1"/>
  <c r="A70" i="1"/>
  <c r="A52" i="1"/>
  <c r="A51" i="1"/>
  <c r="A117" i="1"/>
  <c r="A63" i="1"/>
  <c r="A118" i="1"/>
  <c r="A113" i="1"/>
  <c r="A119" i="1"/>
  <c r="A121" i="1"/>
  <c r="A112" i="1"/>
  <c r="A114" i="1"/>
  <c r="A44" i="1"/>
  <c r="A75" i="1"/>
  <c r="A105" i="1"/>
  <c r="A41" i="1"/>
  <c r="A47" i="1"/>
  <c r="A30" i="1"/>
  <c r="A98" i="1"/>
  <c r="A68" i="1"/>
  <c r="A64" i="1"/>
  <c r="A109" i="1"/>
  <c r="A43" i="1"/>
  <c r="A18" i="1"/>
  <c r="A36" i="1"/>
  <c r="A71" i="1"/>
  <c r="A13" i="1"/>
  <c r="A120" i="1"/>
  <c r="A90" i="1"/>
  <c r="A88" i="1"/>
  <c r="A115" i="1"/>
  <c r="A122" i="1"/>
  <c r="A81" i="1"/>
  <c r="A54" i="1"/>
  <c r="A10" i="1"/>
  <c r="A33" i="1"/>
  <c r="A79" i="1"/>
  <c r="A77" i="1"/>
  <c r="A73" i="1"/>
  <c r="A65" i="1"/>
  <c r="A59" i="1"/>
  <c r="A53" i="1"/>
  <c r="A40" i="1"/>
  <c r="A29" i="1"/>
  <c r="A56" i="1"/>
  <c r="A62" i="1"/>
  <c r="A66" i="1"/>
  <c r="A19" i="1"/>
  <c r="A38" i="1"/>
  <c r="A57" i="1"/>
  <c r="A37" i="1"/>
  <c r="A92" i="1"/>
  <c r="A96" i="1"/>
  <c r="A72" i="1"/>
  <c r="A83" i="1"/>
  <c r="A15" i="1"/>
  <c r="A42" i="1"/>
  <c r="A32" i="1"/>
  <c r="A85" i="1"/>
  <c r="A84" i="1"/>
  <c r="A23" i="1"/>
  <c r="A25" i="1"/>
  <c r="A95" i="1"/>
  <c r="A22" i="1"/>
  <c r="A106" i="1"/>
  <c r="A34" i="1"/>
  <c r="A50" i="1"/>
  <c r="A21" i="1"/>
  <c r="A91" i="1"/>
  <c r="A89" i="1"/>
  <c r="A93" i="1"/>
  <c r="A82" i="1"/>
  <c r="A60" i="1"/>
  <c r="A61" i="1"/>
  <c r="A27" i="1"/>
  <c r="A46" i="1"/>
  <c r="A26" i="1"/>
  <c r="A116" i="1"/>
  <c r="A74" i="1"/>
  <c r="A78" i="1"/>
  <c r="A97" i="1"/>
  <c r="A31" i="1"/>
  <c r="A103" i="1"/>
  <c r="A55" i="1"/>
  <c r="A80" i="1"/>
  <c r="A45" i="1"/>
  <c r="A20" i="1"/>
  <c r="A12" i="1"/>
  <c r="A39" i="1"/>
  <c r="A35" i="1"/>
  <c r="A11" i="1"/>
  <c r="A17" i="1"/>
  <c r="A9" i="1"/>
  <c r="A28" i="1"/>
  <c r="A99" i="1"/>
  <c r="A58" i="1"/>
  <c r="A24" i="1"/>
  <c r="A14" i="1"/>
  <c r="A87" i="1"/>
  <c r="A49" i="1"/>
  <c r="A48" i="1"/>
  <c r="A16" i="1"/>
  <c r="A86" i="1"/>
  <c r="A94" i="1"/>
  <c r="A69" i="1"/>
</calcChain>
</file>

<file path=xl/comments1.xml><?xml version="1.0" encoding="utf-8"?>
<comments xmlns="http://schemas.openxmlformats.org/spreadsheetml/2006/main">
  <authors>
    <author>Author</author>
  </authors>
  <commentList>
    <comment ref="I4" authorId="0">
      <text>
        <r>
          <rPr>
            <b/>
            <sz val="8"/>
            <color indexed="81"/>
            <rFont val="Tahoma"/>
            <family val="2"/>
            <charset val="186"/>
          </rPr>
          <t>Osalejate arv</t>
        </r>
      </text>
    </comment>
    <comment ref="F6" authorId="0">
      <text>
        <r>
          <rPr>
            <b/>
            <sz val="8"/>
            <color indexed="81"/>
            <rFont val="Tahoma"/>
            <family val="2"/>
            <charset val="186"/>
          </rPr>
          <t>Tallinn, Algi 38</t>
        </r>
      </text>
    </comment>
    <comment ref="H6" authorId="0">
      <text>
        <r>
          <rPr>
            <b/>
            <sz val="8"/>
            <color indexed="81"/>
            <rFont val="Tahoma"/>
            <family val="2"/>
            <charset val="186"/>
          </rPr>
          <t>Juunioridel 2 €</t>
        </r>
      </text>
    </comment>
    <comment ref="F7" authorId="0">
      <text>
        <r>
          <rPr>
            <b/>
            <sz val="8"/>
            <color indexed="81"/>
            <rFont val="Tahoma"/>
            <family val="2"/>
            <charset val="186"/>
          </rPr>
          <t>Tallinn, Algi 38</t>
        </r>
      </text>
    </comment>
    <comment ref="H7" authorId="0">
      <text>
        <r>
          <rPr>
            <b/>
            <sz val="8"/>
            <color indexed="81"/>
            <rFont val="Tahoma"/>
            <family val="2"/>
            <charset val="186"/>
          </rPr>
          <t>Juunioridel 2 €</t>
        </r>
      </text>
    </comment>
    <comment ref="F8" authorId="0">
      <text>
        <r>
          <rPr>
            <b/>
            <sz val="8"/>
            <color indexed="81"/>
            <rFont val="Tahoma"/>
            <family val="2"/>
            <charset val="186"/>
          </rPr>
          <t>Tallinn, Algi 38</t>
        </r>
      </text>
    </comment>
    <comment ref="F11" authorId="0">
      <text>
        <r>
          <rPr>
            <b/>
            <sz val="8"/>
            <color indexed="81"/>
            <rFont val="Tahoma"/>
            <family val="2"/>
            <charset val="186"/>
          </rPr>
          <t>Tallinn, Algi 38</t>
        </r>
      </text>
    </comment>
    <comment ref="F12" authorId="0">
      <text>
        <r>
          <rPr>
            <b/>
            <sz val="8"/>
            <color indexed="81"/>
            <rFont val="Tahoma"/>
            <family val="2"/>
            <charset val="186"/>
          </rPr>
          <t>Haapsalu, Niine 17</t>
        </r>
      </text>
    </comment>
    <comment ref="F13" authorId="0">
      <text>
        <r>
          <rPr>
            <b/>
            <sz val="8"/>
            <color indexed="81"/>
            <rFont val="Tahoma"/>
            <family val="2"/>
            <charset val="186"/>
          </rPr>
          <t>Tallinn, Algi 38</t>
        </r>
      </text>
    </comment>
    <comment ref="H13" authorId="0">
      <text>
        <r>
          <rPr>
            <b/>
            <sz val="8"/>
            <color indexed="81"/>
            <rFont val="Tahoma"/>
            <family val="2"/>
            <charset val="186"/>
          </rPr>
          <t>Juunioridel 2 €</t>
        </r>
      </text>
    </comment>
    <comment ref="F15" authorId="0">
      <text>
        <r>
          <rPr>
            <b/>
            <sz val="8"/>
            <color indexed="81"/>
            <rFont val="Tahoma"/>
            <family val="2"/>
            <charset val="186"/>
          </rPr>
          <t>Tallinn, Algi 38</t>
        </r>
      </text>
    </comment>
    <comment ref="F17" authorId="0">
      <text>
        <r>
          <rPr>
            <b/>
            <sz val="8"/>
            <color indexed="81"/>
            <rFont val="Tahoma"/>
            <family val="2"/>
            <charset val="186"/>
          </rPr>
          <t>Tallinn, Algi 38</t>
        </r>
      </text>
    </comment>
    <comment ref="H17" authorId="0">
      <text>
        <r>
          <rPr>
            <b/>
            <sz val="8"/>
            <color indexed="81"/>
            <rFont val="Tahoma"/>
            <family val="2"/>
            <charset val="186"/>
          </rPr>
          <t>Juunioridel 2 €</t>
        </r>
      </text>
    </comment>
    <comment ref="F18" authorId="0">
      <text>
        <r>
          <rPr>
            <b/>
            <sz val="8"/>
            <color indexed="81"/>
            <rFont val="Tahoma"/>
            <family val="2"/>
            <charset val="186"/>
          </rPr>
          <t>Tallinn, Algi 38</t>
        </r>
      </text>
    </comment>
    <comment ref="H18" authorId="0">
      <text>
        <r>
          <rPr>
            <b/>
            <sz val="8"/>
            <color indexed="81"/>
            <rFont val="Tahoma"/>
            <family val="2"/>
            <charset val="186"/>
          </rPr>
          <t>Juunioridel 2 €</t>
        </r>
      </text>
    </comment>
    <comment ref="F19" authorId="0">
      <text>
        <r>
          <rPr>
            <b/>
            <sz val="8"/>
            <color indexed="81"/>
            <rFont val="Tahoma"/>
            <family val="2"/>
            <charset val="186"/>
          </rPr>
          <t>Tallinn, Algi 38</t>
        </r>
      </text>
    </comment>
    <comment ref="F20" authorId="0">
      <text>
        <r>
          <rPr>
            <b/>
            <sz val="8"/>
            <color indexed="81"/>
            <rFont val="Tahoma"/>
            <family val="2"/>
            <charset val="186"/>
          </rPr>
          <t>Tallinn, Algi 38</t>
        </r>
      </text>
    </comment>
    <comment ref="F21" authorId="0">
      <text>
        <r>
          <rPr>
            <b/>
            <sz val="8"/>
            <color indexed="81"/>
            <rFont val="Tahoma"/>
            <family val="2"/>
            <charset val="186"/>
          </rPr>
          <t>Tallinn, Algi 38</t>
        </r>
      </text>
    </comment>
    <comment ref="H21" authorId="0">
      <text>
        <r>
          <rPr>
            <b/>
            <sz val="8"/>
            <color indexed="81"/>
            <rFont val="Tahoma"/>
            <family val="2"/>
            <charset val="186"/>
          </rPr>
          <t>Juunioridel 2 €</t>
        </r>
      </text>
    </comment>
    <comment ref="F23" authorId="0">
      <text>
        <r>
          <rPr>
            <b/>
            <sz val="8"/>
            <color indexed="81"/>
            <rFont val="Tahoma"/>
            <family val="2"/>
            <charset val="186"/>
          </rPr>
          <t>Tallinn, Algi 38</t>
        </r>
      </text>
    </comment>
    <comment ref="H23" authorId="0">
      <text>
        <r>
          <rPr>
            <b/>
            <sz val="8"/>
            <color indexed="81"/>
            <rFont val="Tahoma"/>
            <family val="2"/>
            <charset val="186"/>
          </rPr>
          <t>Juunioridel 2 €</t>
        </r>
      </text>
    </comment>
    <comment ref="F24" authorId="0">
      <text>
        <r>
          <rPr>
            <b/>
            <sz val="8"/>
            <color indexed="81"/>
            <rFont val="Tahoma"/>
            <family val="2"/>
            <charset val="186"/>
          </rPr>
          <t>Tallinn, Algi 38</t>
        </r>
      </text>
    </comment>
    <comment ref="F27" authorId="0">
      <text>
        <r>
          <rPr>
            <b/>
            <sz val="8"/>
            <color indexed="81"/>
            <rFont val="Tahoma"/>
            <family val="2"/>
            <charset val="186"/>
          </rPr>
          <t>Haapsalu, Niine 17</t>
        </r>
      </text>
    </comment>
    <comment ref="F29" authorId="0">
      <text>
        <r>
          <rPr>
            <b/>
            <sz val="8"/>
            <color indexed="81"/>
            <rFont val="Tahoma"/>
            <family val="2"/>
            <charset val="186"/>
          </rPr>
          <t>Tallinn, Algi 38</t>
        </r>
      </text>
    </comment>
    <comment ref="H30" authorId="0">
      <text>
        <r>
          <rPr>
            <b/>
            <sz val="8"/>
            <color indexed="81"/>
            <rFont val="Tahoma"/>
            <family val="2"/>
            <charset val="186"/>
          </rPr>
          <t>Juunioridel 2 €</t>
        </r>
      </text>
    </comment>
    <comment ref="H31" authorId="0">
      <text>
        <r>
          <rPr>
            <b/>
            <sz val="8"/>
            <color indexed="81"/>
            <rFont val="Tahoma"/>
            <family val="2"/>
            <charset val="186"/>
          </rPr>
          <t>Juunioridel 2 €</t>
        </r>
      </text>
    </comment>
    <comment ref="F32" authorId="0">
      <text>
        <r>
          <rPr>
            <b/>
            <sz val="8"/>
            <color indexed="81"/>
            <rFont val="Tahoma"/>
            <family val="2"/>
            <charset val="186"/>
          </rPr>
          <t>Tallinn, Algi 38</t>
        </r>
      </text>
    </comment>
    <comment ref="H32" authorId="0">
      <text>
        <r>
          <rPr>
            <b/>
            <sz val="8"/>
            <color indexed="81"/>
            <rFont val="Tahoma"/>
            <family val="2"/>
            <charset val="186"/>
          </rPr>
          <t>Juunioridel 2 €</t>
        </r>
      </text>
    </comment>
    <comment ref="F34" authorId="0">
      <text>
        <r>
          <rPr>
            <b/>
            <sz val="8"/>
            <color indexed="81"/>
            <rFont val="Tahoma"/>
            <family val="2"/>
            <charset val="186"/>
          </rPr>
          <t>Tallinn, Algi 38</t>
        </r>
      </text>
    </comment>
    <comment ref="F35" authorId="0">
      <text>
        <r>
          <rPr>
            <b/>
            <sz val="8"/>
            <color indexed="81"/>
            <rFont val="Tahoma"/>
            <family val="2"/>
            <charset val="186"/>
          </rPr>
          <t>Tallinn, Algi 38</t>
        </r>
      </text>
    </comment>
    <comment ref="H35" authorId="0">
      <text>
        <r>
          <rPr>
            <b/>
            <sz val="8"/>
            <color indexed="81"/>
            <rFont val="Tahoma"/>
            <family val="2"/>
            <charset val="186"/>
          </rPr>
          <t>Juunioridel 2 €</t>
        </r>
      </text>
    </comment>
    <comment ref="F37" authorId="0">
      <text>
        <r>
          <rPr>
            <b/>
            <sz val="8"/>
            <color indexed="81"/>
            <rFont val="Tahoma"/>
            <family val="2"/>
            <charset val="186"/>
          </rPr>
          <t>Tallinn, Algi 38</t>
        </r>
      </text>
    </comment>
    <comment ref="F38" authorId="0">
      <text>
        <r>
          <rPr>
            <b/>
            <sz val="8"/>
            <color indexed="81"/>
            <rFont val="Tahoma"/>
            <family val="2"/>
            <charset val="186"/>
          </rPr>
          <t>Tallinn, Algi 38</t>
        </r>
      </text>
    </comment>
    <comment ref="H38" authorId="0">
      <text>
        <r>
          <rPr>
            <b/>
            <sz val="8"/>
            <color indexed="81"/>
            <rFont val="Tahoma"/>
            <family val="2"/>
            <charset val="186"/>
          </rPr>
          <t>Juunioridel 2 €</t>
        </r>
      </text>
    </comment>
  </commentList>
</comments>
</file>

<file path=xl/comments2.xml><?xml version="1.0" encoding="utf-8"?>
<comments xmlns="http://schemas.openxmlformats.org/spreadsheetml/2006/main">
  <authors>
    <author>Author</author>
  </authors>
  <commentList>
    <comment ref="R1" authorId="0">
      <text>
        <r>
          <rPr>
            <b/>
            <sz val="8"/>
            <color indexed="81"/>
            <rFont val="Tahoma"/>
            <family val="2"/>
            <charset val="186"/>
          </rPr>
          <t>Koht - Punkte
1. - 25 p
2. - 20 p
3. - 16 p
4. - 12 p
5. -   9 p
6. -   7 p
7. -   5 p
8. -   4 p
9... - 2 p
DSQ - 0 p
DNS - Did not start
DNF - Did not finish</t>
        </r>
      </text>
    </comment>
    <comment ref="T1" authorId="0">
      <text>
        <r>
          <rPr>
            <b/>
            <sz val="8"/>
            <color indexed="81"/>
            <rFont val="Tahoma"/>
            <family val="2"/>
            <charset val="186"/>
          </rPr>
          <t>Koht - Punkte 
1. - 20 p
2. - 16 p
3. - 12 p
4. -   9 p
5. -   7 p
6. -   5 p
7. -   4 p
8. -   3 p
9... - 1 p
DSQ - 0 p
DNS - Did not start
DNF - Did not finish</t>
        </r>
      </text>
    </comment>
    <comment ref="F7" authorId="0">
      <text>
        <r>
          <rPr>
            <b/>
            <sz val="8"/>
            <color indexed="81"/>
            <rFont val="Tahoma"/>
            <family val="2"/>
            <charset val="186"/>
          </rPr>
          <t>Valem arvutab punktisumma ja võtab kehvemad tulemused maha.
Valem töötab Microsoft ja WPS Office-iga. 
Alati ei tööta Libre ja Open Office-iga.</t>
        </r>
      </text>
    </comment>
    <comment ref="A8" authorId="0">
      <text>
        <r>
          <rPr>
            <b/>
            <sz val="8"/>
            <color indexed="81"/>
            <rFont val="Tahoma"/>
            <family val="2"/>
            <charset val="186"/>
          </rPr>
          <t>Valem arvutab punktisumma järgi võistleja koha. 
Võrdse punktisumma korral annab kõrgema koha võistlejale, kellel on rohkem 25-t, siis rohkem 20-t, 16-t jne.
Valem töötab Microsoft ja WPS Office-iga. 
Alati ei tööta Libre ja Open Office-iga.</t>
        </r>
      </text>
    </comment>
    <comment ref="H8" authorId="0">
      <text>
        <r>
          <rPr>
            <b/>
            <sz val="8"/>
            <color indexed="81"/>
            <rFont val="Tahoma"/>
            <family val="2"/>
            <charset val="186"/>
          </rPr>
          <t>Valem töötab Microsoft ja WPS Office-ga. 
Ei tööta alati Libre ja Open Office-ga.
Valem arvutab punktisumma ja võtab kehvemad tulemused maha.</t>
        </r>
      </text>
    </comment>
    <comment ref="L95" authorId="0">
      <text>
        <r>
          <rPr>
            <b/>
            <sz val="8"/>
            <color indexed="81"/>
            <rFont val="Tahoma"/>
            <family val="2"/>
            <charset val="186"/>
          </rPr>
          <t>DNS – Did not start</t>
        </r>
      </text>
    </comment>
    <comment ref="D99" authorId="0">
      <text>
        <r>
          <rPr>
            <b/>
            <sz val="8"/>
            <color indexed="81"/>
            <rFont val="Tahoma"/>
            <family val="2"/>
            <charset val="186"/>
          </rPr>
          <t>Registreeritud oli Boriss Klubov, kuid osales keegi Narvast - vist Filipp Švarõgin
EPKL jättis kangekaelselt reitingusse Boriss Klubovi, kuigi ta ei osalenud ühelgi reitinguvõistlusel</t>
        </r>
      </text>
    </comment>
    <comment ref="P124" authorId="0">
      <text>
        <r>
          <rPr>
            <b/>
            <sz val="8"/>
            <color indexed="81"/>
            <rFont val="Tahoma"/>
            <family val="2"/>
            <charset val="186"/>
          </rPr>
          <t>valemis -0,5 asemel -1,5</t>
        </r>
      </text>
    </comment>
    <comment ref="T124" authorId="0">
      <text>
        <r>
          <rPr>
            <b/>
            <sz val="8"/>
            <color indexed="81"/>
            <rFont val="Tahoma"/>
            <family val="2"/>
            <charset val="186"/>
          </rPr>
          <t>valemis -0,5 asemel -1,5</t>
        </r>
      </text>
    </comment>
  </commentList>
</comments>
</file>

<file path=xl/comments3.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72"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73" authorId="0">
      <text>
        <r>
          <rPr>
            <b/>
            <sz val="8"/>
            <color indexed="81"/>
            <rFont val="Tahoma"/>
            <family val="2"/>
            <charset val="186"/>
          </rPr>
          <t>kahe veerandfinalisti võitja punktidele lisab 100.
paariliste esimesed saavad kohe 100, et mittte edasisaanute RANK algaks 5-st kohast, mitte 2-st</t>
        </r>
      </text>
    </comment>
    <comment ref="Y75" authorId="0">
      <text>
        <r>
          <rPr>
            <b/>
            <sz val="8"/>
            <color indexed="81"/>
            <rFont val="Tahoma"/>
            <family val="2"/>
            <charset val="186"/>
          </rPr>
          <t>5-e punkti viskeid kahe vooru peale 4</t>
        </r>
      </text>
    </comment>
    <comment ref="Y76" authorId="0">
      <text>
        <r>
          <rPr>
            <b/>
            <sz val="8"/>
            <color indexed="81"/>
            <rFont val="Tahoma"/>
            <family val="2"/>
            <charset val="186"/>
          </rPr>
          <t>5-e punkti viskeid kahe vooru peale 3</t>
        </r>
      </text>
    </comment>
    <comment ref="Y77" authorId="0">
      <text>
        <r>
          <rPr>
            <b/>
            <sz val="8"/>
            <color indexed="81"/>
            <rFont val="Tahoma"/>
            <family val="2"/>
            <charset val="186"/>
          </rPr>
          <t>5-e punkti viskeid kahe vooru peale 2</t>
        </r>
      </text>
    </comment>
    <comment ref="Z111"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4.xml><?xml version="1.0" encoding="utf-8"?>
<comments xmlns="http://schemas.openxmlformats.org/spreadsheetml/2006/main">
  <authors>
    <author>Author</author>
  </authors>
  <commentList>
    <comment ref="Y7"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Y72" authorId="0">
      <text>
        <r>
          <rPr>
            <b/>
            <sz val="8"/>
            <color indexed="81"/>
            <rFont val="Tahoma"/>
            <family val="2"/>
            <charset val="186"/>
          </rPr>
          <t xml:space="preserve">Eelvooru ja vahevooru punktide summa. 
Võrdse summa korral loeti kokku mängija 5-e punkti visked mõlemas voorus (kui ka neid oli võrdselt, siis 3-e punkti visked).
</t>
        </r>
        <r>
          <rPr>
            <sz val="8"/>
            <color indexed="81"/>
            <rFont val="Tahoma"/>
            <family val="2"/>
            <charset val="186"/>
          </rPr>
          <t>01.01.2017 kehtima hakanud rahvusvaheliste reeglite järgi</t>
        </r>
      </text>
    </comment>
    <comment ref="Z73" authorId="0">
      <text>
        <r>
          <rPr>
            <b/>
            <sz val="8"/>
            <color indexed="81"/>
            <rFont val="Tahoma"/>
            <family val="2"/>
            <charset val="186"/>
          </rPr>
          <t>kahe veerandfinalisti võitja punktidele lisab 100.
paariliste esimesed saavad kohe 100, et mittte edasisaanute RANK algaks 5-st kohast, mitte 2-st</t>
        </r>
      </text>
    </comment>
    <comment ref="Y80" authorId="0">
      <text>
        <r>
          <rPr>
            <b/>
            <sz val="8"/>
            <color indexed="81"/>
            <rFont val="Tahoma"/>
            <family val="2"/>
            <charset val="186"/>
          </rPr>
          <t>5-e punkti viskeid kahe vooru peale 2</t>
        </r>
      </text>
    </comment>
    <comment ref="Y83" authorId="0">
      <text>
        <r>
          <rPr>
            <b/>
            <sz val="8"/>
            <color indexed="81"/>
            <rFont val="Tahoma"/>
            <family val="2"/>
            <charset val="186"/>
          </rPr>
          <t>5-e punkti viskeid kahe vooru peale 4</t>
        </r>
      </text>
    </comment>
    <comment ref="Y84" authorId="0">
      <text>
        <r>
          <rPr>
            <b/>
            <sz val="8"/>
            <color indexed="81"/>
            <rFont val="Tahoma"/>
            <family val="2"/>
            <charset val="186"/>
          </rPr>
          <t>5-e punkti viskeid kahe vooru peale 3</t>
        </r>
      </text>
    </comment>
    <comment ref="Z111" authorId="0">
      <text>
        <r>
          <rPr>
            <b/>
            <sz val="8"/>
            <color indexed="81"/>
            <rFont val="Tahoma"/>
            <family val="2"/>
            <charset val="186"/>
          </rPr>
          <t>kahe veerandfinalisti võitja punktidele lisab 100.
paariliste esimesed saavad kohe 100, et mittte edasisaanute RANK algaks 5-st kohast, mitte 2-st</t>
        </r>
      </text>
    </comment>
  </commentList>
</comments>
</file>

<file path=xl/comments5.xml><?xml version="1.0" encoding="utf-8"?>
<comments xmlns="http://schemas.openxmlformats.org/spreadsheetml/2006/main">
  <authors>
    <author>Author</author>
  </authors>
  <commentList>
    <comment ref="D7" authorId="0">
      <text>
        <r>
          <rPr>
            <b/>
            <sz val="8"/>
            <color indexed="81"/>
            <rFont val="Tahoma"/>
            <family val="2"/>
            <charset val="186"/>
          </rPr>
          <t>EPKL lehel 12 punkti</t>
        </r>
      </text>
    </comment>
    <comment ref="C9" authorId="0">
      <text>
        <r>
          <rPr>
            <b/>
            <sz val="8"/>
            <color indexed="81"/>
            <rFont val="Tahoma"/>
            <family val="2"/>
            <charset val="186"/>
          </rPr>
          <t>EPKL lehel 1 punkt</t>
        </r>
      </text>
    </comment>
  </commentList>
</comments>
</file>

<file path=xl/sharedStrings.xml><?xml version="1.0" encoding="utf-8"?>
<sst xmlns="http://schemas.openxmlformats.org/spreadsheetml/2006/main" count="3247" uniqueCount="733">
  <si>
    <t>Punktid:</t>
  </si>
  <si>
    <t>ESMV</t>
  </si>
  <si>
    <t>Kuld</t>
  </si>
  <si>
    <t>Hõbe</t>
  </si>
  <si>
    <t>Pronks</t>
  </si>
  <si>
    <t xml:space="preserve"> </t>
  </si>
  <si>
    <t>Osalusi</t>
  </si>
  <si>
    <t>Reiting</t>
  </si>
  <si>
    <t>Meda</t>
  </si>
  <si>
    <t>Eesti</t>
  </si>
  <si>
    <t>leid</t>
  </si>
  <si>
    <t>Või</t>
  </si>
  <si>
    <t>meis</t>
  </si>
  <si>
    <t>***</t>
  </si>
  <si>
    <t>**</t>
  </si>
  <si>
    <t>S**</t>
  </si>
  <si>
    <t>S***</t>
  </si>
  <si>
    <t>te</t>
  </si>
  <si>
    <t>ter</t>
  </si>
  <si>
    <t>Koht</t>
  </si>
  <si>
    <t>Võistleja nimi</t>
  </si>
  <si>
    <t>Kokku</t>
  </si>
  <si>
    <t>valem2</t>
  </si>
  <si>
    <t>valem1</t>
  </si>
  <si>
    <t>Aigar Lusbo</t>
  </si>
  <si>
    <t>Ivar Viljaste</t>
  </si>
  <si>
    <t>Kalju Olmre</t>
  </si>
  <si>
    <t>Sirje Viljaste</t>
  </si>
  <si>
    <t>Aivar Sein</t>
  </si>
  <si>
    <t>Merike Lusbo</t>
  </si>
  <si>
    <t>Ülo Piik</t>
  </si>
  <si>
    <t>Mait Metsla</t>
  </si>
  <si>
    <t>Matti Vinni</t>
  </si>
  <si>
    <t>Marina Vallik</t>
  </si>
  <si>
    <t>Maive Sein</t>
  </si>
  <si>
    <t>Kadri Arunurm</t>
  </si>
  <si>
    <t>Varje Reede</t>
  </si>
  <si>
    <t>Egert Kingissepp</t>
  </si>
  <si>
    <t>Arvi Palla</t>
  </si>
  <si>
    <t>Kadri Veljend</t>
  </si>
  <si>
    <t>Alar Sinimäe</t>
  </si>
  <si>
    <t>Silver Kingissepp</t>
  </si>
  <si>
    <t>Aarne Välja</t>
  </si>
  <si>
    <t>Margus Limberg</t>
  </si>
  <si>
    <t>Marge Mägi</t>
  </si>
  <si>
    <t>Mare Kingissepp</t>
  </si>
  <si>
    <t>Thibaut Sergeï Mathon</t>
  </si>
  <si>
    <t>Mihkel Palk</t>
  </si>
  <si>
    <t>Priit Koppel</t>
  </si>
  <si>
    <t>Oskar Sepp</t>
  </si>
  <si>
    <t>Tiit Palk</t>
  </si>
  <si>
    <t>Marek Kolk</t>
  </si>
  <si>
    <t>Helle Siidla</t>
  </si>
  <si>
    <t>Vello Sillasoo</t>
  </si>
  <si>
    <t>Janek Kiisk</t>
  </si>
  <si>
    <t>Margo Peebo</t>
  </si>
  <si>
    <t>Vallo Sillamaa</t>
  </si>
  <si>
    <t>Eve Oidsalu</t>
  </si>
  <si>
    <t>Hardo Sokk</t>
  </si>
  <si>
    <t>Kaido Kopel</t>
  </si>
  <si>
    <t>Kalle Orro</t>
  </si>
  <si>
    <t>Aigi Orro</t>
  </si>
  <si>
    <t>Anne Sillamaa</t>
  </si>
  <si>
    <t>Vello Vasser</t>
  </si>
  <si>
    <t>Rutt Voldek</t>
  </si>
  <si>
    <t>Jaanus Kasper</t>
  </si>
  <si>
    <t>Margus Strööm</t>
  </si>
  <si>
    <t>Osalejaid</t>
  </si>
  <si>
    <t>Võistkondi</t>
  </si>
  <si>
    <t>A-puul</t>
  </si>
  <si>
    <t>1-4, 2-3</t>
  </si>
  <si>
    <t>Võitjad</t>
  </si>
  <si>
    <t>Kaotajad</t>
  </si>
  <si>
    <t>VK-KV</t>
  </si>
  <si>
    <t>I</t>
  </si>
  <si>
    <t>II</t>
  </si>
  <si>
    <t>III</t>
  </si>
  <si>
    <t>B-puul</t>
  </si>
  <si>
    <t>C-puul</t>
  </si>
  <si>
    <t>1 - 8 koht</t>
  </si>
  <si>
    <t>D1</t>
  </si>
  <si>
    <t>B2</t>
  </si>
  <si>
    <t>A1</t>
  </si>
  <si>
    <t>C2</t>
  </si>
  <si>
    <t>B1</t>
  </si>
  <si>
    <t>I koht</t>
  </si>
  <si>
    <t>D2</t>
  </si>
  <si>
    <t>II koht</t>
  </si>
  <si>
    <t>C1</t>
  </si>
  <si>
    <t>A2</t>
  </si>
  <si>
    <t>III koht</t>
  </si>
  <si>
    <t>4. koht</t>
  </si>
  <si>
    <t>5. koht</t>
  </si>
  <si>
    <t>6. koht</t>
  </si>
  <si>
    <t>7. koht</t>
  </si>
  <si>
    <t>8. koht</t>
  </si>
  <si>
    <t>Aigar Lusbo, Merike Lusbo</t>
  </si>
  <si>
    <t>Maive Sein, Varje Reede</t>
  </si>
  <si>
    <t>IV</t>
  </si>
  <si>
    <t>Ivar Viljaste, Sirje Viljaste</t>
  </si>
  <si>
    <t>Mati Tapo, Vello Sillasoo</t>
  </si>
  <si>
    <t>1 - 6 koht</t>
  </si>
  <si>
    <t>-</t>
  </si>
  <si>
    <t>A3</t>
  </si>
  <si>
    <t>A4</t>
  </si>
  <si>
    <t>B3</t>
  </si>
  <si>
    <t>C3</t>
  </si>
  <si>
    <t>9. koht</t>
  </si>
  <si>
    <t>10. koht</t>
  </si>
  <si>
    <t>11. koht</t>
  </si>
  <si>
    <t>K</t>
  </si>
  <si>
    <t>Kadri Arunurm, Kalju Olmre</t>
  </si>
  <si>
    <t>Vallo Sillamaa, Vello Sillasoo</t>
  </si>
  <si>
    <t>Mihkel Palk, Tiit Palk</t>
  </si>
  <si>
    <t>1 - 4 koht</t>
  </si>
  <si>
    <t>E1</t>
  </si>
  <si>
    <t>F1</t>
  </si>
  <si>
    <t>E2</t>
  </si>
  <si>
    <t>F2</t>
  </si>
  <si>
    <t>5 - 8 koht</t>
  </si>
  <si>
    <t>9-12</t>
  </si>
  <si>
    <t>13-18</t>
  </si>
  <si>
    <t>9-10</t>
  </si>
  <si>
    <t>Marge Mägi, Marina Vallik</t>
  </si>
  <si>
    <t>Katri Aavekukk, Külli Kariste</t>
  </si>
  <si>
    <t>Aivar Sein, Kadri Veljend</t>
  </si>
  <si>
    <t>Anne Sillamaa, Vallo Sillamaa</t>
  </si>
  <si>
    <t>12. koht</t>
  </si>
  <si>
    <t>Anne Sillamaa, Vallo Sillamaa, Vello Sillasoo</t>
  </si>
  <si>
    <t>1. EESTI SISEHOOAJA MEISTRIVÕISTLUSED:</t>
  </si>
  <si>
    <t>2. SISEHOOAJA REITINGUVÕISTLUSED:</t>
  </si>
  <si>
    <t>Reitingupunkte arvestatakse juhul, kui osaleb vähemalt 6 võistkonda.</t>
  </si>
  <si>
    <t>Võrdsete punktide korral saab kõrgema koha võistleja, kellel on rohkem kõrgemaid punkte.</t>
  </si>
  <si>
    <t>Sisehooaja reitingu lõpparvestus kajastub suvereitingu arvestuses ühe reitinguvõistlusena,</t>
  </si>
  <si>
    <t>mis läheb igal juhul arvesse. Näiteks sisehooaja reitingu lõpparvestuse 6 koht saab</t>
  </si>
  <si>
    <t>1. ÜLDSÄTTED</t>
  </si>
  <si>
    <t>1.1. Antud võistluste läbiviimise juhend laieneb kõigile EPKL-i egiidi all toimuvatele võistlustele.</t>
  </si>
  <si>
    <t>1.2. Käesoleva juhendi järgi võistluste läbiviijaks on EPKL, mõni EPKL-i klubi või mitu klubi koos.</t>
  </si>
  <si>
    <t>1.3. Võistlused toimuvad rahvusvaheliste reeglite järgi.</t>
  </si>
  <si>
    <t>2. VÕISTLUSTE KALENDER</t>
  </si>
  <si>
    <t>2.2. Kinnitatud ja lõplik võistluste kalender saadetakse vahetult kõigile klubidele ning pannakse üles EPKL-i kodulehele.</t>
  </si>
  <si>
    <t>2.3. Võistluste kalendri muudatustest peab korraldaja omal kulul teatama EPKL-le ja kõigile klubidele vähemalt üks kuu enne võistluste toimumise aega. Vastasel korral kaotab klubi õiguse võistluste korraldamiseks järgmisel aastal.</t>
  </si>
  <si>
    <t>3. KEELATUD AINED</t>
  </si>
  <si>
    <t>4. VÕISTLUSTE KORRALDAMINE</t>
  </si>
  <si>
    <t>4.1. ÜLDINE</t>
  </si>
  <si>
    <t>4.1.1. Võistluspaigas peab olema sekretariaadi töökoht, kust võib saada teavet ja ka esmaabi (näiteks vähemalt autoapteek). Soovitav on ka riiete vahetamise ja pesemise koht võistluspaiga läheduses.</t>
  </si>
  <si>
    <t>4.1.2. Korraldajatel tuleb informeerida WC asukohast.</t>
  </si>
  <si>
    <t>4.2. ÜLESANDMINE</t>
  </si>
  <si>
    <t>4.2.1. Ülesandmine toimub vastavalt võistluskutses märgitule.</t>
  </si>
  <si>
    <t>4.3 OSAVÕTUMAKSUD</t>
  </si>
  <si>
    <t>4.4 ŽÜRII</t>
  </si>
  <si>
    <t>4.5. VÄLJAKUD</t>
  </si>
  <si>
    <t>4.5.1. Väljakud peavad olema võimalikult ühesugused kõigile võistlejatele.</t>
  </si>
  <si>
    <t>4.5.2. Väljakutel peab olema küllaldane valgustus.</t>
  </si>
  <si>
    <t>4.6. EPKL´i SPONSORITE REKLAAMID</t>
  </si>
  <si>
    <t>4.7. MÄNGIJAD JA ASETUSED</t>
  </si>
  <si>
    <t>4.8. VÄLISMAISED PETANKERID</t>
  </si>
  <si>
    <t>4.8.1. Sisehooaja võistlustel ei ole piiranguid.</t>
  </si>
  <si>
    <t>4.9. VÕISTLEJATE RIIETUS</t>
  </si>
  <si>
    <t>4.9.1. Riietus peab vastama rahvusvaheliste võistlusmääruste nõuetele.</t>
  </si>
  <si>
    <t>4.9.2. Mängijad peavad olema riietatud kultuurselt.</t>
  </si>
  <si>
    <t>4.10. VÕISTLUSTE LÄBIVIIMISE SÜSTEEMID</t>
  </si>
  <si>
    <t>4.10.1 Petanque on võistlus kahe võistkonna/mängija vahelisest paremusest.</t>
  </si>
  <si>
    <t>4.10.2. Võistluste läbiviimise süsteemid peavad tagama võitjate võimalikult õiglasema väljaselgitamise.</t>
  </si>
  <si>
    <t>4.10.4. Võistlused viiakse läbi mängudega puuli- ja karikasüsteemis.</t>
  </si>
  <si>
    <t>4.10.6. Jätkates karikasüsteemis võib puulide võitjad ja teised kohad loosida kohe segamini, kuid siiski nii, et sama puuli esimesed ja teised ei satuks esimeses ringis vastamisi. Kui võistlustel on 4 või 8 puuli, siis karikasüsteemi paigutamisel ei tohi sama puuli võistkonnad omavahel kohtuda enne finaali.</t>
  </si>
  <si>
    <t>4.10.8. Karikasüsteemis loositakse paarid zürii poolt ühekordselt enne karikaringi algust ja edasised karikaringid toimuvad tabeli järgi. </t>
  </si>
  <si>
    <t>4.10.9. Reitinguvõistlustel mängitakse ALATI puulisüsteemis + karikaringid. Puuliringide arv sõltub võistkondade arvust.</t>
  </si>
  <si>
    <t>4.10.10. Kui mängitakse üks puuli ring, siis on võistlussüsteem alljärgnev:</t>
  </si>
  <si>
    <t>5. KARISTUSED EBAKORREKTSE KÄITUMISE KORRAL </t>
  </si>
  <si>
    <t>Mängija, kes eksib sportliku käitumise reeglite vastu, või veelgi hullemi, näidates üles mitteaustust (nt. alkoholijoobes olek, jne) või vägivaldsust korraldajate, kohtunike, teiste mängijate või pealtvaatajate suhtes, saab karistatud sõltuvalt vea suurusest ühe või mitme karistusega, mis on toodud alljärgnevalt:</t>
  </si>
  <si>
    <t>1. Võistlustelt eemaldamine – määrab võistluste žürii, kelle otsus on lõplik.</t>
  </si>
  <si>
    <t>2. Litsentsi tühistamine või väljastamisest keeldumine – teeb ettepaneku võistluste žürii, otsustab EPKL-i juhatus.</t>
  </si>
  <si>
    <t>3. Auhindade konfiskeerimine, tagasivõtmine või hüvitamine – määrab korralduskomitee. Karistus, mis on rakendatud ühe mängija suhtes võib laieneda ka tema võistkonnaliikmetele</t>
  </si>
  <si>
    <t>Naiste S/TUL</t>
  </si>
  <si>
    <t>Peep Puiestik</t>
  </si>
  <si>
    <t>Ü L D R E I T I N G</t>
  </si>
  <si>
    <t>Marko Ode</t>
  </si>
  <si>
    <t>Marek Kolk, Merike Lusbo</t>
  </si>
  <si>
    <r>
      <t>A-puul</t>
    </r>
    <r>
      <rPr>
        <sz val="10"/>
        <color theme="1"/>
        <rFont val="Arial"/>
        <family val="2"/>
        <charset val="186"/>
      </rPr>
      <t xml:space="preserve"> 10:00</t>
    </r>
  </si>
  <si>
    <r>
      <t>B-puul</t>
    </r>
    <r>
      <rPr>
        <sz val="10"/>
        <color theme="1"/>
        <rFont val="Arial"/>
        <family val="2"/>
        <charset val="186"/>
      </rPr>
      <t xml:space="preserve"> 10:00</t>
    </r>
  </si>
  <si>
    <r>
      <t>D-puul</t>
    </r>
    <r>
      <rPr>
        <sz val="10"/>
        <color theme="1"/>
        <rFont val="Arial"/>
        <family val="2"/>
        <charset val="186"/>
      </rPr>
      <t xml:space="preserve"> 10:00</t>
    </r>
  </si>
  <si>
    <r>
      <t>E-puul</t>
    </r>
    <r>
      <rPr>
        <sz val="10"/>
        <color theme="1"/>
        <rFont val="Arial"/>
        <family val="2"/>
        <charset val="186"/>
      </rPr>
      <t xml:space="preserve"> 10:00</t>
    </r>
  </si>
  <si>
    <t>7.</t>
  </si>
  <si>
    <t>8.</t>
  </si>
  <si>
    <t>EESTI PETANGI SISEHOOAJA REITING 2016-2017</t>
  </si>
  <si>
    <t>SISEVÕISTLUSTE JUHEND 2016–2017</t>
  </si>
  <si>
    <t>2.1. EPKL sisehooaja kalender kinnitatakse 20. oktoobriks 2016 EPKL-i juhatuse poolt.</t>
  </si>
  <si>
    <t>3.2. Võistluste peakohtunik kõrvaldab, EPKLi juhatuse liikme või võistluste zhüriiliikme taotlusel, võistlustelt võistleja, kes on alkoholijoobes või tarvitab muid spordis keelatud aineid. Karistused on toodud punktis 5.</t>
  </si>
  <si>
    <t>4.3.1. Osavõtumaks on mitte rohkem kui 8€ petankeri kohta, juuniorid 2€.</t>
  </si>
  <si>
    <t>4.4.1. Žürii on 3 liikmeline ja moodustab võistluste korraldaja. Sinna kuuluvad peakohtunik ja kaks mängijate esindajat. Žürii otsused on lõplikud. Häälte võrdsuse korral otsustab peakohtuniku hääl.</t>
  </si>
  <si>
    <t>4.7.1. Puulidesse asetamisel arvestatakse jooksva aasta reitingupunkte. Puulidesse loositakse tugevusgruppide alusel vastavalt puulide arvule. Karikasüsteemi loositakse peale puulide lõppu koha peal. Loosimise teostab võistluste žürii. Kehtib võistlustele eelneva kolmapäeva seisuga reitingutabel. Sisehooaja esimesel võistlusel arvestatakse 2016. aasta suvehooaja reitingutabelit. </t>
  </si>
  <si>
    <t>4.10.3. Mängupäevale ei ole soovitatav planeerida voore rohkem kui kaheksa (8) trios ja üheksa (9) paarismängus. Suurema hulga mängude puhul soovitatakse puulimänge alustada seisult 2:2 või mängitakse  ajamänguna. Seda otsustab peale registreerimise lõppu võistluste žürii.</t>
  </si>
  <si>
    <t>4.10.11. Puulist välja langemisel korraldatakse soovijatele uus võistlus, vabade väljakute olemasolul.</t>
  </si>
  <si>
    <t>Sisehooaja reiting 2016/2017 koosneb 12 alljärgnevast võistlusest:</t>
  </si>
  <si>
    <t>Arvesse lähevad Eesti sisehooaja meistrivõistlustest 4 paremat ja reitinguvõistlustest 4</t>
  </si>
  <si>
    <t>parema võistluse tulemused.</t>
  </si>
  <si>
    <t>Punkte antakse vastavalt alljärgnevale tabelile:</t>
  </si>
  <si>
    <t>4.</t>
  </si>
  <si>
    <t>5.</t>
  </si>
  <si>
    <t>6.</t>
  </si>
  <si>
    <t>Auhinnad reitingu kolmele paremale:</t>
  </si>
  <si>
    <t>I koht - 100 EUR</t>
  </si>
  <si>
    <t>II koht - 60 EUR</t>
  </si>
  <si>
    <t>III koht - 40 EUR</t>
  </si>
  <si>
    <t>Auhind parimale juuniorile ja eriauhinnad.</t>
  </si>
  <si>
    <t>Eesmärk:</t>
  </si>
  <si>
    <t>Propageerida petangimängu kogu vabariigis ka talvisel perioodil. Selgitada välja regioonide parim võistkond talvisel hooajal.</t>
  </si>
  <si>
    <t>Osalejad:</t>
  </si>
  <si>
    <t>Osaleda võivad kõik mängijad. Mängija saab osaleda oma elukoha järgses regioonis.</t>
  </si>
  <si>
    <t>Võistlusviis:</t>
  </si>
  <si>
    <t>Trio ( võistkonnas kuni 4 mängijat), kusjuures ükski mängija ei tohi Regioonivõistluse raames osaleda kahe erineva võistkonna koosseisus.</t>
  </si>
  <si>
    <t>Regioonid:</t>
  </si>
  <si>
    <t>Lõuna: Jõgevamaa, Tartumaa, Valgamaa, Võrumaa, Põlvamaa, Viljandimaa</t>
  </si>
  <si>
    <t>Lääs: Läänemaa, Hiiumaa, Saaremaa, Pärnumaa</t>
  </si>
  <si>
    <t>Põhi: Harjumaa, Raplamaa, Tallinn</t>
  </si>
  <si>
    <t>Võistluste läbiviimise süsteem:</t>
  </si>
  <si>
    <t>Võistlused peetakse 3-etapilistena:</t>
  </si>
  <si>
    <t>Mängud mängitakse alagrupi süsteemis + karikas.</t>
  </si>
  <si>
    <t>Kui võistlustele registreerub:</t>
  </si>
  <si>
    <t>1) 2 võistkonda, siis on neil automaatselt õigus osaleda finaalis.</t>
  </si>
  <si>
    <t>6) 12 - 16 võistkonda, 4 alagruppi + karikas( veerandfinaal, poolfinaal, finaal. Võimalusel mängitakse ka tagumised kohad välja või kohad saadakse mängude suhte järgi)                                            </t>
  </si>
  <si>
    <t>I etapil võistkonnad loositakse tabelisse. II etapil saavad võistkonnad asetuse esimese etapi paremusjärjestuse alusel. </t>
  </si>
  <si>
    <t>1) omavahelistes mängudes saavutatud võidud,</t>
  </si>
  <si>
    <t>2) omavaheliste mängude punktide vahe,</t>
  </si>
  <si>
    <t>Finaali pääseb igast regioonist 2 paremat võistkonda. Võisteldakse kahes alagrupis ning ühe regiooni võistkonnad võistlevad erinevates alagruppides. Peale alagruppi on karikas, kus selgub parim võistkond, kes esindab oma regiooni.</t>
  </si>
  <si>
    <t>Võistluste toimumise kohad:</t>
  </si>
  <si>
    <t>Ida:  Kohtla-Järve sisehall, Spordi 2</t>
  </si>
  <si>
    <t>Lõuna: Valga sisehall, Tiigi tänav</t>
  </si>
  <si>
    <t>Lääs: Haapsalu sisehall, Niine 17</t>
  </si>
  <si>
    <t>Põhi: Tallinna sisehall, Algi 38</t>
  </si>
  <si>
    <t>Punktide arvestus:</t>
  </si>
  <si>
    <t>Regiooni punktiarvestus:   </t>
  </si>
  <si>
    <t>2. 18 punkti                    10. 8 punkti</t>
  </si>
  <si>
    <t>3. 16 punkti                    11. 7 punkti</t>
  </si>
  <si>
    <t>4. 14 punkti                    12. 6 punkti</t>
  </si>
  <si>
    <t>5. 13 punkti                    13. 5 punkti</t>
  </si>
  <si>
    <t>6. 12 punkti                    14. 4 punkti</t>
  </si>
  <si>
    <t>7. 11 punkti                    15. 3 punkti</t>
  </si>
  <si>
    <t>Kahe etapi punktid liidetakse. Võrdsete punktide korral saab kõrgema koha teisel etapil kõrgema koha saanud võistkond.</t>
  </si>
  <si>
    <t>Auhinnad: </t>
  </si>
  <si>
    <t>Tulemuste teatamine:</t>
  </si>
  <si>
    <t>Võistlustele järgneva päeva õhtuks EPKL-le.</t>
  </si>
  <si>
    <t>Registreerimine:</t>
  </si>
  <si>
    <t>3) üldine punktide vahe.                                                                        </t>
  </si>
  <si>
    <t>Alagrupis võrdsete punktide korral selgitatakse paremusjärjestus järgnevalt:</t>
  </si>
  <si>
    <t>*</t>
  </si>
  <si>
    <t>TUL</t>
  </si>
  <si>
    <t>K-Järve</t>
  </si>
  <si>
    <t>Gunnar Hiiu</t>
  </si>
  <si>
    <t>Kevin Sten Liik</t>
  </si>
  <si>
    <t>Kristjan Raudsepp</t>
  </si>
  <si>
    <t>Sille-Liisi Eving</t>
  </si>
  <si>
    <t>Svetlana Veski</t>
  </si>
  <si>
    <t>Andres Veski</t>
  </si>
  <si>
    <t>Vahur Raudsepp</t>
  </si>
  <si>
    <t>Heigo Kullang</t>
  </si>
  <si>
    <t>Piret Kopel</t>
  </si>
  <si>
    <t>Katrin Tiido</t>
  </si>
  <si>
    <t xml:space="preserve">Martha Aavisto </t>
  </si>
  <si>
    <t xml:space="preserve">Katri Aavekukk </t>
  </si>
  <si>
    <t>Urmo Auväärt</t>
  </si>
  <si>
    <t>Margus Vasser</t>
  </si>
  <si>
    <t xml:space="preserve">Heili Vasser </t>
  </si>
  <si>
    <t>Viktor Švarõgin</t>
  </si>
  <si>
    <t xml:space="preserve">Ljudmila Varendi </t>
  </si>
  <si>
    <t>III etapp (finaal) Tallinnas</t>
  </si>
  <si>
    <t>I ja II etapp mängitakse regioonides</t>
  </si>
  <si>
    <t>Toomas Reede</t>
  </si>
  <si>
    <t>Kaarel Mikk</t>
  </si>
  <si>
    <t>Margus Berkmann</t>
  </si>
  <si>
    <t>Roman Olmre</t>
  </si>
  <si>
    <t>Kuupäev</t>
  </si>
  <si>
    <t>Aeg</t>
  </si>
  <si>
    <t>Võistlus</t>
  </si>
  <si>
    <t>Mänguviis</t>
  </si>
  <si>
    <t>R</t>
  </si>
  <si>
    <t>Toimumiskoht</t>
  </si>
  <si>
    <t>Korraldaja</t>
  </si>
  <si>
    <t>T</t>
  </si>
  <si>
    <t>Osal</t>
  </si>
  <si>
    <t>11:00</t>
  </si>
  <si>
    <t>Trio</t>
  </si>
  <si>
    <t>10:00</t>
  </si>
  <si>
    <t>Duo</t>
  </si>
  <si>
    <t>Üksik</t>
  </si>
  <si>
    <t>EPKL</t>
  </si>
  <si>
    <t>Segatrio</t>
  </si>
  <si>
    <t>10:30</t>
  </si>
  <si>
    <t>Tulistamine</t>
  </si>
  <si>
    <t>Viimased muudatused on punasega</t>
  </si>
  <si>
    <t>EESTI PETANGIKALENDER 2016-2017</t>
  </si>
  <si>
    <t>Seisuga 09.12.2016</t>
  </si>
  <si>
    <t>L, 05.11.2016</t>
  </si>
  <si>
    <t>P, 20.11.2016</t>
  </si>
  <si>
    <t>L, 26.11.2016</t>
  </si>
  <si>
    <t>P, 27.11.2016</t>
  </si>
  <si>
    <t>L, 03.12.2016</t>
  </si>
  <si>
    <t>P, 04.12.2016</t>
  </si>
  <si>
    <t>P, 11.12.2016</t>
  </si>
  <si>
    <t>Loosi</t>
  </si>
  <si>
    <t>Kohtla-Järve</t>
  </si>
  <si>
    <t>L, 17.12.2016</t>
  </si>
  <si>
    <t>L, 07.01.2017</t>
  </si>
  <si>
    <t>P, 08.01.2017</t>
  </si>
  <si>
    <t>WICIA</t>
  </si>
  <si>
    <t>K-Järve SHK</t>
  </si>
  <si>
    <t>L, 21.01.2017</t>
  </si>
  <si>
    <t>L, 04.02.2017</t>
  </si>
  <si>
    <t>L, 18.02.2017</t>
  </si>
  <si>
    <t>P, 19.02.2017</t>
  </si>
  <si>
    <t>L, 04.03.2017</t>
  </si>
  <si>
    <t>L, 11.03.2017</t>
  </si>
  <si>
    <t>P, 12.03.2017</t>
  </si>
  <si>
    <t>L, 25.03.2017</t>
  </si>
  <si>
    <t>Segaduo</t>
  </si>
  <si>
    <t>L, 01.04.2017</t>
  </si>
  <si>
    <t>P, 09.04.2017</t>
  </si>
  <si>
    <t>L, 22.04.2017</t>
  </si>
  <si>
    <t>P, 23.04.2017</t>
  </si>
  <si>
    <r>
      <t>A-puul</t>
    </r>
    <r>
      <rPr>
        <sz val="10"/>
        <color theme="1"/>
        <rFont val="Arial"/>
        <family val="2"/>
        <charset val="186"/>
      </rPr>
      <t xml:space="preserve"> 10:30</t>
    </r>
  </si>
  <si>
    <r>
      <t>B-puul</t>
    </r>
    <r>
      <rPr>
        <sz val="10"/>
        <color theme="1"/>
        <rFont val="Arial"/>
        <family val="2"/>
        <charset val="186"/>
      </rPr>
      <t xml:space="preserve"> 10:30</t>
    </r>
  </si>
  <si>
    <r>
      <t>C-puul</t>
    </r>
    <r>
      <rPr>
        <sz val="10"/>
        <color theme="1"/>
        <rFont val="Arial"/>
        <family val="2"/>
        <charset val="186"/>
      </rPr>
      <t xml:space="preserve"> 10:30</t>
    </r>
  </si>
  <si>
    <r>
      <t>F-puul</t>
    </r>
    <r>
      <rPr>
        <sz val="10"/>
        <color theme="1"/>
        <rFont val="Arial"/>
        <family val="2"/>
        <charset val="186"/>
      </rPr>
      <t xml:space="preserve"> 10:30</t>
    </r>
  </si>
  <si>
    <r>
      <t>D-puul</t>
    </r>
    <r>
      <rPr>
        <sz val="10"/>
        <color theme="1"/>
        <rFont val="Arial"/>
        <family val="2"/>
        <charset val="186"/>
      </rPr>
      <t xml:space="preserve"> 12:30</t>
    </r>
  </si>
  <si>
    <r>
      <t>E-puul</t>
    </r>
    <r>
      <rPr>
        <sz val="10"/>
        <color theme="1"/>
        <rFont val="Arial"/>
        <family val="2"/>
        <charset val="186"/>
      </rPr>
      <t xml:space="preserve"> 12:30</t>
    </r>
  </si>
  <si>
    <t>Andres Veski, Svetlana Veski</t>
  </si>
  <si>
    <t>Gunnar Hiiu, Marek Kolk</t>
  </si>
  <si>
    <t>Peep Puiestik, Priit Koppel</t>
  </si>
  <si>
    <t>Alar Sinimäe, Kristjan Raudsepp</t>
  </si>
  <si>
    <t>Egert Kingissepp, Silver Kingissepp</t>
  </si>
  <si>
    <t>Janek Kiisk, Margus Strööm</t>
  </si>
  <si>
    <t>Aigi Orro, Kalle Orro</t>
  </si>
  <si>
    <t>Kevin Sten Liik, Mare Kingissepp</t>
  </si>
  <si>
    <t>Margo Peebo, Marko Ode</t>
  </si>
  <si>
    <t>Aarne Välja, Margus Limberg</t>
  </si>
  <si>
    <t>Jaanus Kasper, Sille-Liisi Eving</t>
  </si>
  <si>
    <t>Eve Oidsalu, Thibaut Sergeï Mathon</t>
  </si>
  <si>
    <t>Helle Siidla, Vahur Raudsepp</t>
  </si>
  <si>
    <t>Matti Vinni, Ülo Piik</t>
  </si>
  <si>
    <t>Ivar Viljaste, Matti Vinni, Sirje Viljaste</t>
  </si>
  <si>
    <t>Kaarel Mikk, Kalju Olmre, Margus Berkmann</t>
  </si>
  <si>
    <t>Kevin Sten Liik, Mare Kingissepp, Silver Kingissepp</t>
  </si>
  <si>
    <t>Kadri Veljend, Margo Peebo, Marko Ode</t>
  </si>
  <si>
    <t>Kadri Arunurm, Roman Olmre, Ülo Piik</t>
  </si>
  <si>
    <t>Aarne Välja, Andres Veski, Svetlana Veski</t>
  </si>
  <si>
    <t>Eve Oidsalu, Hardo Sokk, Thibaut Sergeï Mathon</t>
  </si>
  <si>
    <t>Janek Kiisk, Margus Limberg, Margus Strööm</t>
  </si>
  <si>
    <t>Maive Sein, Toomas Reede, Varje Reede</t>
  </si>
  <si>
    <t>Marina Vallik, Mihkel Palk, Tiit Palk</t>
  </si>
  <si>
    <r>
      <t>B-puul</t>
    </r>
    <r>
      <rPr>
        <sz val="10"/>
        <color theme="1"/>
        <rFont val="Arial"/>
        <family val="2"/>
        <charset val="186"/>
      </rPr>
      <t xml:space="preserve"> 12:00</t>
    </r>
  </si>
  <si>
    <r>
      <t>C-puul</t>
    </r>
    <r>
      <rPr>
        <sz val="10"/>
        <color theme="1"/>
        <rFont val="Arial"/>
        <family val="2"/>
        <charset val="186"/>
      </rPr>
      <t xml:space="preserve"> 10:00</t>
    </r>
  </si>
  <si>
    <t>16-17</t>
  </si>
  <si>
    <t>11-15</t>
  </si>
  <si>
    <t>Arvi Palla, Ivar Viljaste, Sirje Viljaste</t>
  </si>
  <si>
    <t>Filipp Švarõgin, Ljudmila Varendi, Viktor Švarõgin</t>
  </si>
  <si>
    <t>Heigo Kullang, Marek Kolk, Varje Reede</t>
  </si>
  <si>
    <t>Egert Kingissepp, Mare Kingissepp, Silver Kingissepp</t>
  </si>
  <si>
    <t>Hardo Sokk, Katri Aavekukk, Urmo Auväärt</t>
  </si>
  <si>
    <t>Eve Oidsalu, Kaido Kopel, Thibaut Sergeï Mathon</t>
  </si>
  <si>
    <t>Aivar Sein, Maive Sein, Marge Mägi</t>
  </si>
  <si>
    <t>Kevin Sten Liik, Martha Aavisto, Oskar Sepp</t>
  </si>
  <si>
    <t>Jaanus Kasper, Margus Strööm, Sille-Liisi Eving</t>
  </si>
  <si>
    <t>Mait Metsla, Matti Vinni, Rutt Voldek</t>
  </si>
  <si>
    <t>Alar Sinimäe, Kristjan Raudsepp, Piret Kopel</t>
  </si>
  <si>
    <t>Heili Vasser, Margus Vasser, Vello Vasser</t>
  </si>
  <si>
    <t>Janek Kiisk, Kadri Arunurm, Kalju Olmre</t>
  </si>
  <si>
    <t>Katrin Tiido, Mihkel Palk, Tiit Palk</t>
  </si>
  <si>
    <t>?8</t>
  </si>
  <si>
    <t>7 - 11 koht</t>
  </si>
  <si>
    <t>13. koht</t>
  </si>
  <si>
    <t>14. koht</t>
  </si>
  <si>
    <t>C4</t>
  </si>
  <si>
    <t xml:space="preserve">ESMV </t>
  </si>
  <si>
    <t xml:space="preserve">Reitingu </t>
  </si>
  <si>
    <t xml:space="preserve">val </t>
  </si>
  <si>
    <r>
      <t>Koht</t>
    </r>
    <r>
      <rPr>
        <sz val="10"/>
        <color theme="1"/>
        <rFont val="Arial"/>
        <family val="2"/>
        <charset val="186"/>
      </rPr>
      <t>/edasi</t>
    </r>
  </si>
  <si>
    <t>EELVOOR</t>
  </si>
  <si>
    <t>VEERANDFINAALID</t>
  </si>
  <si>
    <t>min</t>
  </si>
  <si>
    <t>max</t>
  </si>
  <si>
    <t>POOLFINAALID</t>
  </si>
  <si>
    <t>PRONKSIMÄNG</t>
  </si>
  <si>
    <t>FINAAL</t>
  </si>
  <si>
    <t>VAHEVOOR</t>
  </si>
  <si>
    <r>
      <t>A-puul</t>
    </r>
    <r>
      <rPr>
        <sz val="10"/>
        <color theme="1"/>
        <rFont val="Arial"/>
        <family val="2"/>
        <charset val="186"/>
      </rPr>
      <t xml:space="preserve"> 12:20</t>
    </r>
  </si>
  <si>
    <t>Marge Mägi, Ülo Piik</t>
  </si>
  <si>
    <t>Alar Sinimäe, Kadri Veljend</t>
  </si>
  <si>
    <t>Arvi Palla, Janek Kiisk</t>
  </si>
  <si>
    <t>Indrek Vaho, Ruudi Väärtnõu</t>
  </si>
  <si>
    <t>Margus Strööm, Vahur Raudsepp</t>
  </si>
  <si>
    <t>Aigar Lusbo, Harry Lusbo</t>
  </si>
  <si>
    <t>Kristjan Raudsepp, Thibaut Sergeï Mathon</t>
  </si>
  <si>
    <t>Kaido Kopel, Piret Kopel</t>
  </si>
  <si>
    <t>Puulide mängud toimusid ajalimiidiga 60 minutit + 1 snadivise</t>
  </si>
  <si>
    <t>Võistkondade arv 17: 5 puuli, veerandfinaal (kus kuuel võistkonnal vastane puudub), poolfinaal, finaal.</t>
  </si>
  <si>
    <t>L, 14.01.2017</t>
  </si>
  <si>
    <t>MM katsevõistlused</t>
  </si>
  <si>
    <t>DUO (m, n)</t>
  </si>
  <si>
    <t>Selgitada välja võistkonnad, kes saavad õiguse esindada Eestit 2017. aastal meeste paarismängu, naiste paarismängu, segapaarismängu, meeste üksikmängu ja naiste üksikmängu maailmameistrivõistlustel (MM-il) Belgias, Gentis.</t>
  </si>
  <si>
    <t>OSALEJAD</t>
  </si>
  <si>
    <t>Katsevõistlused on 2-liikmelistele võistkondadele meeste ja naiste arvestuses. Üksikmängus ja segapaaris selguvad võistlejad võitja paarist, nii naiste kui ka  meeste arvestuses. MM-il saab iga mängija osaleda maksimaalselt kahel erineval võistlusel. </t>
  </si>
  <si>
    <t>Katsevõistlustele registreerumisega annab mängija nõusoleku sõlmida EPKL-iga kokkulepe, mille kohaselt mängija kohustub hüvitama EPKL-ile kõik tema rahvusvahelisele tiitlivõistlusele lähetamiseks EPKL-i poolt tehtud kulutused ja muud juhtumiga seotult EPKL-i vastu esitatud nõuded, kui:</t>
  </si>
  <si>
    <t>- mängijale määratakse EPKL-i või rahvusvahelise alaliidu või tiitlivõistluse korraldaja poolt karistus alkoholi ja/või dopinguainete kasutamise eest;</t>
  </si>
  <si>
    <t>- mängija on Eesti esindusvõistkonna liikmena käitunud ebaväärikalt;</t>
  </si>
  <si>
    <t>- pärast esindusvõistkonna selgumist mängija mõjuva põhjuseta loobub esindusvõistkonnas osalemisest.</t>
  </si>
  <si>
    <t>REEGLID</t>
  </si>
  <si>
    <t>Võistlused viiakse läbi rahvusvaheliste petangireeglite ja kehtiva EPKL-i välishooaja 2016 üldjuhendi järgi.</t>
  </si>
  <si>
    <t>Katsevõistlustel tohivad osaleda ainult Eesti kodakondsust omavad petankerid ja neil peab olema kehtiv F.I.P.J.P liidu alla kuuluva riigi petanque liidu litsents.</t>
  </si>
  <si>
    <t>Võistkondadel peab olema ühtne võistlusvorm (särgid).</t>
  </si>
  <si>
    <t>Võistlustele määrab kohtuniku EPKL-i juhatus.</t>
  </si>
  <si>
    <t>VÕISTLUSTE AJAD</t>
  </si>
  <si>
    <t>EPKL-i katsevõistlused toimuvad:</t>
  </si>
  <si>
    <t>REGISTREERIMINE</t>
  </si>
  <si>
    <t>OSAVÕTUTASU</t>
  </si>
  <si>
    <t>Katsevõistlustel osalemise tasu on 60 eurot võistkonna kohta. Osavõtutasu peab olema tasutud 7.01.2017a. EPKL-i a/a EE05 2200 0011 2011 4684. </t>
  </si>
  <si>
    <t>VÕISTLUSTE LÄBIVIIMISE SÜSTEEM</t>
  </si>
  <si>
    <t>Katsevõistlused korraldatakse naistele ja meestele eraldi:</t>
  </si>
  <si>
    <t>Mängitakse alagruppides.</t>
  </si>
  <si>
    <t>1. Kui katsevõistlustele registreerub üks võistkond, siis on sellel võistkonnal automaatselt õigus esindada Eestit tiitlivõistlusel.</t>
  </si>
  <si>
    <t>2. Kui katsevõistlustele registreerub kaks võistkonda, siis mängitakse nelja võiduni.</t>
  </si>
  <si>
    <t>4. Kui katsevõistlustele registreerub viis võistkonda, otsustatakse võistluste läbiviimise süsteem 2 päeva jooksul peale registreerimise lõppu. Võistlus 2-päevane. </t>
  </si>
  <si>
    <t>5. Võrdsete võitude arvu korral selgitatakse paremusjärjestus järgnevalt:</t>
  </si>
  <si>
    <t>a) omavahelistes mängudes saavutatud võidud,</t>
  </si>
  <si>
    <t>b) omavaheliste mängude punktide vahe,</t>
  </si>
  <si>
    <t>c) üldine punktide vahe</t>
  </si>
  <si>
    <t>AUHINNAD</t>
  </si>
  <si>
    <t>Parim naiskond saab õiguse esindada Eestit 2017. aasta naiste paarismängu Maailmameistrivõistlustel. </t>
  </si>
  <si>
    <t>Parim meeskond saab õiguse esindada Eestit 2017. aasta meeste paarismängu Maailmameistrivõistlustel.</t>
  </si>
  <si>
    <t>Parimast naiskonnast ja meeskonnast saab üks mängija õiguse esindada Eestit 2017. aasta Maailmameistrivõistlustel üksikmängus.</t>
  </si>
  <si>
    <t>Parimast naiskonnast ja meeskonnast saab 1naine ja 1mees õiguse esindada Eestit 2017. aasta segapaaride Maailmameistrivõistlustel.</t>
  </si>
  <si>
    <t>KATSEVÕISTLUSTE JUHEND 2017 GENT MM</t>
  </si>
  <si>
    <t>Arvesse läheb 8 võistlust 12st (4 reitinguvõistlust 6st + 4 Eesti sise-MV-d 6st)</t>
  </si>
  <si>
    <t>Merike Aava</t>
  </si>
  <si>
    <t>Toomas Hoole</t>
  </si>
  <si>
    <t>Harry Lusbo</t>
  </si>
  <si>
    <t>Arti Lindvest</t>
  </si>
  <si>
    <t>Ott Karl Kopel</t>
  </si>
  <si>
    <t>Aimar Poom</t>
  </si>
  <si>
    <t>Veiko Proos</t>
  </si>
  <si>
    <t>J</t>
  </si>
  <si>
    <t>19-27</t>
  </si>
  <si>
    <t>9-16</t>
  </si>
  <si>
    <t>17-18</t>
  </si>
  <si>
    <t>S</t>
  </si>
  <si>
    <t>ÜMBERVISKED</t>
  </si>
  <si>
    <r>
      <t>F-puul</t>
    </r>
    <r>
      <rPr>
        <sz val="10"/>
        <color theme="1"/>
        <rFont val="Arial"/>
        <family val="2"/>
        <charset val="186"/>
      </rPr>
      <t xml:space="preserve"> 10:00</t>
    </r>
  </si>
  <si>
    <r>
      <t>G-puul</t>
    </r>
    <r>
      <rPr>
        <sz val="10"/>
        <color theme="1"/>
        <rFont val="Arial"/>
        <family val="2"/>
        <charset val="186"/>
      </rPr>
      <t xml:space="preserve"> 10:00</t>
    </r>
  </si>
  <si>
    <r>
      <t>H-puul</t>
    </r>
    <r>
      <rPr>
        <sz val="10"/>
        <color theme="1"/>
        <rFont val="Arial"/>
        <family val="2"/>
        <charset val="186"/>
      </rPr>
      <t xml:space="preserve"> 10:00</t>
    </r>
  </si>
  <si>
    <r>
      <t>A-puul</t>
    </r>
    <r>
      <rPr>
        <sz val="10"/>
        <color theme="1"/>
        <rFont val="Arial"/>
        <family val="2"/>
        <charset val="186"/>
      </rPr>
      <t xml:space="preserve"> 12:30</t>
    </r>
  </si>
  <si>
    <r>
      <t>C-puul</t>
    </r>
    <r>
      <rPr>
        <sz val="10"/>
        <color theme="1"/>
        <rFont val="Arial"/>
        <family val="2"/>
        <charset val="186"/>
      </rPr>
      <t xml:space="preserve"> 12:30</t>
    </r>
  </si>
  <si>
    <r>
      <t>I-puul</t>
    </r>
    <r>
      <rPr>
        <sz val="10"/>
        <color theme="1"/>
        <rFont val="Arial"/>
        <family val="2"/>
        <charset val="186"/>
      </rPr>
      <t xml:space="preserve"> 12:30</t>
    </r>
  </si>
  <si>
    <t>Vahevoor</t>
  </si>
  <si>
    <t>Thibaut Sergei Mathon</t>
  </si>
  <si>
    <t>P, 15.01.2017</t>
  </si>
  <si>
    <t>EPKL, Ivar Viljaste</t>
  </si>
  <si>
    <t>19-22</t>
  </si>
  <si>
    <t>13-16</t>
  </si>
  <si>
    <r>
      <t xml:space="preserve">ÜMBERVISKED </t>
    </r>
    <r>
      <rPr>
        <sz val="10"/>
        <color rgb="FFFF0000"/>
        <rFont val="Arial"/>
        <family val="2"/>
        <charset val="186"/>
      </rPr>
      <t>- milleks?</t>
    </r>
  </si>
  <si>
    <t>DNS (haigestumine)</t>
  </si>
  <si>
    <t>17-18. koht</t>
  </si>
  <si>
    <t>1/8 finaali</t>
  </si>
  <si>
    <t>G1</t>
  </si>
  <si>
    <t>vv</t>
  </si>
  <si>
    <t>I2</t>
  </si>
  <si>
    <t>G2</t>
  </si>
  <si>
    <t>H2</t>
  </si>
  <si>
    <t>I1</t>
  </si>
  <si>
    <t>H1</t>
  </si>
  <si>
    <t>DNS</t>
  </si>
  <si>
    <t>28-32</t>
  </si>
  <si>
    <t>14-15</t>
  </si>
  <si>
    <t>20-21</t>
  </si>
  <si>
    <t>22-23</t>
  </si>
  <si>
    <t>28-29</t>
  </si>
  <si>
    <t>jrk</t>
  </si>
  <si>
    <t>1. + 2. voor</t>
  </si>
  <si>
    <t>Puulide mängud toimusid ajalimiidiga 40 minutit + 1 snadivise, mängiti kitsastel radadel</t>
  </si>
  <si>
    <t>Kristo Viljaste</t>
  </si>
  <si>
    <t>Mihkel Filipenko</t>
  </si>
  <si>
    <t>Mati Tapo</t>
  </si>
  <si>
    <t>Veiko Mäekivi</t>
  </si>
  <si>
    <t>Peeter Mäeots</t>
  </si>
  <si>
    <t>Marek Lehis</t>
  </si>
  <si>
    <t>17-24</t>
  </si>
  <si>
    <t>25-26</t>
  </si>
  <si>
    <r>
      <t>A-puul</t>
    </r>
    <r>
      <rPr>
        <sz val="10"/>
        <color theme="1"/>
        <rFont val="Arial"/>
        <family val="2"/>
        <charset val="186"/>
      </rPr>
      <t xml:space="preserve"> 13:00</t>
    </r>
  </si>
  <si>
    <r>
      <t>C-puul</t>
    </r>
    <r>
      <rPr>
        <sz val="10"/>
        <color theme="1"/>
        <rFont val="Arial"/>
        <family val="2"/>
        <charset val="186"/>
      </rPr>
      <t xml:space="preserve"> 13:00</t>
    </r>
  </si>
  <si>
    <r>
      <t>F-puul</t>
    </r>
    <r>
      <rPr>
        <sz val="10"/>
        <color theme="1"/>
        <rFont val="Arial"/>
        <family val="2"/>
        <charset val="186"/>
      </rPr>
      <t xml:space="preserve"> 13:00</t>
    </r>
  </si>
  <si>
    <r>
      <t>G-puul</t>
    </r>
    <r>
      <rPr>
        <sz val="10"/>
        <color theme="1"/>
        <rFont val="Arial"/>
        <family val="2"/>
        <charset val="186"/>
      </rPr>
      <t xml:space="preserve"> 13:00</t>
    </r>
  </si>
  <si>
    <t>Aarne Välja, Ülo Piik</t>
  </si>
  <si>
    <t>Kevin Sten Liik, Mare Kingissepp, Margus Limberg</t>
  </si>
  <si>
    <t>Kaido Kopel, Margus Berkmann</t>
  </si>
  <si>
    <t>Heili Vasser, Vello Vasser</t>
  </si>
  <si>
    <t>Mait Metsla, Matti Vinni</t>
  </si>
  <si>
    <t>Evgeny Osokin, Olga Malyarenko</t>
  </si>
  <si>
    <t>Arti Lindvest, Veiko Mäekivi</t>
  </si>
  <si>
    <t>Priit Koppel, Urmo Auväärt</t>
  </si>
  <si>
    <t>Ott Karl Kopel, Piret Kopel</t>
  </si>
  <si>
    <t>Ivar Viljaste, Kristo Viljaste</t>
  </si>
  <si>
    <t>Arvi Palla, Mihkel Filipenko</t>
  </si>
  <si>
    <t>Marek Lehis, Peeter Mäeots</t>
  </si>
  <si>
    <t xml:space="preserve">Kokku: </t>
  </si>
  <si>
    <t>Evgeny Osokin (Venemaa)</t>
  </si>
  <si>
    <t>Olga Malyarenko (Ukraina)</t>
  </si>
  <si>
    <t>Valga Petanque Klubi</t>
  </si>
  <si>
    <t>Valga, Tiigi tn</t>
  </si>
  <si>
    <t>Toomas Tauk</t>
  </si>
  <si>
    <r>
      <t>B-puul</t>
    </r>
    <r>
      <rPr>
        <sz val="10"/>
        <color theme="1"/>
        <rFont val="Arial"/>
        <family val="2"/>
        <charset val="186"/>
      </rPr>
      <t xml:space="preserve"> 11:30</t>
    </r>
  </si>
  <si>
    <t>Kevin Sten Liik, Vahur Raudsepp</t>
  </si>
  <si>
    <t>Kaido Kopel, Toomas Tauk</t>
  </si>
  <si>
    <t>Mare Kingissepp, Margus Limberg</t>
  </si>
  <si>
    <t>Marek Kolk, Mihkel Palk</t>
  </si>
  <si>
    <t>Arvi Palla, Kalju Olmre</t>
  </si>
  <si>
    <t>Peep Puiestik, Veiko Proos</t>
  </si>
  <si>
    <t>Matti Vinni, Vello Vasser</t>
  </si>
  <si>
    <t>Marge Mägi, Sirje Viljaste</t>
  </si>
  <si>
    <t>Marina Vallik, Tiit Palk</t>
  </si>
  <si>
    <t>L, 25.02.2017</t>
  </si>
  <si>
    <t>Kevin Kangur</t>
  </si>
  <si>
    <t>Maris Rõõm</t>
  </si>
  <si>
    <t>Janek Tarto</t>
  </si>
  <si>
    <t>Triin Mäe</t>
  </si>
  <si>
    <t>Valmar Pantšenko</t>
  </si>
  <si>
    <t>Airi Kruusma</t>
  </si>
  <si>
    <t>Eve Müüdla</t>
  </si>
  <si>
    <t>Jaan Sepp</t>
  </si>
  <si>
    <t>Argo Sepp</t>
  </si>
  <si>
    <t>Tõnu Kapper</t>
  </si>
  <si>
    <t>Elmo Lageda</t>
  </si>
  <si>
    <t>Vladimir Ogneštšikov</t>
  </si>
  <si>
    <t>Nikolai Palkin</t>
  </si>
  <si>
    <t>Klavdia Piik</t>
  </si>
  <si>
    <t>Kadri Veljend, Margo Peebo</t>
  </si>
  <si>
    <t>Aigar Lusbo, Harry Lusbo, Merike Lusbo</t>
  </si>
  <si>
    <t>Kevin Kangur, Maris Rõõm</t>
  </si>
  <si>
    <t>Maive Sein, Ülo Piik</t>
  </si>
  <si>
    <t>Eve Müüdla, Janek Tarto</t>
  </si>
  <si>
    <t>Marina Vallik, Marko Ode</t>
  </si>
  <si>
    <t>Klavdia Piik, Mait Metsla</t>
  </si>
  <si>
    <t>Ljudmila Varendi, Viktor Švarõgin</t>
  </si>
  <si>
    <t>Kevin Sten Liik, Marge Mägi, Silver Kingissepp</t>
  </si>
  <si>
    <t>Egert Kingissepp, Mare Kingissepp</t>
  </si>
  <si>
    <t>Aarne Välja, Airi Kruusma</t>
  </si>
  <si>
    <t>Triin Mäe, Valmar Pantšenko</t>
  </si>
  <si>
    <t>Kadri Arunurm, Kalju Olmre, Thibaut Sergeï Mathon</t>
  </si>
  <si>
    <t>Ivar Viljaste, Janek Tarto, Maive Sein</t>
  </si>
  <si>
    <t>Aarne Välja, Andres Veski, Sirje Viljaste</t>
  </si>
  <si>
    <t>Janek Kiisk, Marek Kolk, Margus Strööm</t>
  </si>
  <si>
    <t>Marge Mägi, Marina Vallik, Ülo Piik</t>
  </si>
  <si>
    <t>Mait Metsla, Matti Vinni, Vello Vasser</t>
  </si>
  <si>
    <t>Mati Tapo, Vallo Sillamaa, Vello Sillasoo</t>
  </si>
  <si>
    <t>Ljudmila Varendi, Nikolai Palkin, Viktor Svarõgin</t>
  </si>
  <si>
    <t>Argo Sepp, Jaan Sepp, Oskar Sepp</t>
  </si>
  <si>
    <t>Elmo Lageda, Tõnu Kapper, Vladimir Ogneštšikov</t>
  </si>
  <si>
    <t>Egert, Mare ja Silver Kingissepp, Kevin Sten Liik</t>
  </si>
  <si>
    <r>
      <t>A-puul</t>
    </r>
    <r>
      <rPr>
        <sz val="10"/>
        <color theme="1"/>
        <rFont val="Arial"/>
        <family val="2"/>
        <charset val="186"/>
      </rPr>
      <t xml:space="preserve"> 12:00</t>
    </r>
  </si>
  <si>
    <r>
      <t>D-puul</t>
    </r>
    <r>
      <rPr>
        <sz val="10"/>
        <color theme="1"/>
        <rFont val="Arial"/>
        <family val="2"/>
        <charset val="186"/>
      </rPr>
      <t xml:space="preserve"> 12:00</t>
    </r>
  </si>
  <si>
    <t>suvereitingu arvestusse suvereitingu vastava koha punktid (vt. Suvereitingu arvestuse tabelit).</t>
  </si>
  <si>
    <t>Indrek Vaho</t>
  </si>
  <si>
    <t>Jaanus Otsman</t>
  </si>
  <si>
    <t>Rahvusvahelised ja katsevõistlused on sinisega ja kaldkirjas</t>
  </si>
  <si>
    <t>Andrus Tommula</t>
  </si>
  <si>
    <t>Markus Erik Tommula</t>
  </si>
  <si>
    <r>
      <t>F-puul</t>
    </r>
    <r>
      <rPr>
        <sz val="10"/>
        <color theme="1"/>
        <rFont val="Arial"/>
        <family val="2"/>
        <charset val="186"/>
      </rPr>
      <t xml:space="preserve"> 12:00</t>
    </r>
  </si>
  <si>
    <r>
      <t>G-puul</t>
    </r>
    <r>
      <rPr>
        <sz val="10"/>
        <color theme="1"/>
        <rFont val="Arial"/>
        <family val="2"/>
        <charset val="186"/>
      </rPr>
      <t xml:space="preserve"> 12:00</t>
    </r>
  </si>
  <si>
    <t>Eve Oidsalu, Toomas Tauk</t>
  </si>
  <si>
    <t>Piret Kopel, Vahur Raudsepp</t>
  </si>
  <si>
    <t>Ivar Viljaste, Ülo Piik</t>
  </si>
  <si>
    <t>Kaido Kopel, Urmo Auväärt</t>
  </si>
  <si>
    <t>Aivar Sein, Mare Kingissepp</t>
  </si>
  <si>
    <t>Arti Lindvest, Jaanus Otsman</t>
  </si>
  <si>
    <t>Indrek Vaho, Kadri Veljend</t>
  </si>
  <si>
    <t>Margo Peebo, Margus Limberg</t>
  </si>
  <si>
    <t>Mait Metsla, Vladimir Ogneštšikov</t>
  </si>
  <si>
    <t>Aarne Välja, Janek Tarto</t>
  </si>
  <si>
    <t>Jaan Sepp, Oskar Sepp</t>
  </si>
  <si>
    <t>Kevin Sten Liik, Sirje Viljaste</t>
  </si>
  <si>
    <t>Andrus ja Markus Erik Tommula</t>
  </si>
  <si>
    <t>9-14</t>
  </si>
  <si>
    <t>15-21</t>
  </si>
  <si>
    <t>Loosiduo</t>
  </si>
  <si>
    <t>3.1 Võistlejatel on keelatud kõigi spordis lubamatute ainete kasutamine (nimekiri EOK koduleheküljel alajaotuses spordimeditsiin ja antidoping). Võistluspaigas on keelatud viibimine ilmses joobeseisundis, suitsetamine mängu ajal.</t>
  </si>
  <si>
    <t>4.6.1. Kõikidel EPKL´i kalendris olevatel Eestis toimuvatel reitingu- ja litsentsivõistlustel peab peaväljaku juures olema paigaldatud EPKL sponsorite logod. Logode eest vastutab EPKLi juhatus.</t>
  </si>
  <si>
    <t>4.10.5. Mängudega puulides üritatakse need moodustada nii, et edasi pääseks otse karikasüsteemi võistkondade arvuga 4-8-16-32 jne. Tähtis on, et igast puulist pääseks edasi sama arv võistkondi.</t>
  </si>
  <si>
    <t>4.10.7. Võistlustel, kus osaleb vähemalt 33 või rohkem võistkonda jätkatakse 1/16 karikafinaalidega.</t>
  </si>
  <si>
    <t>Võistkondade arv 6–8: 2 puuli, poolfinaal, finaal.</t>
  </si>
  <si>
    <t>Võistkondade arv 9–11: 3 puuli, veerandfinaal (kus kahel võistkonnal vastane puudub), poolfinaal, finaal.</t>
  </si>
  <si>
    <t>Võistkondade arv 12–16: 4 puuli, veerandfinaal, poolfinaal, finaal</t>
  </si>
  <si>
    <t>Võistkondade arv 18–23: 6 puuli, 1/8 finaal (kus neljal võistkonnal vastane puudub), veerandfinaal, poolfinaal, finaal.</t>
  </si>
  <si>
    <t>Võistkondade arv 24–32: 8 puuli , 1/8 finaal, veerandfinaal, poolfinaal, finaal.</t>
  </si>
  <si>
    <t>Võistkondade arv 33–36: 9 puuli, 1/16 finaal (kus 28 võistkonnal vastane puudub), 1/8 finaal, veerandfinaal, poolfinaal, finaal.</t>
  </si>
  <si>
    <t>EPKL SISEHOOAJA VÕISTLUSTE LÄBIVIIMISE JUHEND 01. november 2016 – 30. aprill 2017.</t>
  </si>
  <si>
    <t>SISEHOOAJA REITINGU ARVESTUS 2016–2017</t>
  </si>
  <si>
    <t>a) Segatrio – 20.11, Tallinn</t>
  </si>
  <si>
    <t>b) Üksikmäng – 7.01, Tallinn</t>
  </si>
  <si>
    <t>c) Tulistamine – 8.01, Tallinn</t>
  </si>
  <si>
    <t>d) Paarismäng – 4.02, Tallinn</t>
  </si>
  <si>
    <t>e) Segapaar – 11.03, Kohtla-Järve</t>
  </si>
  <si>
    <t>f)  Trio – 23.04, Tallinn</t>
  </si>
  <si>
    <t>f) 6. võistlus, trio – 9.04, Tallinn</t>
  </si>
  <si>
    <t>a) 1. võistlus, paarismäng – 5.11, Tallinn</t>
  </si>
  <si>
    <t>b) 2. võistlus, trio – 11.12, Tallinn</t>
  </si>
  <si>
    <t>c) 3. võistlus, paarismäng – 21.01, Tallinn</t>
  </si>
  <si>
    <t>d) 4. võistlus, trio – 12.03, Kohtla-Järve</t>
  </si>
  <si>
    <t>e) 5. võistlus, paarismäng – 25.03, Tallinn</t>
  </si>
  <si>
    <t>Sisehooaja EMV</t>
  </si>
  <si>
    <t>Reitinguvõistlused</t>
  </si>
  <si>
    <t>9. – ...</t>
  </si>
  <si>
    <t>Punkte antakse vastavalt alljärgnevale tabelile</t>
  </si>
  <si>
    <t>9 – …</t>
  </si>
  <si>
    <t>REGIOONIDE KARIKAS 2016–2017</t>
  </si>
  <si>
    <t>Sisehooaja 2016–2017 regioonide karikavõistluse juhend</t>
  </si>
  <si>
    <t>Võistkondade registreerimine lõppeb kaks päeva enne võistlusi kell 19.00. Iga regioon määrab ise oma võistluste toimumise ajad, teavitades sellest EPKL-i juhatust. Arvestades, et I etapp toimub november-detsember ja II etapp jaanuar-veebruar. Finaal toimub 22.04.2016 Tallinnas, Algi 38. </t>
  </si>
  <si>
    <t>Ida: Lääne-Virumaa, Ida-Virumaa, Järvamaa</t>
  </si>
  <si>
    <t>2) 3–4 võistkonda, siis mängitakse alagrupi süsteemis kaks korda kõik-kõigiga läbi.</t>
  </si>
  <si>
    <t>3) 5 võistkonda, siis mängitakse alagrupi süsteemis + karikas( kokku lähevad 1. ja 4. ning 2. ja 3.)</t>
  </si>
  <si>
    <t>4) 6–8 võistkonda, 2 alagruppi + karikas (1. pääsevad otse poolfinaali, 2. ja 3. kohad mängivad edasipääsu eest poolfinaali, 4. kohad mängivad oma kohad välja)</t>
  </si>
  <si>
    <t>5) 9–11 võistkonda, 3 alagruppi + karikas (kaks parema mängu suhtega 1. kohta pääsevad otse edasi, 2. kohad ja nõrgim 1.koht mängivad edasipääsu eest poolfinaali, ülejäänud mängivad võimalusel oma kohad välja või kohad saadakse mängude suhte järgi)</t>
  </si>
  <si>
    <t>1. 20 punkti                      9. 9 punkti</t>
  </si>
  <si>
    <t>8. 10punkti                     16.–… 1 punkt</t>
  </si>
  <si>
    <t>I, II, III koht karikad ja parim võistkond saab võimaluse osaleda aasta jooksul ühel võistlusel Soomes (sisaldab laevapileteid ja võistlusmaksu). Regioonile rändkarikas.</t>
  </si>
  <si>
    <t>PAARISMÄNGU, SEGAPAARI JA ÜKSIKMÄNGU MM KATSEVÕISTLUSTE JUHEND 2017 EESMÄRK</t>
  </si>
  <si>
    <t>3. Kui katsevõistlustele registreerub kolm või neli võistkonda, siis mängitakse kaks korda „kõik kõigiga“. Finaali saavad kaks paremat ja mängiatkse 2 võiduni. Kui üks võistkond on võitnud alagrupis kõik mängud, siis finaali ei toimu. Finaali korral on võistlus 2-päevane. (14.–15.01.2017)</t>
  </si>
  <si>
    <t>Võistlused toimuvad Belgias, Gentis 13. – 16. aprill 2017</t>
  </si>
  <si>
    <t>14.–15.01.2017 Tallinnas, Algi 38</t>
  </si>
  <si>
    <t>Katsevõistlustele saab registreerida e-maili aadressil juhatus@petanque.ee kuni 05.01.2017 kell 21.00. Registreerimisel tuleb kirja panna osavõtjate nimed ja võistkonna esindaja kontaktandmed. Lisaregistreerimist ei saa hiljem teha.</t>
  </si>
  <si>
    <t>Oma osalemisest tiitlivõistlustel peab katsevõistlused võitnud võistkond andma EPKL-ile kinnituse 19.01.2017. Loobumise korral on teiseks tulnud võistkonnal kinnituse andmiseks aega 24.01.2017 ja selle loobumisel on kolmandaks tulnud võistkonnal aega kinnitus anda 29.01.2017. Kui kõik kolm esikolmikusse tulnud võistkonnad loobuvad, siis otsustab tiitlivõistlustel osalemise EPKL-i juhatus.</t>
  </si>
  <si>
    <t>I voor</t>
  </si>
  <si>
    <t>II voor</t>
  </si>
  <si>
    <t>III voor</t>
  </si>
  <si>
    <t>IV voor</t>
  </si>
  <si>
    <t>V voor</t>
  </si>
  <si>
    <t>Alar Sinimäe, Heigo Kullang, Ülo Piik</t>
  </si>
  <si>
    <t>Marek Kolk, Marge Mägi, Marko Neemelaik</t>
  </si>
  <si>
    <t>Kalju Olmre, Kevin Sten Liik, Marko Ode</t>
  </si>
  <si>
    <t>Alari Keedus, Arvi Palla, Vahur Raudsepp</t>
  </si>
  <si>
    <t>Mare Kingissepp, Piret Kopel, Silver Kingissepp</t>
  </si>
  <si>
    <t>Indrek Vaho, Kadri Arunurm, Triin Gretel Tauk</t>
  </si>
  <si>
    <t>Kaido Kopel, Kristjan Raudsepp</t>
  </si>
  <si>
    <t>Kadri Veljend, Marina Vallik</t>
  </si>
  <si>
    <t>Alar Sinimäe, Kalju Olmre, Piret Kopel</t>
  </si>
  <si>
    <t>Kevin Sten Liik, Marge Mägi, Ülo Piik</t>
  </si>
  <si>
    <t>Kristjan Raudsepp, Marko Neemelaik, Marko Ode</t>
  </si>
  <si>
    <t>Heigo Kullang, Marek Kolk, Vahur Raudsepp</t>
  </si>
  <si>
    <t>Alari Keedus, Arvi Palla, Marina Vallik</t>
  </si>
  <si>
    <t>Indrek Vaho, Kaido Kopel</t>
  </si>
  <si>
    <t>Kadri Veljend, Silver Kingissepp</t>
  </si>
  <si>
    <t>Kaido Kopel, Mare Kingissepp, Marina Vallik</t>
  </si>
  <si>
    <t>Alar Sinimäe, Heigo Kullang, Vahur Raudsepp</t>
  </si>
  <si>
    <t>Marko Neemelaik, Marko Ode, Ülo Piik</t>
  </si>
  <si>
    <t>Kadri Arunurm, Kalju Olmre, Kristjan Raudsepp</t>
  </si>
  <si>
    <t>Kevin Sten Liik, Kadri Veljend, Silver Kingissepp</t>
  </si>
  <si>
    <t>Arvi Palla, Marek Kolk, Marge Mägi</t>
  </si>
  <si>
    <t>Triin Gretel Tauk</t>
  </si>
  <si>
    <t>Alari Keedus, Triin Gretel Tauk</t>
  </si>
  <si>
    <t>Indrek Vaho, Piret Kopel</t>
  </si>
  <si>
    <t>Kadri Arunurm, Kristjan Raudsepp, Ülo Piik</t>
  </si>
  <si>
    <t>Kaido Kopel, Kalju Olmre, Kevin Sten Liik</t>
  </si>
  <si>
    <t>Alari Keedus, Arvi Palla, Marko Ode</t>
  </si>
  <si>
    <t>Alar Sinimäe, Marko Neemelaik, Triin Gretel Tauk</t>
  </si>
  <si>
    <t>Marina Vallik, Piret Kopel, Vahur Raudsepp</t>
  </si>
  <si>
    <t>Heigo Kullang, Indrek Vaho, Marge Mägi</t>
  </si>
  <si>
    <t>Mare Kingissepp, Marek Kolk</t>
  </si>
  <si>
    <t>Silver Kingissepp, Triin Gretel Tauk, Ülo Piik</t>
  </si>
  <si>
    <t>Kaido Kopel, Kalju Olmre, Kristjan Raudsepp</t>
  </si>
  <si>
    <t>Arvi Palla, Kadri Arunurm, Piret Kopel</t>
  </si>
  <si>
    <t>Alar Sinimäe, Kadri Veljend, Marina Vallik</t>
  </si>
  <si>
    <t>Mare Kingissepp, Marko Ode, Vahur Raudsepp</t>
  </si>
  <si>
    <t>Heigo Kullang, Indrek Vaho, Marek Kolk</t>
  </si>
  <si>
    <t>Alari Keedus, Kevin Sten Liik</t>
  </si>
  <si>
    <t>Marge Mägi, Marko Neemelaik</t>
  </si>
  <si>
    <t>Paremusjärjestus</t>
  </si>
  <si>
    <t>KOKKU</t>
  </si>
  <si>
    <t>Alari Keedus</t>
  </si>
  <si>
    <t>Marko Neemelaik</t>
  </si>
  <si>
    <t>Võite</t>
  </si>
  <si>
    <t xml:space="preserve">  </t>
  </si>
  <si>
    <t>Eve Oidsalu, Kalju Olmre, Urmo Auväärt</t>
  </si>
  <si>
    <t>Marek Lehis, Margo Peebo, Peeter Mäeots</t>
  </si>
  <si>
    <t>Ivar Viljaste, Jaan Sepp, Oskar Sepp</t>
  </si>
  <si>
    <t>Mare Kingissepp, Marina Vallik, Sirje Viljaste</t>
  </si>
  <si>
    <t>Margus Limberg, Margus Strööm, Marko Ode</t>
  </si>
  <si>
    <t>Aigi Orro, Kalle Orro, Ülo Piik</t>
  </si>
  <si>
    <t>Kadri Arunurm, Mare Kingissepp, Triin Gretel Tauk</t>
  </si>
  <si>
    <t>Mängud toimusid ajalimiidiga 1 tund + 1 snadivise</t>
  </si>
  <si>
    <t>Puulide mängud toimusid ajalimiidiga 1 tund ja 15 minutit + 1 snadivise</t>
  </si>
  <si>
    <t>Puulide mängud toimusid ajalimiidiga 1 tund + 1 snadivise</t>
  </si>
  <si>
    <t>B4</t>
  </si>
  <si>
    <t>Egert Kingissepp, Kevin Sten Liik, Silver Kingissepp</t>
  </si>
  <si>
    <t>Hannes Lõps</t>
  </si>
  <si>
    <t>Vahur Soover</t>
  </si>
  <si>
    <t>Jaan Joonas</t>
  </si>
  <si>
    <t>Anti Alasi</t>
  </si>
  <si>
    <t>Marta Ruus</t>
  </si>
  <si>
    <t>Anna Liisa Kattai</t>
  </si>
  <si>
    <t>Tiit Kattai</t>
  </si>
  <si>
    <t>Kaur Kangur</t>
  </si>
  <si>
    <t>Siiri Baranova</t>
  </si>
  <si>
    <t>Mati Rõõm</t>
  </si>
  <si>
    <t>Külli Kariste</t>
  </si>
  <si>
    <t>Irene Võrklaev</t>
  </si>
  <si>
    <t>Uku Kollom</t>
  </si>
  <si>
    <t>D-puul</t>
  </si>
  <si>
    <t>E-puul</t>
  </si>
  <si>
    <t>F-puul</t>
  </si>
  <si>
    <t>1-4,2-3</t>
  </si>
  <si>
    <t>Marge Mägi, Oskar Sepp, Sirje Viljaste</t>
  </si>
  <si>
    <t>Alar Sinimäe, Irene Võrklaev, Uku Kollom</t>
  </si>
  <si>
    <t>Ivar Viljaste, Urmo Auväärt, Ülo Piik</t>
  </si>
  <si>
    <t>Katri Aavekukk, Külli Kariste, Merike Aava</t>
  </si>
  <si>
    <t>Kaido Kopel, Margus Berkmann, Veiko Proos</t>
  </si>
  <si>
    <t>Harry Lusbo, Jaan Joonas, Toomas Hoole</t>
  </si>
  <si>
    <t>Kadri Veljend, Margo Peebo, Margus Limberg</t>
  </si>
  <si>
    <t>Indrek Vaho, Margus Strööm, Marko Ode</t>
  </si>
  <si>
    <t>Aimar Poom, Anti Alasi, Marta Ruus, Valmar Pantšenko</t>
  </si>
  <si>
    <t>Arvi Palla, Kalju Olmre, Mihkel Filipenko</t>
  </si>
  <si>
    <t>Aivar Sein, Maive Sein, Vahur Raudsepp</t>
  </si>
  <si>
    <t>Hannes Lõps, Marek Lehis, Vahur Soover</t>
  </si>
  <si>
    <t>Kaur Kangur, Maris Rõõm, Mati Rõõm, Siiri Baranova</t>
  </si>
  <si>
    <t>Aigar Lusbo, Merike Lusbo, Priit Koppel</t>
  </si>
  <si>
    <t>Anna Liisa Kattai, Kevin Kangur, Tiit Kattai</t>
  </si>
  <si>
    <t>Thibaut Sergeï Mathon (Prantsusmaa)</t>
  </si>
  <si>
    <t>Üld</t>
  </si>
  <si>
    <t xml:space="preserve">          Rasvases trükis on Ida-Virumaa petankerid</t>
  </si>
  <si>
    <t>November 2016</t>
  </si>
  <si>
    <t>Detsember 2016</t>
  </si>
  <si>
    <t>Jaanuar 2017</t>
  </si>
  <si>
    <t>Veebruar 2017</t>
  </si>
  <si>
    <t>Märts 2017</t>
  </si>
  <si>
    <t>Aprill 2017</t>
  </si>
  <si>
    <r>
      <rPr>
        <b/>
        <sz val="10"/>
        <rFont val="Calibri"/>
        <family val="2"/>
        <charset val="186"/>
        <scheme val="minor"/>
      </rPr>
      <t>***</t>
    </r>
    <r>
      <rPr>
        <sz val="10"/>
        <rFont val="Arial"/>
        <family val="2"/>
        <charset val="186"/>
      </rPr>
      <t xml:space="preserve"> - trio, </t>
    </r>
    <r>
      <rPr>
        <b/>
        <sz val="10"/>
        <rFont val="Calibri"/>
        <family val="2"/>
        <charset val="186"/>
        <scheme val="minor"/>
      </rPr>
      <t>S**</t>
    </r>
    <r>
      <rPr>
        <sz val="10"/>
        <rFont val="Arial"/>
        <family val="2"/>
        <charset val="186"/>
      </rPr>
      <t xml:space="preserve"> - segaduo, </t>
    </r>
    <r>
      <rPr>
        <b/>
        <sz val="10"/>
        <rFont val="Calibri"/>
        <family val="2"/>
        <charset val="186"/>
        <scheme val="minor"/>
      </rPr>
      <t>*</t>
    </r>
    <r>
      <rPr>
        <sz val="10"/>
        <rFont val="Arial"/>
        <family val="2"/>
        <charset val="186"/>
      </rPr>
      <t xml:space="preserve"> - üksik, </t>
    </r>
    <r>
      <rPr>
        <b/>
        <sz val="10"/>
        <rFont val="Calibri"/>
        <family val="2"/>
        <charset val="186"/>
        <scheme val="minor"/>
      </rPr>
      <t>TUL</t>
    </r>
    <r>
      <rPr>
        <sz val="10"/>
        <rFont val="Arial"/>
        <family val="2"/>
        <charset val="186"/>
      </rPr>
      <t xml:space="preserve"> - tulistamine</t>
    </r>
  </si>
  <si>
    <t>Tundmatu Narvast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</si>
</sst>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000000_ ;\-0.00000000000\ "/>
    <numFmt numFmtId="166" formatCode="#,##0\ [$€-1]"/>
    <numFmt numFmtId="167" formatCode=";;;@"/>
  </numFmts>
  <fonts count="42" x14ac:knownFonts="1">
    <font>
      <sz val="10"/>
      <color theme="1"/>
      <name val="Arial"/>
      <family val="2"/>
      <charset val="186"/>
    </font>
    <font>
      <b/>
      <sz val="8"/>
      <color indexed="81"/>
      <name val="Tahoma"/>
      <family val="2"/>
      <charset val="186"/>
    </font>
    <font>
      <sz val="10"/>
      <name val="Arial"/>
      <family val="2"/>
      <charset val="204"/>
    </font>
    <font>
      <sz val="10"/>
      <color indexed="8"/>
      <name val="Times New Roman"/>
      <family val="1"/>
      <charset val="186"/>
    </font>
    <font>
      <sz val="10"/>
      <name val="Arial"/>
      <family val="2"/>
      <charset val="186"/>
    </font>
    <font>
      <sz val="11"/>
      <color indexed="8"/>
      <name val="Calibri"/>
      <family val="2"/>
      <charset val="186"/>
    </font>
    <font>
      <sz val="8"/>
      <color indexed="8"/>
      <name val="Arial Narrow"/>
      <family val="2"/>
    </font>
    <font>
      <sz val="10"/>
      <color theme="1"/>
      <name val="Arial"/>
      <family val="2"/>
      <charset val="186"/>
    </font>
    <font>
      <u/>
      <sz val="10"/>
      <color theme="10"/>
      <name val="Arial"/>
      <family val="2"/>
      <charset val="186"/>
    </font>
    <font>
      <sz val="11"/>
      <color theme="1"/>
      <name val="Calibri"/>
      <family val="2"/>
      <charset val="186"/>
      <scheme val="minor"/>
    </font>
    <font>
      <sz val="10"/>
      <color rgb="FF000000"/>
      <name val="Arial"/>
      <family val="2"/>
      <charset val="186"/>
    </font>
    <font>
      <sz val="11"/>
      <color theme="1"/>
      <name val="Calibri"/>
      <family val="2"/>
      <scheme val="minor"/>
    </font>
    <font>
      <sz val="11"/>
      <color rgb="FF000000"/>
      <name val="Calibri"/>
      <family val="2"/>
      <scheme val="minor"/>
    </font>
    <font>
      <i/>
      <sz val="10"/>
      <color theme="1"/>
      <name val="Arial"/>
      <family val="2"/>
      <charset val="186"/>
    </font>
    <font>
      <b/>
      <sz val="10"/>
      <color theme="1"/>
      <name val="Arial"/>
      <family val="2"/>
      <charset val="186"/>
    </font>
    <font>
      <sz val="10"/>
      <color theme="0" tint="-0.34998626667073579"/>
      <name val="Arial"/>
      <family val="2"/>
      <charset val="186"/>
    </font>
    <font>
      <b/>
      <sz val="10"/>
      <color rgb="FFCC0000"/>
      <name val="Arial"/>
      <family val="2"/>
      <charset val="186"/>
    </font>
    <font>
      <sz val="10"/>
      <color rgb="FFCC0000"/>
      <name val="Arial"/>
      <family val="2"/>
      <charset val="186"/>
    </font>
    <font>
      <b/>
      <sz val="10"/>
      <color theme="1"/>
      <name val="Calibri"/>
      <family val="2"/>
      <charset val="186"/>
      <scheme val="minor"/>
    </font>
    <font>
      <b/>
      <sz val="10"/>
      <color theme="0" tint="-0.34998626667073579"/>
      <name val="Arial"/>
      <family val="2"/>
      <charset val="186"/>
    </font>
    <font>
      <b/>
      <u/>
      <sz val="10"/>
      <color theme="1"/>
      <name val="Arial"/>
      <family val="2"/>
      <charset val="186"/>
    </font>
    <font>
      <b/>
      <sz val="10"/>
      <color rgb="FF0070C0"/>
      <name val="Arial"/>
      <family val="2"/>
      <charset val="186"/>
    </font>
    <font>
      <u/>
      <sz val="10"/>
      <color theme="1"/>
      <name val="Arial"/>
      <family val="2"/>
      <charset val="186"/>
    </font>
    <font>
      <u/>
      <sz val="10"/>
      <color rgb="FF0000FF"/>
      <name val="Arial"/>
      <family val="2"/>
      <charset val="186"/>
    </font>
    <font>
      <sz val="10"/>
      <color rgb="FFFF0000"/>
      <name val="Arial"/>
      <family val="2"/>
      <charset val="186"/>
    </font>
    <font>
      <sz val="10"/>
      <color rgb="FF000000"/>
      <name val="Times New Roman"/>
      <family val="1"/>
      <charset val="186"/>
    </font>
    <font>
      <sz val="10"/>
      <color rgb="FF0000FF"/>
      <name val="Arial"/>
      <family val="2"/>
      <charset val="186"/>
    </font>
    <font>
      <u/>
      <sz val="11"/>
      <color theme="10"/>
      <name val="Calibri"/>
      <family val="2"/>
      <charset val="186"/>
      <scheme val="minor"/>
    </font>
    <font>
      <u/>
      <sz val="10"/>
      <color theme="10"/>
      <name val="Times New Roman"/>
      <family val="1"/>
      <charset val="186"/>
    </font>
    <font>
      <b/>
      <u/>
      <sz val="10"/>
      <color theme="10"/>
      <name val="Arial"/>
      <family val="2"/>
      <charset val="186"/>
    </font>
    <font>
      <b/>
      <sz val="10"/>
      <name val="Arial"/>
      <family val="2"/>
      <charset val="186"/>
    </font>
    <font>
      <b/>
      <sz val="10"/>
      <color rgb="FF00B050"/>
      <name val="Arial"/>
      <family val="2"/>
      <charset val="186"/>
    </font>
    <font>
      <sz val="8"/>
      <color indexed="81"/>
      <name val="Tahoma"/>
      <family val="2"/>
      <charset val="186"/>
    </font>
    <font>
      <b/>
      <sz val="10"/>
      <color rgb="FFFF0000"/>
      <name val="Arial"/>
      <family val="2"/>
      <charset val="186"/>
    </font>
    <font>
      <i/>
      <sz val="10"/>
      <color rgb="FFCC0000"/>
      <name val="Arial"/>
      <family val="2"/>
      <charset val="186"/>
    </font>
    <font>
      <sz val="10"/>
      <color rgb="FF3E2D00"/>
      <name val="Arial"/>
      <family val="2"/>
      <charset val="186"/>
    </font>
    <font>
      <i/>
      <sz val="10"/>
      <color theme="8" tint="0.39997558519241921"/>
      <name val="Arial"/>
      <family val="2"/>
      <charset val="186"/>
    </font>
    <font>
      <i/>
      <u/>
      <sz val="10"/>
      <color theme="8" tint="0.39997558519241921"/>
      <name val="Arial"/>
      <family val="2"/>
      <charset val="186"/>
    </font>
    <font>
      <u/>
      <sz val="10"/>
      <color theme="8" tint="0.39997558519241921"/>
      <name val="Arial"/>
      <family val="2"/>
      <charset val="186"/>
    </font>
    <font>
      <strike/>
      <sz val="10"/>
      <color rgb="FF00B0F0"/>
      <name val="Arial"/>
      <family val="2"/>
      <charset val="186"/>
    </font>
    <font>
      <b/>
      <sz val="10"/>
      <name val="Calibri"/>
      <family val="2"/>
      <charset val="186"/>
      <scheme val="minor"/>
    </font>
    <font>
      <b/>
      <sz val="10"/>
      <color indexed="8"/>
      <name val="Arial"/>
      <family val="2"/>
      <charset val="186"/>
    </font>
  </fonts>
  <fills count="2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00"/>
        <bgColor indexed="64"/>
      </patternFill>
    </fill>
    <fill>
      <patternFill patternType="solid">
        <fgColor rgb="FFFFFF00"/>
        <bgColor indexed="8"/>
      </patternFill>
    </fill>
    <fill>
      <patternFill patternType="solid">
        <fgColor rgb="FFFFFFCC"/>
        <bgColor indexed="64"/>
      </patternFill>
    </fill>
    <fill>
      <patternFill patternType="solid">
        <fgColor rgb="FFCCFFCC"/>
        <bgColor indexed="64"/>
      </patternFill>
    </fill>
    <fill>
      <patternFill patternType="solid">
        <fgColor rgb="FFFFFFFF"/>
      </patternFill>
    </fill>
    <fill>
      <patternFill patternType="solid">
        <fgColor rgb="FFD9D9D9"/>
        <bgColor indexed="64"/>
      </patternFill>
    </fill>
    <fill>
      <patternFill patternType="solid">
        <fgColor rgb="FFFFCCCC"/>
        <bgColor indexed="64"/>
      </patternFill>
    </fill>
    <fill>
      <patternFill patternType="solid">
        <fgColor rgb="FFCCECFF"/>
        <bgColor indexed="64"/>
      </patternFill>
    </fill>
    <fill>
      <patternFill patternType="solid">
        <fgColor theme="0" tint="-0.249977111117893"/>
        <bgColor indexed="64"/>
      </patternFill>
    </fill>
    <fill>
      <patternFill patternType="solid">
        <fgColor rgb="FFEAEAEA"/>
        <bgColor indexed="64"/>
      </patternFill>
    </fill>
    <fill>
      <patternFill patternType="solid">
        <fgColor rgb="FFDDFFDD"/>
        <bgColor indexed="64"/>
      </patternFill>
    </fill>
    <fill>
      <patternFill patternType="solid">
        <fgColor rgb="FF99FF99"/>
        <bgColor indexed="64"/>
      </patternFill>
    </fill>
    <fill>
      <patternFill patternType="solid">
        <fgColor rgb="FFFF9999"/>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s>
  <cellStyleXfs count="23">
    <xf numFmtId="0" fontId="0" fillId="0" borderId="0"/>
    <xf numFmtId="0" fontId="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9" fillId="0" borderId="0"/>
    <xf numFmtId="0" fontId="10" fillId="0" borderId="0"/>
    <xf numFmtId="0" fontId="2" fillId="0" borderId="0"/>
    <xf numFmtId="0" fontId="2" fillId="0" borderId="0"/>
    <xf numFmtId="0" fontId="25" fillId="0" borderId="0"/>
    <xf numFmtId="0" fontId="2" fillId="0" borderId="0"/>
    <xf numFmtId="0" fontId="3" fillId="0" borderId="0"/>
    <xf numFmtId="0" fontId="11" fillId="0" borderId="0"/>
    <xf numFmtId="0" fontId="4" fillId="0" borderId="0"/>
    <xf numFmtId="0" fontId="25" fillId="0" borderId="0"/>
    <xf numFmtId="0" fontId="9" fillId="0" borderId="0"/>
    <xf numFmtId="0" fontId="12" fillId="0" borderId="0"/>
    <xf numFmtId="0" fontId="5" fillId="0" borderId="0"/>
    <xf numFmtId="0" fontId="4" fillId="0" borderId="0"/>
    <xf numFmtId="0" fontId="9" fillId="0" borderId="0"/>
    <xf numFmtId="0" fontId="7" fillId="0" borderId="0"/>
    <xf numFmtId="49" fontId="6" fillId="10" borderId="0" applyBorder="0" applyProtection="0">
      <alignment horizontal="left" vertical="top" wrapText="1"/>
    </xf>
  </cellStyleXfs>
  <cellXfs count="733">
    <xf numFmtId="0" fontId="0" fillId="0" borderId="0" xfId="0"/>
    <xf numFmtId="0" fontId="13" fillId="0" borderId="0" xfId="13" applyFont="1" applyFill="1" applyBorder="1" applyAlignment="1"/>
    <xf numFmtId="0" fontId="7" fillId="0" borderId="0" xfId="13" applyFont="1" applyBorder="1" applyAlignment="1"/>
    <xf numFmtId="0" fontId="7" fillId="0" borderId="0" xfId="13" applyFont="1" applyFill="1" applyBorder="1" applyAlignment="1"/>
    <xf numFmtId="0" fontId="7" fillId="0" borderId="0" xfId="7" applyFont="1" applyFill="1" applyBorder="1" applyAlignment="1"/>
    <xf numFmtId="0" fontId="14" fillId="2" borderId="0" xfId="7" applyFont="1" applyFill="1" applyBorder="1" applyAlignment="1"/>
    <xf numFmtId="0" fontId="7" fillId="3" borderId="0" xfId="7" applyFont="1" applyFill="1" applyBorder="1" applyAlignment="1"/>
    <xf numFmtId="0" fontId="7" fillId="4" borderId="0" xfId="7" applyFont="1" applyFill="1" applyBorder="1" applyAlignment="1"/>
    <xf numFmtId="0" fontId="14" fillId="0" borderId="1" xfId="13" applyFont="1" applyFill="1" applyBorder="1" applyAlignment="1">
      <alignment horizontal="center"/>
    </xf>
    <xf numFmtId="0" fontId="7" fillId="0" borderId="2" xfId="7" applyFont="1" applyFill="1" applyBorder="1" applyAlignment="1"/>
    <xf numFmtId="0" fontId="7" fillId="0" borderId="3" xfId="7" applyFont="1" applyFill="1" applyBorder="1" applyAlignment="1"/>
    <xf numFmtId="0" fontId="7" fillId="0" borderId="4" xfId="7" applyFont="1" applyFill="1" applyBorder="1" applyAlignment="1"/>
    <xf numFmtId="0" fontId="7" fillId="5" borderId="5" xfId="13" applyFont="1" applyFill="1" applyBorder="1" applyAlignment="1"/>
    <xf numFmtId="0" fontId="7" fillId="6" borderId="1" xfId="13" applyFont="1" applyFill="1" applyBorder="1" applyAlignment="1">
      <alignment horizontal="center"/>
    </xf>
    <xf numFmtId="0" fontId="7" fillId="0" borderId="6" xfId="7" applyFont="1" applyFill="1" applyBorder="1" applyAlignment="1"/>
    <xf numFmtId="0" fontId="7" fillId="5" borderId="6" xfId="13" applyFont="1" applyFill="1" applyBorder="1" applyAlignment="1"/>
    <xf numFmtId="0" fontId="7" fillId="0" borderId="6" xfId="13" applyFont="1" applyFill="1" applyBorder="1" applyAlignment="1"/>
    <xf numFmtId="0" fontId="7" fillId="0" borderId="5" xfId="7" applyFont="1" applyFill="1" applyBorder="1" applyAlignment="1"/>
    <xf numFmtId="0" fontId="14" fillId="0" borderId="1" xfId="13" applyFont="1" applyFill="1" applyBorder="1" applyAlignment="1"/>
    <xf numFmtId="0" fontId="15" fillId="0" borderId="1" xfId="13" applyFont="1" applyFill="1" applyBorder="1" applyAlignment="1"/>
    <xf numFmtId="0" fontId="15" fillId="0" borderId="1" xfId="13" applyFont="1" applyFill="1" applyBorder="1" applyAlignment="1">
      <alignment horizontal="center"/>
    </xf>
    <xf numFmtId="0" fontId="7" fillId="0" borderId="7" xfId="7" applyFont="1" applyFill="1" applyBorder="1" applyAlignment="1"/>
    <xf numFmtId="0" fontId="7" fillId="0" borderId="7" xfId="13" applyFont="1" applyFill="1" applyBorder="1" applyAlignment="1"/>
    <xf numFmtId="0" fontId="7" fillId="5" borderId="7" xfId="13" applyFont="1" applyFill="1" applyBorder="1" applyAlignment="1"/>
    <xf numFmtId="0" fontId="15" fillId="0" borderId="1" xfId="13" applyNumberFormat="1" applyFont="1" applyFill="1" applyBorder="1" applyAlignment="1">
      <alignment horizontal="center"/>
    </xf>
    <xf numFmtId="164" fontId="15" fillId="0" borderId="1" xfId="13" applyNumberFormat="1" applyFont="1" applyFill="1" applyBorder="1" applyAlignment="1">
      <alignment horizontal="center"/>
    </xf>
    <xf numFmtId="0" fontId="16" fillId="0" borderId="1" xfId="13" applyFont="1" applyFill="1" applyBorder="1" applyAlignment="1"/>
    <xf numFmtId="0" fontId="17" fillId="0" borderId="1" xfId="13" applyFont="1" applyFill="1" applyBorder="1" applyAlignment="1"/>
    <xf numFmtId="0" fontId="14" fillId="3" borderId="0" xfId="13" applyFont="1" applyFill="1" applyBorder="1" applyAlignment="1">
      <alignment horizontal="center"/>
    </xf>
    <xf numFmtId="0" fontId="7" fillId="3" borderId="0" xfId="7" applyFont="1" applyFill="1" applyBorder="1" applyAlignment="1">
      <alignment horizontal="right"/>
    </xf>
    <xf numFmtId="0" fontId="7" fillId="3" borderId="0" xfId="13" applyFont="1" applyFill="1" applyBorder="1" applyAlignment="1"/>
    <xf numFmtId="164" fontId="7" fillId="3" borderId="0" xfId="7" applyNumberFormat="1" applyFont="1" applyFill="1" applyBorder="1" applyAlignment="1">
      <alignment horizontal="center"/>
    </xf>
    <xf numFmtId="0" fontId="7" fillId="3" borderId="0" xfId="7" applyFont="1" applyFill="1" applyBorder="1" applyAlignment="1">
      <alignment horizontal="center"/>
    </xf>
    <xf numFmtId="1" fontId="7" fillId="3" borderId="0" xfId="7" applyNumberFormat="1" applyFont="1" applyFill="1" applyBorder="1" applyAlignment="1">
      <alignment horizontal="center"/>
    </xf>
    <xf numFmtId="0" fontId="0" fillId="0" borderId="0" xfId="0" applyFont="1"/>
    <xf numFmtId="0" fontId="18" fillId="0" borderId="1" xfId="13" applyFont="1" applyFill="1" applyBorder="1" applyAlignment="1">
      <alignment horizontal="center"/>
    </xf>
    <xf numFmtId="0" fontId="18" fillId="6" borderId="1" xfId="13" applyFont="1" applyFill="1" applyBorder="1" applyAlignment="1">
      <alignment horizontal="center"/>
    </xf>
    <xf numFmtId="0" fontId="18" fillId="5" borderId="1" xfId="13" applyFont="1" applyFill="1" applyBorder="1" applyAlignment="1">
      <alignment horizontal="center"/>
    </xf>
    <xf numFmtId="0" fontId="19" fillId="0" borderId="1" xfId="13" applyFont="1" applyFill="1" applyBorder="1" applyAlignment="1"/>
    <xf numFmtId="0" fontId="14" fillId="0" borderId="0" xfId="6" applyFont="1"/>
    <xf numFmtId="0" fontId="7" fillId="0" borderId="0" xfId="6" applyFont="1"/>
    <xf numFmtId="0" fontId="14" fillId="0" borderId="1" xfId="16" applyFont="1" applyBorder="1" applyAlignment="1"/>
    <xf numFmtId="0" fontId="14" fillId="0" borderId="1" xfId="16" applyFont="1" applyBorder="1" applyAlignment="1">
      <alignment horizontal="center"/>
    </xf>
    <xf numFmtId="0" fontId="7" fillId="0" borderId="0" xfId="16" applyFont="1" applyAlignment="1"/>
    <xf numFmtId="0" fontId="14" fillId="0" borderId="1" xfId="16" applyFont="1" applyFill="1" applyBorder="1" applyAlignment="1">
      <alignment horizontal="center"/>
    </xf>
    <xf numFmtId="0" fontId="7" fillId="0" borderId="1" xfId="16" applyFont="1" applyFill="1" applyBorder="1" applyAlignment="1">
      <alignment horizontal="center"/>
    </xf>
    <xf numFmtId="0" fontId="7" fillId="0" borderId="1" xfId="16" applyFont="1" applyFill="1" applyBorder="1" applyAlignment="1"/>
    <xf numFmtId="0" fontId="14" fillId="0" borderId="0" xfId="16" applyFont="1" applyBorder="1" applyAlignment="1"/>
    <xf numFmtId="0" fontId="7" fillId="0" borderId="0" xfId="16" applyFont="1" applyBorder="1" applyAlignment="1"/>
    <xf numFmtId="0" fontId="7" fillId="0" borderId="0" xfId="16" applyFont="1" applyBorder="1" applyAlignment="1">
      <alignment horizontal="center"/>
    </xf>
    <xf numFmtId="0" fontId="7" fillId="0" borderId="0" xfId="16" applyFont="1" applyFill="1" applyBorder="1" applyAlignment="1">
      <alignment horizontal="center"/>
    </xf>
    <xf numFmtId="49" fontId="7" fillId="0" borderId="0" xfId="16" applyNumberFormat="1" applyFont="1" applyBorder="1" applyAlignment="1">
      <alignment horizontal="center"/>
    </xf>
    <xf numFmtId="0" fontId="7" fillId="0" borderId="0" xfId="16" applyFont="1" applyFill="1" applyBorder="1" applyAlignment="1"/>
    <xf numFmtId="49" fontId="7" fillId="0" borderId="0" xfId="16" applyNumberFormat="1" applyFont="1" applyFill="1" applyBorder="1" applyAlignment="1">
      <alignment horizontal="center"/>
    </xf>
    <xf numFmtId="0" fontId="7" fillId="0" borderId="1" xfId="6" applyFont="1" applyBorder="1"/>
    <xf numFmtId="0" fontId="20" fillId="0" borderId="0" xfId="11" applyFont="1" applyAlignment="1"/>
    <xf numFmtId="0" fontId="7" fillId="0" borderId="0" xfId="11" applyFont="1" applyAlignment="1"/>
    <xf numFmtId="0" fontId="14" fillId="0" borderId="0" xfId="11" applyFont="1" applyAlignment="1"/>
    <xf numFmtId="0" fontId="7" fillId="0" borderId="10" xfId="8" applyFont="1" applyFill="1" applyBorder="1" applyAlignment="1"/>
    <xf numFmtId="0" fontId="7" fillId="0" borderId="0" xfId="11" applyFont="1" applyBorder="1" applyAlignment="1"/>
    <xf numFmtId="0" fontId="7" fillId="0" borderId="9" xfId="8" applyFont="1" applyFill="1" applyBorder="1" applyAlignment="1"/>
    <xf numFmtId="0" fontId="8" fillId="0" borderId="0" xfId="1"/>
    <xf numFmtId="0" fontId="20" fillId="0" borderId="0" xfId="8" applyFont="1" applyAlignment="1"/>
    <xf numFmtId="0" fontId="7" fillId="0" borderId="0" xfId="8" applyFont="1" applyAlignment="1"/>
    <xf numFmtId="0" fontId="14" fillId="0" borderId="0" xfId="8" applyFont="1" applyAlignment="1"/>
    <xf numFmtId="0" fontId="7" fillId="0" borderId="3" xfId="8" applyFont="1" applyBorder="1" applyAlignment="1"/>
    <xf numFmtId="0" fontId="7" fillId="0" borderId="4" xfId="8" applyFont="1" applyBorder="1" applyAlignment="1"/>
    <xf numFmtId="0" fontId="7" fillId="0" borderId="8" xfId="8" applyFont="1" applyBorder="1" applyAlignment="1"/>
    <xf numFmtId="0" fontId="7" fillId="0" borderId="9" xfId="8" applyFont="1" applyBorder="1" applyAlignment="1"/>
    <xf numFmtId="0" fontId="7" fillId="0" borderId="0" xfId="8" applyFont="1" applyAlignment="1">
      <alignment horizontal="left"/>
    </xf>
    <xf numFmtId="0" fontId="7" fillId="0" borderId="11" xfId="8" applyFont="1" applyBorder="1" applyAlignment="1">
      <alignment horizontal="left"/>
    </xf>
    <xf numFmtId="0" fontId="7" fillId="0" borderId="0" xfId="8" applyFont="1" applyBorder="1" applyAlignment="1"/>
    <xf numFmtId="0" fontId="7" fillId="0" borderId="12" xfId="8" applyFont="1" applyBorder="1" applyAlignment="1"/>
    <xf numFmtId="0" fontId="7" fillId="0" borderId="0" xfId="8" applyFont="1" applyFill="1" applyBorder="1" applyAlignment="1"/>
    <xf numFmtId="0" fontId="7" fillId="0" borderId="11" xfId="8" applyFont="1" applyBorder="1" applyAlignment="1"/>
    <xf numFmtId="0" fontId="7" fillId="0" borderId="10" xfId="8" applyFont="1" applyBorder="1" applyAlignment="1"/>
    <xf numFmtId="0" fontId="7" fillId="0" borderId="13" xfId="8" applyFont="1" applyBorder="1" applyAlignment="1"/>
    <xf numFmtId="0" fontId="14" fillId="0" borderId="14" xfId="8" applyFont="1" applyBorder="1" applyAlignment="1"/>
    <xf numFmtId="0" fontId="7" fillId="0" borderId="14" xfId="8" applyFont="1" applyBorder="1" applyAlignment="1"/>
    <xf numFmtId="0" fontId="7" fillId="0" borderId="15" xfId="8" applyFont="1" applyBorder="1" applyAlignment="1"/>
    <xf numFmtId="0" fontId="7" fillId="0" borderId="0" xfId="8" applyFont="1" applyFill="1" applyBorder="1" applyAlignment="1">
      <alignment horizontal="left"/>
    </xf>
    <xf numFmtId="0" fontId="14" fillId="0" borderId="0" xfId="8" applyFont="1" applyBorder="1" applyAlignment="1"/>
    <xf numFmtId="0" fontId="7" fillId="0" borderId="2" xfId="8" applyFont="1" applyBorder="1" applyAlignment="1">
      <alignment horizontal="left"/>
    </xf>
    <xf numFmtId="0" fontId="7" fillId="0" borderId="0" xfId="16" applyFont="1"/>
    <xf numFmtId="0" fontId="14" fillId="0" borderId="0" xfId="16" applyFont="1" applyAlignment="1">
      <alignment horizontal="right"/>
    </xf>
    <xf numFmtId="0" fontId="14" fillId="0" borderId="0" xfId="8" applyFont="1" applyAlignment="1">
      <alignment horizontal="right"/>
    </xf>
    <xf numFmtId="0" fontId="7" fillId="0" borderId="3" xfId="16" applyFont="1" applyBorder="1"/>
    <xf numFmtId="0" fontId="7" fillId="0" borderId="8" xfId="16" applyFont="1" applyBorder="1"/>
    <xf numFmtId="0" fontId="7" fillId="0" borderId="9" xfId="16" applyFont="1" applyBorder="1"/>
    <xf numFmtId="0" fontId="7" fillId="0" borderId="4" xfId="16" applyFont="1" applyBorder="1"/>
    <xf numFmtId="0" fontId="7" fillId="0" borderId="0" xfId="16" applyFont="1" applyBorder="1"/>
    <xf numFmtId="0" fontId="7" fillId="0" borderId="12" xfId="16" applyFont="1" applyBorder="1"/>
    <xf numFmtId="0" fontId="7" fillId="0" borderId="15" xfId="16" applyFont="1" applyBorder="1"/>
    <xf numFmtId="0" fontId="7" fillId="0" borderId="13" xfId="16" applyFont="1" applyBorder="1"/>
    <xf numFmtId="0" fontId="7" fillId="0" borderId="14" xfId="16" applyFont="1" applyBorder="1"/>
    <xf numFmtId="0" fontId="7" fillId="0" borderId="11" xfId="16" applyFont="1" applyBorder="1"/>
    <xf numFmtId="0" fontId="7" fillId="0" borderId="10" xfId="16" applyFont="1" applyBorder="1"/>
    <xf numFmtId="0" fontId="7" fillId="0" borderId="0" xfId="16" applyFont="1" applyBorder="1" applyAlignment="1">
      <alignment horizontal="left"/>
    </xf>
    <xf numFmtId="0" fontId="14" fillId="0" borderId="0" xfId="16" applyFont="1"/>
    <xf numFmtId="0" fontId="7" fillId="0" borderId="0" xfId="16" applyFont="1" applyFill="1" applyBorder="1" applyAlignment="1">
      <alignment horizontal="left"/>
    </xf>
    <xf numFmtId="0" fontId="14" fillId="0" borderId="0" xfId="16" applyFont="1" applyBorder="1"/>
    <xf numFmtId="0" fontId="14" fillId="0" borderId="1" xfId="8" applyFont="1" applyBorder="1" applyAlignment="1"/>
    <xf numFmtId="0" fontId="14" fillId="2" borderId="1" xfId="8" applyFont="1" applyFill="1" applyBorder="1" applyAlignment="1"/>
    <xf numFmtId="0" fontId="7" fillId="3" borderId="1" xfId="8" applyFont="1" applyFill="1" applyBorder="1" applyAlignment="1"/>
    <xf numFmtId="0" fontId="7" fillId="4" borderId="1" xfId="8" applyFont="1" applyFill="1" applyBorder="1" applyAlignment="1"/>
    <xf numFmtId="0" fontId="7" fillId="0" borderId="1" xfId="8" applyFont="1" applyBorder="1" applyAlignment="1"/>
    <xf numFmtId="0" fontId="7" fillId="0" borderId="1" xfId="8" applyFont="1" applyFill="1" applyBorder="1" applyAlignment="1"/>
    <xf numFmtId="0" fontId="7" fillId="0" borderId="1" xfId="8" applyFont="1" applyFill="1" applyBorder="1"/>
    <xf numFmtId="0" fontId="7" fillId="0" borderId="1" xfId="8" applyNumberFormat="1" applyFont="1" applyFill="1" applyBorder="1" applyAlignment="1"/>
    <xf numFmtId="0" fontId="7" fillId="0" borderId="1" xfId="16" applyNumberFormat="1" applyFont="1" applyFill="1" applyBorder="1" applyAlignment="1"/>
    <xf numFmtId="0" fontId="7" fillId="0" borderId="0" xfId="16" applyNumberFormat="1" applyFont="1" applyBorder="1" applyAlignment="1"/>
    <xf numFmtId="0" fontId="7" fillId="0" borderId="1" xfId="8" applyNumberFormat="1" applyFont="1" applyFill="1" applyBorder="1"/>
    <xf numFmtId="49" fontId="14" fillId="0" borderId="1" xfId="8" applyNumberFormat="1" applyFont="1" applyBorder="1" applyAlignment="1">
      <alignment horizontal="right"/>
    </xf>
    <xf numFmtId="0" fontId="7" fillId="0" borderId="0" xfId="8" applyFont="1" applyFill="1" applyAlignment="1">
      <alignment horizontal="left"/>
    </xf>
    <xf numFmtId="0" fontId="20" fillId="0" borderId="0" xfId="16" applyFont="1" applyBorder="1"/>
    <xf numFmtId="0" fontId="14" fillId="0" borderId="0" xfId="16" applyFont="1" applyFill="1" applyBorder="1" applyAlignment="1">
      <alignment horizontal="right"/>
    </xf>
    <xf numFmtId="0" fontId="7" fillId="0" borderId="2" xfId="16" applyFont="1" applyBorder="1"/>
    <xf numFmtId="0" fontId="14" fillId="0" borderId="14" xfId="16" applyFont="1" applyBorder="1"/>
    <xf numFmtId="0" fontId="7" fillId="0" borderId="9" xfId="16" applyFont="1" applyFill="1" applyBorder="1"/>
    <xf numFmtId="0" fontId="7" fillId="0" borderId="2" xfId="16" applyFont="1" applyBorder="1" applyAlignment="1">
      <alignment horizontal="left"/>
    </xf>
    <xf numFmtId="0" fontId="7" fillId="0" borderId="11" xfId="16" applyFont="1" applyBorder="1" applyAlignment="1">
      <alignment horizontal="left"/>
    </xf>
    <xf numFmtId="0" fontId="20" fillId="0" borderId="0" xfId="16" applyFont="1"/>
    <xf numFmtId="0" fontId="7" fillId="0" borderId="3" xfId="16" applyFont="1" applyBorder="1" applyAlignment="1">
      <alignment horizontal="left"/>
    </xf>
    <xf numFmtId="0" fontId="7" fillId="0" borderId="4" xfId="16" applyFont="1" applyBorder="1" applyAlignment="1">
      <alignment horizontal="left"/>
    </xf>
    <xf numFmtId="0" fontId="7" fillId="0" borderId="9" xfId="16" applyFont="1" applyBorder="1" applyAlignment="1">
      <alignment horizontal="left"/>
    </xf>
    <xf numFmtId="0" fontId="7" fillId="0" borderId="10" xfId="16" applyFont="1" applyBorder="1" applyAlignment="1">
      <alignment horizontal="left"/>
    </xf>
    <xf numFmtId="0" fontId="7" fillId="0" borderId="12" xfId="16" applyFont="1" applyBorder="1" applyAlignment="1">
      <alignment horizontal="left"/>
    </xf>
    <xf numFmtId="0" fontId="7" fillId="0" borderId="13" xfId="16" applyFont="1" applyBorder="1" applyAlignment="1">
      <alignment horizontal="left"/>
    </xf>
    <xf numFmtId="0" fontId="7" fillId="0" borderId="15" xfId="16" applyFont="1" applyBorder="1" applyAlignment="1">
      <alignment horizontal="left"/>
    </xf>
    <xf numFmtId="0" fontId="7" fillId="0" borderId="0" xfId="8" applyFont="1" applyAlignment="1">
      <alignment horizontal="right"/>
    </xf>
    <xf numFmtId="0" fontId="7" fillId="0" borderId="0" xfId="8" applyNumberFormat="1" applyFont="1" applyFill="1" applyBorder="1" applyAlignment="1"/>
    <xf numFmtId="0" fontId="7" fillId="0" borderId="2" xfId="16" applyFont="1" applyFill="1" applyBorder="1" applyAlignment="1">
      <alignment horizontal="left"/>
    </xf>
    <xf numFmtId="0" fontId="7" fillId="0" borderId="0" xfId="13" applyFont="1"/>
    <xf numFmtId="0" fontId="7" fillId="0" borderId="20" xfId="6" applyFont="1" applyBorder="1" applyAlignment="1">
      <alignment horizontal="center" vertical="center" wrapText="1"/>
    </xf>
    <xf numFmtId="0" fontId="7" fillId="0" borderId="0" xfId="13" applyFont="1" applyAlignment="1">
      <alignment vertical="center"/>
    </xf>
    <xf numFmtId="0" fontId="7" fillId="0" borderId="20" xfId="6" applyFont="1" applyBorder="1" applyAlignment="1">
      <alignment horizontal="center" vertical="center"/>
    </xf>
    <xf numFmtId="0" fontId="7" fillId="0" borderId="21" xfId="6" applyFont="1" applyFill="1" applyBorder="1" applyAlignment="1">
      <alignment horizontal="center" vertical="center" wrapText="1"/>
    </xf>
    <xf numFmtId="0" fontId="21" fillId="0" borderId="0" xfId="13" applyFont="1" applyFill="1" applyBorder="1" applyAlignment="1"/>
    <xf numFmtId="0" fontId="21" fillId="0" borderId="0" xfId="6" applyFont="1"/>
    <xf numFmtId="0" fontId="22" fillId="5" borderId="1" xfId="1" applyFont="1" applyFill="1" applyBorder="1"/>
    <xf numFmtId="0" fontId="0" fillId="0" borderId="0" xfId="0" applyFont="1" applyFill="1"/>
    <xf numFmtId="0" fontId="21" fillId="0" borderId="0" xfId="6" applyFont="1" applyAlignment="1">
      <alignment vertical="center"/>
    </xf>
    <xf numFmtId="0" fontId="14" fillId="3" borderId="1" xfId="13" applyFont="1" applyFill="1" applyBorder="1" applyAlignment="1">
      <alignment horizontal="center"/>
    </xf>
    <xf numFmtId="0" fontId="14" fillId="3" borderId="1" xfId="13" applyNumberFormat="1" applyFont="1" applyFill="1" applyBorder="1" applyAlignment="1">
      <alignment horizontal="center"/>
    </xf>
    <xf numFmtId="165" fontId="15" fillId="0" borderId="1" xfId="13" applyNumberFormat="1" applyFont="1" applyFill="1" applyBorder="1" applyAlignment="1">
      <alignment horizontal="right"/>
    </xf>
    <xf numFmtId="0" fontId="7" fillId="0" borderId="1" xfId="13" applyFont="1" applyFill="1" applyBorder="1" applyAlignment="1">
      <alignment horizontal="center"/>
    </xf>
    <xf numFmtId="0" fontId="17" fillId="0" borderId="1" xfId="0" applyFont="1" applyFill="1" applyBorder="1" applyAlignment="1"/>
    <xf numFmtId="0" fontId="7" fillId="0" borderId="0" xfId="6" applyFont="1" applyBorder="1"/>
    <xf numFmtId="0" fontId="7" fillId="0" borderId="0" xfId="6" applyFont="1"/>
    <xf numFmtId="0" fontId="7" fillId="0" borderId="0" xfId="8" applyFont="1" applyBorder="1" applyAlignment="1">
      <alignment horizontal="left"/>
    </xf>
    <xf numFmtId="0" fontId="13" fillId="0" borderId="1" xfId="13" applyFont="1" applyFill="1" applyBorder="1" applyAlignment="1"/>
    <xf numFmtId="0" fontId="14" fillId="8" borderId="1" xfId="13" applyFont="1" applyFill="1" applyBorder="1" applyAlignment="1"/>
    <xf numFmtId="0" fontId="14" fillId="3" borderId="1" xfId="13" applyFont="1" applyFill="1" applyBorder="1" applyAlignment="1"/>
    <xf numFmtId="49" fontId="7" fillId="0" borderId="1" xfId="16" applyNumberFormat="1" applyFont="1" applyFill="1" applyBorder="1" applyAlignment="1">
      <alignment horizontal="center"/>
    </xf>
    <xf numFmtId="0" fontId="7" fillId="0" borderId="1" xfId="16" applyFont="1" applyBorder="1" applyAlignment="1"/>
    <xf numFmtId="0" fontId="7" fillId="0" borderId="3" xfId="16" applyFont="1" applyBorder="1"/>
    <xf numFmtId="0" fontId="7" fillId="0" borderId="0" xfId="16" applyFont="1" applyAlignment="1">
      <alignment horizontal="left"/>
    </xf>
    <xf numFmtId="0" fontId="7" fillId="0" borderId="9" xfId="16" applyFont="1" applyBorder="1"/>
    <xf numFmtId="0" fontId="7" fillId="0" borderId="10" xfId="8" applyFont="1" applyFill="1" applyBorder="1" applyAlignment="1"/>
    <xf numFmtId="0" fontId="7" fillId="0" borderId="0" xfId="8" applyFont="1" applyAlignment="1"/>
    <xf numFmtId="0" fontId="7" fillId="0" borderId="9" xfId="8" applyFont="1" applyBorder="1" applyAlignment="1"/>
    <xf numFmtId="0" fontId="7" fillId="0" borderId="15" xfId="8" applyFont="1" applyBorder="1" applyAlignment="1"/>
    <xf numFmtId="0" fontId="7" fillId="0" borderId="0" xfId="8" applyFont="1" applyBorder="1" applyAlignment="1"/>
    <xf numFmtId="0" fontId="0" fillId="0" borderId="1" xfId="0" applyFont="1" applyFill="1" applyBorder="1" applyAlignment="1"/>
    <xf numFmtId="164" fontId="14" fillId="3" borderId="1" xfId="13" applyNumberFormat="1" applyFont="1" applyFill="1" applyBorder="1" applyAlignment="1">
      <alignment horizontal="center"/>
    </xf>
    <xf numFmtId="0" fontId="7" fillId="0" borderId="0" xfId="6" applyFont="1" applyAlignment="1">
      <alignment vertical="center" wrapText="1"/>
    </xf>
    <xf numFmtId="0" fontId="21" fillId="0" borderId="0" xfId="6" applyFont="1" applyAlignment="1">
      <alignment vertical="center" wrapText="1"/>
    </xf>
    <xf numFmtId="0" fontId="7" fillId="0" borderId="0" xfId="6" applyFont="1" applyAlignment="1">
      <alignment vertical="center"/>
    </xf>
    <xf numFmtId="0" fontId="7" fillId="0" borderId="0" xfId="6" applyFont="1" applyAlignment="1">
      <alignment vertical="center" wrapText="1"/>
    </xf>
    <xf numFmtId="0" fontId="7" fillId="0" borderId="1" xfId="13" applyFont="1" applyBorder="1" applyAlignment="1">
      <alignment horizontal="center"/>
    </xf>
    <xf numFmtId="0" fontId="14" fillId="0" borderId="0" xfId="0" applyFont="1" applyFill="1" applyAlignment="1">
      <alignment wrapText="1"/>
    </xf>
    <xf numFmtId="0" fontId="0" fillId="0" borderId="0" xfId="0" applyFill="1" applyAlignment="1">
      <alignment wrapText="1"/>
    </xf>
    <xf numFmtId="0" fontId="22" fillId="0" borderId="1" xfId="1" applyFont="1" applyFill="1" applyBorder="1"/>
    <xf numFmtId="0" fontId="23" fillId="0" borderId="1" xfId="1" applyFont="1" applyFill="1" applyBorder="1" applyAlignment="1"/>
    <xf numFmtId="0" fontId="7" fillId="5" borderId="1" xfId="1" applyFont="1" applyFill="1" applyBorder="1"/>
    <xf numFmtId="0" fontId="7" fillId="0" borderId="1" xfId="1" applyFont="1" applyFill="1" applyBorder="1"/>
    <xf numFmtId="0" fontId="8" fillId="0" borderId="1" xfId="1" applyFill="1" applyBorder="1" applyAlignment="1">
      <alignment horizontal="center"/>
    </xf>
    <xf numFmtId="0" fontId="8" fillId="5" borderId="1" xfId="1" applyFill="1" applyBorder="1" applyAlignment="1">
      <alignment horizontal="center"/>
    </xf>
    <xf numFmtId="0" fontId="17" fillId="0" borderId="1" xfId="0" applyFont="1" applyBorder="1"/>
    <xf numFmtId="0" fontId="0" fillId="0" borderId="1" xfId="0" applyBorder="1"/>
    <xf numFmtId="0" fontId="17" fillId="8" borderId="1" xfId="0" applyFont="1" applyFill="1" applyBorder="1" applyAlignment="1"/>
    <xf numFmtId="0" fontId="7" fillId="8" borderId="1" xfId="13" applyFont="1" applyFill="1" applyBorder="1" applyAlignment="1"/>
    <xf numFmtId="0" fontId="7" fillId="3" borderId="3" xfId="13" applyFont="1" applyFill="1" applyBorder="1" applyAlignment="1"/>
    <xf numFmtId="164" fontId="14" fillId="3" borderId="3" xfId="13" applyNumberFormat="1" applyFont="1" applyFill="1" applyBorder="1" applyAlignment="1">
      <alignment horizontal="center"/>
    </xf>
    <xf numFmtId="164" fontId="16" fillId="3" borderId="3" xfId="13" applyNumberFormat="1" applyFont="1" applyFill="1" applyBorder="1" applyAlignment="1">
      <alignment horizontal="center"/>
    </xf>
    <xf numFmtId="0" fontId="7" fillId="0" borderId="1" xfId="13" applyNumberFormat="1" applyFont="1" applyFill="1" applyBorder="1" applyAlignment="1">
      <alignment horizontal="center"/>
    </xf>
    <xf numFmtId="0" fontId="7" fillId="0" borderId="1" xfId="13" applyFont="1" applyFill="1" applyBorder="1" applyAlignment="1"/>
    <xf numFmtId="0" fontId="0" fillId="0" borderId="1" xfId="0" applyFill="1" applyBorder="1"/>
    <xf numFmtId="0" fontId="17" fillId="0" borderId="1" xfId="0" applyFont="1" applyFill="1" applyBorder="1"/>
    <xf numFmtId="0" fontId="7" fillId="0" borderId="0" xfId="6" applyNumberFormat="1" applyFont="1" applyAlignment="1"/>
    <xf numFmtId="0" fontId="14" fillId="0" borderId="0" xfId="6" applyNumberFormat="1" applyFont="1" applyAlignment="1"/>
    <xf numFmtId="0" fontId="7" fillId="9" borderId="0" xfId="10" applyFont="1" applyFill="1" applyBorder="1" applyAlignment="1">
      <alignment horizontal="right"/>
    </xf>
    <xf numFmtId="0" fontId="14" fillId="3" borderId="1" xfId="6" applyNumberFormat="1" applyFont="1" applyFill="1" applyBorder="1" applyAlignment="1"/>
    <xf numFmtId="0" fontId="7" fillId="0" borderId="0" xfId="6" applyNumberFormat="1" applyFont="1" applyAlignment="1">
      <alignment horizontal="center"/>
    </xf>
    <xf numFmtId="0" fontId="7" fillId="0" borderId="1" xfId="6" applyNumberFormat="1" applyFont="1" applyFill="1" applyBorder="1" applyAlignment="1"/>
    <xf numFmtId="0" fontId="0" fillId="0" borderId="1" xfId="0" applyNumberFormat="1" applyFont="1" applyFill="1" applyBorder="1" applyAlignment="1"/>
    <xf numFmtId="166" fontId="7" fillId="0" borderId="1" xfId="6" applyNumberFormat="1" applyFont="1" applyFill="1" applyBorder="1" applyAlignment="1">
      <alignment horizontal="center"/>
    </xf>
    <xf numFmtId="164" fontId="7" fillId="0" borderId="1" xfId="6" applyNumberFormat="1" applyFont="1" applyFill="1" applyBorder="1" applyAlignment="1">
      <alignment horizontal="center"/>
    </xf>
    <xf numFmtId="49" fontId="7" fillId="0" borderId="1" xfId="6" applyNumberFormat="1" applyFont="1" applyFill="1" applyBorder="1" applyAlignment="1"/>
    <xf numFmtId="0" fontId="7" fillId="0" borderId="0" xfId="6" applyNumberFormat="1" applyFont="1" applyFill="1" applyAlignment="1"/>
    <xf numFmtId="0" fontId="7" fillId="0" borderId="0" xfId="6" applyFont="1" applyFill="1" applyAlignment="1"/>
    <xf numFmtId="0" fontId="7" fillId="0" borderId="0" xfId="6" applyNumberFormat="1" applyFont="1" applyFill="1" applyAlignment="1">
      <alignment horizontal="left"/>
    </xf>
    <xf numFmtId="0" fontId="24" fillId="0" borderId="0" xfId="6" applyNumberFormat="1" applyFont="1" applyAlignment="1"/>
    <xf numFmtId="0" fontId="7" fillId="9" borderId="0" xfId="10" applyFont="1" applyFill="1" applyBorder="1" applyAlignment="1">
      <alignment horizontal="right"/>
    </xf>
    <xf numFmtId="0" fontId="7" fillId="0" borderId="1" xfId="6" applyNumberFormat="1" applyFont="1" applyFill="1" applyBorder="1" applyAlignment="1"/>
    <xf numFmtId="0" fontId="7" fillId="0" borderId="0" xfId="6" applyNumberFormat="1" applyFont="1" applyFill="1" applyBorder="1" applyAlignment="1"/>
    <xf numFmtId="49" fontId="7" fillId="0" borderId="0" xfId="6" applyNumberFormat="1" applyFont="1" applyFill="1" applyBorder="1" applyAlignment="1"/>
    <xf numFmtId="0" fontId="23" fillId="0" borderId="0" xfId="1" applyNumberFormat="1" applyFont="1" applyFill="1" applyBorder="1" applyAlignment="1"/>
    <xf numFmtId="0" fontId="22" fillId="0" borderId="0" xfId="1" applyFont="1" applyFill="1" applyBorder="1" applyAlignment="1"/>
    <xf numFmtId="0" fontId="0" fillId="0" borderId="0" xfId="0" applyNumberFormat="1" applyFont="1" applyFill="1" applyBorder="1" applyAlignment="1"/>
    <xf numFmtId="166" fontId="7" fillId="0" borderId="0" xfId="6" applyNumberFormat="1" applyFont="1" applyFill="1" applyBorder="1" applyAlignment="1">
      <alignment horizontal="center"/>
    </xf>
    <xf numFmtId="164" fontId="7" fillId="0" borderId="0" xfId="6" applyNumberFormat="1" applyFont="1" applyFill="1" applyBorder="1" applyAlignment="1">
      <alignment horizontal="center"/>
    </xf>
    <xf numFmtId="0" fontId="7" fillId="0" borderId="1" xfId="1" applyFont="1" applyFill="1" applyBorder="1" applyAlignment="1"/>
    <xf numFmtId="0" fontId="23" fillId="0" borderId="0" xfId="2" applyNumberFormat="1" applyFont="1" applyFill="1" applyBorder="1" applyAlignment="1"/>
    <xf numFmtId="0" fontId="26" fillId="0" borderId="0" xfId="6" applyNumberFormat="1" applyFont="1" applyFill="1" applyAlignment="1"/>
    <xf numFmtId="0" fontId="8" fillId="8" borderId="1" xfId="1" applyFill="1" applyBorder="1" applyAlignment="1"/>
    <xf numFmtId="0" fontId="14" fillId="0" borderId="1" xfId="6" applyNumberFormat="1" applyFont="1" applyFill="1" applyBorder="1" applyAlignment="1"/>
    <xf numFmtId="0" fontId="14" fillId="0" borderId="1" xfId="0" applyNumberFormat="1" applyFont="1" applyFill="1" applyBorder="1" applyAlignment="1"/>
    <xf numFmtId="0" fontId="29" fillId="0" borderId="1" xfId="1" applyFont="1" applyFill="1" applyBorder="1" applyAlignment="1"/>
    <xf numFmtId="166" fontId="14" fillId="0" borderId="1" xfId="6" applyNumberFormat="1" applyFont="1" applyFill="1" applyBorder="1" applyAlignment="1">
      <alignment horizontal="center"/>
    </xf>
    <xf numFmtId="164" fontId="14" fillId="0" borderId="1" xfId="6" applyNumberFormat="1" applyFont="1" applyFill="1" applyBorder="1" applyAlignment="1">
      <alignment horizontal="center"/>
    </xf>
    <xf numFmtId="49" fontId="14" fillId="0" borderId="1" xfId="6" applyNumberFormat="1" applyFont="1" applyFill="1" applyBorder="1" applyAlignment="1"/>
    <xf numFmtId="0" fontId="8" fillId="12" borderId="1" xfId="1" applyFill="1" applyBorder="1" applyAlignment="1"/>
    <xf numFmtId="0" fontId="29" fillId="0" borderId="1" xfId="1" applyNumberFormat="1" applyFont="1" applyFill="1" applyBorder="1" applyAlignment="1"/>
    <xf numFmtId="0" fontId="20" fillId="0" borderId="1" xfId="1" applyFont="1" applyFill="1" applyBorder="1" applyAlignment="1"/>
    <xf numFmtId="0" fontId="21" fillId="0" borderId="0" xfId="6" applyNumberFormat="1" applyFont="1" applyAlignment="1"/>
    <xf numFmtId="0" fontId="0" fillId="0" borderId="1" xfId="8" applyNumberFormat="1" applyFont="1" applyFill="1" applyBorder="1" applyAlignment="1"/>
    <xf numFmtId="0" fontId="0" fillId="0" borderId="1" xfId="8" applyFont="1" applyFill="1" applyBorder="1" applyAlignment="1"/>
    <xf numFmtId="0" fontId="0" fillId="0" borderId="1" xfId="16" applyNumberFormat="1" applyFont="1" applyFill="1" applyBorder="1" applyAlignment="1"/>
    <xf numFmtId="0" fontId="0" fillId="0" borderId="1" xfId="16" applyFont="1" applyBorder="1" applyAlignment="1"/>
    <xf numFmtId="0" fontId="0" fillId="0" borderId="1" xfId="8" applyNumberFormat="1" applyFont="1" applyFill="1" applyBorder="1"/>
    <xf numFmtId="0" fontId="0" fillId="0" borderId="1" xfId="16" applyFont="1" applyFill="1" applyBorder="1" applyAlignment="1">
      <alignment horizontal="center"/>
    </xf>
    <xf numFmtId="49" fontId="0" fillId="0" borderId="1" xfId="16" applyNumberFormat="1" applyFont="1" applyFill="1" applyBorder="1" applyAlignment="1">
      <alignment horizontal="center"/>
    </xf>
    <xf numFmtId="0" fontId="14" fillId="0" borderId="0" xfId="11" applyFont="1" applyAlignment="1">
      <alignment horizontal="right"/>
    </xf>
    <xf numFmtId="0" fontId="0" fillId="0" borderId="0" xfId="8" applyFont="1" applyBorder="1" applyAlignment="1">
      <alignment horizontal="left"/>
    </xf>
    <xf numFmtId="0" fontId="0" fillId="0" borderId="0" xfId="8" applyFont="1" applyAlignment="1">
      <alignment horizontal="left"/>
    </xf>
    <xf numFmtId="0" fontId="0" fillId="0" borderId="2" xfId="8" applyFont="1" applyBorder="1" applyAlignment="1">
      <alignment horizontal="left"/>
    </xf>
    <xf numFmtId="0" fontId="22" fillId="0" borderId="0" xfId="16" applyFont="1"/>
    <xf numFmtId="0" fontId="7" fillId="0" borderId="11" xfId="8" applyFont="1" applyFill="1" applyBorder="1" applyAlignment="1">
      <alignment horizontal="left"/>
    </xf>
    <xf numFmtId="0" fontId="7" fillId="0" borderId="0" xfId="8" applyFont="1" applyFill="1" applyAlignment="1"/>
    <xf numFmtId="0" fontId="7" fillId="0" borderId="4" xfId="8" applyFont="1" applyFill="1" applyBorder="1" applyAlignment="1"/>
    <xf numFmtId="0" fontId="7" fillId="0" borderId="12" xfId="8" applyFont="1" applyFill="1" applyBorder="1" applyAlignment="1"/>
    <xf numFmtId="0" fontId="7" fillId="0" borderId="11" xfId="8" applyFont="1" applyFill="1" applyBorder="1" applyAlignment="1"/>
    <xf numFmtId="0" fontId="7" fillId="0" borderId="3" xfId="8" applyFont="1" applyFill="1" applyBorder="1" applyAlignment="1"/>
    <xf numFmtId="0" fontId="7" fillId="0" borderId="15" xfId="8" applyFont="1" applyFill="1" applyBorder="1" applyAlignment="1"/>
    <xf numFmtId="0" fontId="7" fillId="0" borderId="2" xfId="8" applyFont="1" applyFill="1" applyBorder="1" applyAlignment="1">
      <alignment horizontal="left"/>
    </xf>
    <xf numFmtId="0" fontId="0" fillId="0" borderId="1" xfId="16" applyFont="1" applyFill="1" applyBorder="1" applyAlignment="1"/>
    <xf numFmtId="0" fontId="0" fillId="0" borderId="1" xfId="8" applyFont="1" applyFill="1" applyBorder="1"/>
    <xf numFmtId="0" fontId="0" fillId="0" borderId="8" xfId="16" applyFont="1" applyBorder="1"/>
    <xf numFmtId="0" fontId="0" fillId="0" borderId="11" xfId="16" applyFont="1" applyBorder="1"/>
    <xf numFmtId="0" fontId="0" fillId="0" borderId="9" xfId="16" applyFont="1" applyBorder="1"/>
    <xf numFmtId="0" fontId="0" fillId="0" borderId="0" xfId="16" applyFont="1"/>
    <xf numFmtId="0" fontId="0" fillId="0" borderId="10" xfId="8" applyFont="1" applyFill="1" applyBorder="1" applyAlignment="1"/>
    <xf numFmtId="0" fontId="0" fillId="0" borderId="0" xfId="8" applyFont="1" applyAlignment="1"/>
    <xf numFmtId="0" fontId="0" fillId="0" borderId="15" xfId="8" applyFont="1" applyBorder="1" applyAlignment="1"/>
    <xf numFmtId="0" fontId="0" fillId="0" borderId="9" xfId="8" applyFont="1" applyBorder="1" applyAlignment="1"/>
    <xf numFmtId="0" fontId="7" fillId="0" borderId="0" xfId="11" applyFont="1" applyAlignment="1">
      <alignment horizontal="left"/>
    </xf>
    <xf numFmtId="0" fontId="7" fillId="0" borderId="3" xfId="11" applyFont="1" applyBorder="1" applyAlignment="1"/>
    <xf numFmtId="0" fontId="7" fillId="0" borderId="8" xfId="11" applyFont="1" applyBorder="1" applyAlignment="1"/>
    <xf numFmtId="0" fontId="7" fillId="0" borderId="9" xfId="11" applyFont="1" applyBorder="1" applyAlignment="1"/>
    <xf numFmtId="0" fontId="7" fillId="0" borderId="4" xfId="11" applyFont="1" applyBorder="1" applyAlignment="1"/>
    <xf numFmtId="0" fontId="7" fillId="0" borderId="12" xfId="11" applyFont="1" applyBorder="1" applyAlignment="1"/>
    <xf numFmtId="0" fontId="7" fillId="0" borderId="0" xfId="11" applyFont="1" applyBorder="1" applyAlignment="1">
      <alignment horizontal="left"/>
    </xf>
    <xf numFmtId="0" fontId="7" fillId="0" borderId="11" xfId="11" applyFont="1" applyBorder="1" applyAlignment="1"/>
    <xf numFmtId="0" fontId="7" fillId="0" borderId="10" xfId="11" applyFont="1" applyBorder="1" applyAlignment="1"/>
    <xf numFmtId="0" fontId="7" fillId="0" borderId="13" xfId="11" applyFont="1" applyBorder="1" applyAlignment="1"/>
    <xf numFmtId="0" fontId="14" fillId="0" borderId="14" xfId="11" applyFont="1" applyBorder="1" applyAlignment="1"/>
    <xf numFmtId="0" fontId="7" fillId="0" borderId="14" xfId="11" applyFont="1" applyBorder="1" applyAlignment="1"/>
    <xf numFmtId="0" fontId="7" fillId="0" borderId="11" xfId="11" applyFont="1" applyBorder="1" applyAlignment="1">
      <alignment horizontal="left"/>
    </xf>
    <xf numFmtId="0" fontId="7" fillId="0" borderId="15" xfId="11" applyFont="1" applyBorder="1" applyAlignment="1"/>
    <xf numFmtId="0" fontId="7" fillId="0" borderId="2" xfId="11" applyFont="1" applyBorder="1" applyAlignment="1">
      <alignment horizontal="left"/>
    </xf>
    <xf numFmtId="0" fontId="14" fillId="0" borderId="0" xfId="11" applyFont="1" applyBorder="1" applyAlignment="1"/>
    <xf numFmtId="0" fontId="0" fillId="0" borderId="0" xfId="11" applyFont="1" applyAlignment="1"/>
    <xf numFmtId="0" fontId="0" fillId="0" borderId="9" xfId="11" applyFont="1" applyBorder="1" applyAlignment="1"/>
    <xf numFmtId="0" fontId="0" fillId="0" borderId="11" xfId="11" applyFont="1" applyBorder="1" applyAlignment="1"/>
    <xf numFmtId="0" fontId="0" fillId="0" borderId="0" xfId="11" applyFont="1" applyAlignment="1">
      <alignment horizontal="left"/>
    </xf>
    <xf numFmtId="0" fontId="7" fillId="0" borderId="0" xfId="11" applyFont="1" applyAlignment="1">
      <alignment horizontal="right"/>
    </xf>
    <xf numFmtId="0" fontId="14" fillId="0" borderId="0" xfId="0" applyFont="1" applyFill="1"/>
    <xf numFmtId="0" fontId="8" fillId="0" borderId="1" xfId="1" applyBorder="1" applyAlignment="1"/>
    <xf numFmtId="0" fontId="23" fillId="5" borderId="1" xfId="1" applyFont="1" applyFill="1" applyBorder="1" applyAlignment="1"/>
    <xf numFmtId="0" fontId="23" fillId="0" borderId="1" xfId="1" applyFont="1" applyBorder="1" applyAlignment="1"/>
    <xf numFmtId="0" fontId="8" fillId="0" borderId="1" xfId="1" applyFill="1" applyBorder="1" applyAlignment="1"/>
    <xf numFmtId="0" fontId="8" fillId="5" borderId="1" xfId="1" applyFill="1" applyBorder="1" applyAlignment="1"/>
    <xf numFmtId="0" fontId="14" fillId="0" borderId="16" xfId="16" applyFont="1" applyBorder="1" applyAlignment="1"/>
    <xf numFmtId="0" fontId="7" fillId="0" borderId="17" xfId="16" applyNumberFormat="1" applyFont="1" applyBorder="1" applyAlignment="1">
      <alignment horizontal="center"/>
    </xf>
    <xf numFmtId="0" fontId="14" fillId="0" borderId="17" xfId="16" applyFont="1" applyBorder="1" applyAlignment="1"/>
    <xf numFmtId="0" fontId="16" fillId="2" borderId="1" xfId="8" applyFont="1" applyFill="1" applyBorder="1" applyAlignment="1"/>
    <xf numFmtId="0" fontId="7" fillId="0" borderId="22" xfId="14" applyFont="1" applyBorder="1" applyAlignment="1"/>
    <xf numFmtId="0" fontId="14" fillId="0" borderId="22" xfId="14" applyFont="1" applyBorder="1" applyAlignment="1">
      <alignment horizontal="center"/>
    </xf>
    <xf numFmtId="0" fontId="7" fillId="0" borderId="23" xfId="14" applyFont="1" applyBorder="1" applyAlignment="1"/>
    <xf numFmtId="0" fontId="7" fillId="0" borderId="24" xfId="14" applyFont="1" applyBorder="1" applyAlignment="1"/>
    <xf numFmtId="0" fontId="7" fillId="0" borderId="25" xfId="14" applyFont="1" applyBorder="1" applyAlignment="1"/>
    <xf numFmtId="0" fontId="7" fillId="0" borderId="22" xfId="14" applyFont="1" applyFill="1" applyBorder="1" applyAlignment="1"/>
    <xf numFmtId="0" fontId="7" fillId="0" borderId="0" xfId="14" applyFont="1"/>
    <xf numFmtId="0" fontId="14" fillId="0" borderId="24" xfId="9" applyFont="1" applyBorder="1" applyAlignment="1">
      <alignment horizontal="center"/>
    </xf>
    <xf numFmtId="0" fontId="14" fillId="0" borderId="26" xfId="9" applyFont="1" applyBorder="1" applyAlignment="1">
      <alignment horizontal="center"/>
    </xf>
    <xf numFmtId="0" fontId="14" fillId="0" borderId="27" xfId="9" applyFont="1" applyBorder="1" applyAlignment="1">
      <alignment horizontal="center"/>
    </xf>
    <xf numFmtId="0" fontId="14" fillId="0" borderId="28" xfId="9" applyFont="1" applyBorder="1" applyAlignment="1">
      <alignment horizontal="center"/>
    </xf>
    <xf numFmtId="0" fontId="14" fillId="0" borderId="24" xfId="9" applyFont="1" applyFill="1" applyBorder="1" applyAlignment="1">
      <alignment horizontal="center"/>
    </xf>
    <xf numFmtId="0" fontId="14" fillId="0" borderId="22" xfId="9" applyFont="1" applyFill="1" applyBorder="1" applyAlignment="1">
      <alignment horizontal="center"/>
    </xf>
    <xf numFmtId="0" fontId="14" fillId="0" borderId="0" xfId="9" applyFont="1" applyAlignment="1">
      <alignment vertical="center"/>
    </xf>
    <xf numFmtId="0" fontId="7" fillId="0" borderId="29" xfId="9" applyFont="1" applyBorder="1" applyAlignment="1"/>
    <xf numFmtId="0" fontId="14" fillId="0" borderId="30" xfId="9" applyFont="1" applyBorder="1" applyAlignment="1"/>
    <xf numFmtId="0" fontId="7" fillId="0" borderId="30" xfId="9" applyFont="1" applyBorder="1" applyAlignment="1">
      <alignment horizontal="center"/>
    </xf>
    <xf numFmtId="0" fontId="7" fillId="0" borderId="31" xfId="9" applyFont="1" applyBorder="1" applyAlignment="1">
      <alignment horizontal="center"/>
    </xf>
    <xf numFmtId="0" fontId="7" fillId="0" borderId="32" xfId="9" applyFont="1" applyBorder="1" applyAlignment="1">
      <alignment horizontal="center"/>
    </xf>
    <xf numFmtId="0" fontId="7" fillId="0" borderId="29" xfId="9" applyFont="1" applyFill="1" applyBorder="1" applyAlignment="1">
      <alignment horizontal="center"/>
    </xf>
    <xf numFmtId="0" fontId="7" fillId="3" borderId="1" xfId="14" applyFont="1" applyFill="1" applyBorder="1" applyAlignment="1">
      <alignment horizontal="center"/>
    </xf>
    <xf numFmtId="0" fontId="7" fillId="0" borderId="33" xfId="9" applyFont="1" applyBorder="1" applyAlignment="1"/>
    <xf numFmtId="0" fontId="7" fillId="0" borderId="34" xfId="9" applyFont="1" applyFill="1" applyBorder="1" applyAlignment="1"/>
    <xf numFmtId="0" fontId="7" fillId="0" borderId="34" xfId="14" applyFont="1" applyFill="1" applyBorder="1" applyAlignment="1">
      <alignment horizontal="center"/>
    </xf>
    <xf numFmtId="0" fontId="7" fillId="0" borderId="1" xfId="14" applyFont="1" applyFill="1" applyBorder="1" applyAlignment="1">
      <alignment horizontal="center"/>
    </xf>
    <xf numFmtId="0" fontId="7" fillId="0" borderId="16" xfId="14" applyFont="1" applyFill="1" applyBorder="1" applyAlignment="1">
      <alignment horizontal="center"/>
    </xf>
    <xf numFmtId="0" fontId="7" fillId="0" borderId="33" xfId="14" applyFont="1" applyFill="1" applyBorder="1" applyAlignment="1">
      <alignment horizontal="center"/>
    </xf>
    <xf numFmtId="0" fontId="7" fillId="0" borderId="34" xfId="14" applyFont="1" applyFill="1" applyBorder="1" applyAlignment="1"/>
    <xf numFmtId="0" fontId="7" fillId="0" borderId="0" xfId="9" applyFont="1" applyFill="1" applyBorder="1" applyAlignment="1">
      <alignment horizontal="center"/>
    </xf>
    <xf numFmtId="0" fontId="7" fillId="0" borderId="0" xfId="14" applyFont="1" applyBorder="1"/>
    <xf numFmtId="0" fontId="7" fillId="3" borderId="19" xfId="14" applyFont="1" applyFill="1" applyBorder="1" applyAlignment="1">
      <alignment horizontal="center"/>
    </xf>
    <xf numFmtId="0" fontId="7" fillId="0" borderId="33" xfId="14" applyFont="1" applyBorder="1" applyAlignment="1"/>
    <xf numFmtId="0" fontId="7" fillId="0" borderId="34" xfId="9" applyFont="1" applyBorder="1" applyAlignment="1">
      <alignment horizontal="center"/>
    </xf>
    <xf numFmtId="0" fontId="7" fillId="0" borderId="1" xfId="9" applyFont="1" applyBorder="1" applyAlignment="1">
      <alignment horizontal="center"/>
    </xf>
    <xf numFmtId="0" fontId="7" fillId="0" borderId="16" xfId="9" applyFont="1" applyBorder="1" applyAlignment="1">
      <alignment horizontal="center"/>
    </xf>
    <xf numFmtId="0" fontId="7" fillId="0" borderId="33" xfId="9" applyFont="1" applyFill="1" applyBorder="1" applyAlignment="1">
      <alignment horizontal="center"/>
    </xf>
    <xf numFmtId="0" fontId="7" fillId="0" borderId="39" xfId="14" applyFont="1" applyBorder="1"/>
    <xf numFmtId="0" fontId="7" fillId="0" borderId="40" xfId="14" applyFont="1" applyBorder="1"/>
    <xf numFmtId="0" fontId="7" fillId="0" borderId="39" xfId="14" applyFont="1" applyFill="1" applyBorder="1" applyAlignment="1">
      <alignment horizontal="center"/>
    </xf>
    <xf numFmtId="0" fontId="7" fillId="0" borderId="39" xfId="9" applyFont="1" applyFill="1" applyBorder="1" applyAlignment="1">
      <alignment horizontal="center"/>
    </xf>
    <xf numFmtId="0" fontId="7" fillId="0" borderId="34" xfId="14" applyFont="1" applyBorder="1" applyAlignment="1">
      <alignment horizontal="left"/>
    </xf>
    <xf numFmtId="0" fontId="7" fillId="0" borderId="34" xfId="9" applyFont="1" applyFill="1" applyBorder="1" applyAlignment="1">
      <alignment horizontal="left"/>
    </xf>
    <xf numFmtId="0" fontId="14" fillId="0" borderId="33" xfId="9" applyFont="1" applyFill="1" applyBorder="1" applyAlignment="1">
      <alignment horizontal="center"/>
    </xf>
    <xf numFmtId="0" fontId="7" fillId="0" borderId="16" xfId="9" applyFont="1" applyFill="1" applyBorder="1" applyAlignment="1">
      <alignment horizontal="center"/>
    </xf>
    <xf numFmtId="0" fontId="7" fillId="0" borderId="36" xfId="14" applyFont="1" applyBorder="1" applyAlignment="1"/>
    <xf numFmtId="0" fontId="7" fillId="0" borderId="37" xfId="9" applyFont="1" applyFill="1" applyBorder="1" applyAlignment="1">
      <alignment horizontal="left"/>
    </xf>
    <xf numFmtId="0" fontId="7" fillId="0" borderId="37" xfId="9" applyFont="1" applyBorder="1" applyAlignment="1">
      <alignment horizontal="center"/>
    </xf>
    <xf numFmtId="0" fontId="7" fillId="0" borderId="19" xfId="9" applyFont="1" applyBorder="1" applyAlignment="1">
      <alignment horizontal="center"/>
    </xf>
    <xf numFmtId="0" fontId="7" fillId="0" borderId="38" xfId="9" applyFont="1" applyBorder="1" applyAlignment="1">
      <alignment horizontal="center"/>
    </xf>
    <xf numFmtId="0" fontId="7" fillId="0" borderId="36" xfId="14" applyFont="1" applyFill="1" applyBorder="1" applyAlignment="1">
      <alignment horizontal="center"/>
    </xf>
    <xf numFmtId="0" fontId="14" fillId="0" borderId="36" xfId="9" applyFont="1" applyFill="1" applyBorder="1" applyAlignment="1">
      <alignment horizontal="center"/>
    </xf>
    <xf numFmtId="0" fontId="7" fillId="0" borderId="0" xfId="14" applyFont="1" applyAlignment="1"/>
    <xf numFmtId="0" fontId="14" fillId="0" borderId="1" xfId="14" applyFont="1" applyBorder="1" applyAlignment="1"/>
    <xf numFmtId="0" fontId="16" fillId="2" borderId="1" xfId="16" applyFont="1" applyFill="1" applyBorder="1" applyAlignment="1"/>
    <xf numFmtId="0" fontId="7" fillId="0" borderId="16" xfId="14" applyFont="1" applyBorder="1" applyAlignment="1"/>
    <xf numFmtId="0" fontId="7" fillId="0" borderId="18" xfId="14" applyFont="1" applyBorder="1" applyAlignment="1"/>
    <xf numFmtId="0" fontId="7" fillId="0" borderId="17" xfId="14" applyFont="1" applyBorder="1" applyAlignment="1"/>
    <xf numFmtId="0" fontId="7" fillId="3" borderId="1" xfId="14" applyFont="1" applyFill="1" applyBorder="1" applyAlignment="1"/>
    <xf numFmtId="0" fontId="7" fillId="4" borderId="1" xfId="14" applyFont="1" applyFill="1" applyBorder="1" applyAlignment="1"/>
    <xf numFmtId="0" fontId="7" fillId="0" borderId="0" xfId="14" applyFont="1" applyFill="1"/>
    <xf numFmtId="0" fontId="7" fillId="0" borderId="33" xfId="14" applyFont="1" applyFill="1" applyBorder="1" applyAlignment="1"/>
    <xf numFmtId="0" fontId="7" fillId="0" borderId="34" xfId="9" applyFont="1" applyFill="1" applyBorder="1" applyAlignment="1">
      <alignment horizontal="center"/>
    </xf>
    <xf numFmtId="0" fontId="7" fillId="0" borderId="1" xfId="9" applyFont="1" applyFill="1" applyBorder="1" applyAlignment="1">
      <alignment horizontal="center"/>
    </xf>
    <xf numFmtId="0" fontId="8" fillId="11" borderId="1" xfId="1" applyFill="1" applyBorder="1" applyAlignment="1"/>
    <xf numFmtId="0" fontId="13" fillId="0" borderId="0" xfId="6" applyFont="1"/>
    <xf numFmtId="0" fontId="0" fillId="0" borderId="1" xfId="8" applyFont="1" applyBorder="1" applyAlignment="1"/>
    <xf numFmtId="0" fontId="14" fillId="0" borderId="1" xfId="8" quotePrefix="1" applyFont="1" applyBorder="1" applyAlignment="1">
      <alignment horizontal="right"/>
    </xf>
    <xf numFmtId="0" fontId="0" fillId="0" borderId="1" xfId="16" applyFont="1" applyFill="1" applyBorder="1" applyAlignment="1"/>
    <xf numFmtId="0" fontId="0" fillId="0" borderId="1" xfId="8" applyFont="1" applyFill="1" applyBorder="1" applyAlignment="1"/>
    <xf numFmtId="0" fontId="0" fillId="0" borderId="1" xfId="8" applyNumberFormat="1" applyFont="1" applyFill="1" applyBorder="1"/>
    <xf numFmtId="0" fontId="0" fillId="0" borderId="1" xfId="8" applyFont="1" applyFill="1" applyBorder="1"/>
    <xf numFmtId="0" fontId="0" fillId="0" borderId="0" xfId="6" applyFont="1" applyAlignment="1">
      <alignment vertical="center" wrapText="1"/>
    </xf>
    <xf numFmtId="0" fontId="14" fillId="0" borderId="0" xfId="0" applyFont="1" applyAlignment="1">
      <alignment wrapText="1"/>
    </xf>
    <xf numFmtId="0" fontId="0" fillId="0" borderId="0" xfId="0" applyAlignment="1">
      <alignment wrapText="1"/>
    </xf>
    <xf numFmtId="0" fontId="0" fillId="0" borderId="1" xfId="13" applyNumberFormat="1" applyFont="1" applyFill="1" applyBorder="1" applyAlignment="1">
      <alignment horizontal="center"/>
    </xf>
    <xf numFmtId="0" fontId="0" fillId="0" borderId="1" xfId="13" applyFont="1" applyFill="1" applyBorder="1" applyAlignment="1"/>
    <xf numFmtId="0" fontId="0" fillId="8" borderId="1" xfId="13" applyFont="1" applyFill="1" applyBorder="1" applyAlignment="1"/>
    <xf numFmtId="0" fontId="31" fillId="0" borderId="1" xfId="13" applyNumberFormat="1" applyFont="1" applyFill="1" applyBorder="1" applyAlignment="1">
      <alignment horizontal="center"/>
    </xf>
    <xf numFmtId="0" fontId="31" fillId="3" borderId="0" xfId="13" applyFont="1" applyFill="1" applyBorder="1" applyAlignment="1">
      <alignment horizontal="center"/>
    </xf>
    <xf numFmtId="0" fontId="7" fillId="0" borderId="29" xfId="14" applyFont="1" applyBorder="1" applyAlignment="1"/>
    <xf numFmtId="0" fontId="14" fillId="0" borderId="29" xfId="9" applyFont="1" applyBorder="1" applyAlignment="1"/>
    <xf numFmtId="0" fontId="7" fillId="0" borderId="29" xfId="14" applyFont="1" applyFill="1" applyBorder="1" applyAlignment="1">
      <alignment horizontal="center"/>
    </xf>
    <xf numFmtId="0" fontId="7" fillId="0" borderId="37" xfId="14" applyFont="1" applyBorder="1" applyAlignment="1">
      <alignment horizontal="left"/>
    </xf>
    <xf numFmtId="0" fontId="7" fillId="0" borderId="36" xfId="9" applyFont="1" applyFill="1" applyBorder="1" applyAlignment="1">
      <alignment horizontal="center"/>
    </xf>
    <xf numFmtId="0" fontId="14" fillId="0" borderId="41" xfId="9" applyFont="1" applyBorder="1" applyAlignment="1"/>
    <xf numFmtId="0" fontId="7" fillId="0" borderId="38" xfId="9" applyFont="1" applyFill="1" applyBorder="1" applyAlignment="1">
      <alignment horizontal="center"/>
    </xf>
    <xf numFmtId="0" fontId="7" fillId="0" borderId="42" xfId="14" applyFont="1" applyBorder="1" applyAlignment="1">
      <alignment horizontal="left"/>
    </xf>
    <xf numFmtId="0" fontId="7" fillId="0" borderId="42" xfId="14" applyFont="1" applyBorder="1" applyAlignment="1"/>
    <xf numFmtId="0" fontId="7" fillId="0" borderId="34" xfId="14" applyFont="1" applyFill="1" applyBorder="1" applyAlignment="1">
      <alignment horizontal="left"/>
    </xf>
    <xf numFmtId="0" fontId="7" fillId="0" borderId="36" xfId="14" applyFont="1" applyFill="1" applyBorder="1" applyAlignment="1"/>
    <xf numFmtId="0" fontId="7" fillId="0" borderId="37" xfId="14" applyFont="1" applyFill="1" applyBorder="1" applyAlignment="1">
      <alignment horizontal="left"/>
    </xf>
    <xf numFmtId="0" fontId="7" fillId="0" borderId="37" xfId="9" applyFont="1" applyFill="1" applyBorder="1" applyAlignment="1">
      <alignment horizontal="center"/>
    </xf>
    <xf numFmtId="0" fontId="7" fillId="0" borderId="19" xfId="9" applyFont="1" applyFill="1" applyBorder="1" applyAlignment="1">
      <alignment horizontal="center"/>
    </xf>
    <xf numFmtId="0" fontId="7" fillId="0" borderId="35" xfId="14" applyFont="1" applyFill="1" applyBorder="1" applyAlignment="1"/>
    <xf numFmtId="0" fontId="7" fillId="0" borderId="17" xfId="14" applyFont="1" applyBorder="1"/>
    <xf numFmtId="0" fontId="7" fillId="0" borderId="33" xfId="9" applyFont="1" applyFill="1" applyBorder="1" applyAlignment="1"/>
    <xf numFmtId="0" fontId="7" fillId="13" borderId="1" xfId="14" applyFont="1" applyFill="1" applyBorder="1" applyAlignment="1">
      <alignment horizontal="center"/>
    </xf>
    <xf numFmtId="0" fontId="7" fillId="0" borderId="36" xfId="9" applyFont="1" applyFill="1" applyBorder="1" applyAlignment="1"/>
    <xf numFmtId="0" fontId="7" fillId="0" borderId="37" xfId="14" applyFont="1" applyFill="1" applyBorder="1" applyAlignment="1"/>
    <xf numFmtId="0" fontId="7" fillId="0" borderId="37" xfId="14" applyFont="1" applyFill="1" applyBorder="1" applyAlignment="1">
      <alignment horizontal="center"/>
    </xf>
    <xf numFmtId="0" fontId="7" fillId="0" borderId="19" xfId="14" applyFont="1" applyFill="1" applyBorder="1" applyAlignment="1">
      <alignment horizontal="center"/>
    </xf>
    <xf numFmtId="0" fontId="7" fillId="0" borderId="38" xfId="14" applyFont="1" applyFill="1" applyBorder="1" applyAlignment="1">
      <alignment horizontal="center"/>
    </xf>
    <xf numFmtId="0" fontId="7" fillId="0" borderId="18" xfId="14" applyFont="1" applyBorder="1"/>
    <xf numFmtId="0" fontId="14" fillId="0" borderId="33" xfId="14" applyFont="1" applyFill="1" applyBorder="1" applyAlignment="1">
      <alignment horizontal="center"/>
    </xf>
    <xf numFmtId="0" fontId="31" fillId="0" borderId="1" xfId="13" applyFont="1" applyFill="1" applyBorder="1" applyAlignment="1"/>
    <xf numFmtId="0" fontId="7" fillId="0" borderId="0" xfId="16" applyFont="1" applyBorder="1" applyAlignment="1">
      <alignment horizontal="right"/>
    </xf>
    <xf numFmtId="0" fontId="7" fillId="14" borderId="33" xfId="9" applyFont="1" applyFill="1" applyBorder="1" applyAlignment="1"/>
    <xf numFmtId="0" fontId="0" fillId="14" borderId="0" xfId="14" applyFont="1" applyFill="1"/>
    <xf numFmtId="0" fontId="7" fillId="14" borderId="34" xfId="14" applyFont="1" applyFill="1" applyBorder="1" applyAlignment="1">
      <alignment horizontal="center"/>
    </xf>
    <xf numFmtId="0" fontId="7" fillId="14" borderId="1" xfId="14" applyFont="1" applyFill="1" applyBorder="1" applyAlignment="1">
      <alignment horizontal="center"/>
    </xf>
    <xf numFmtId="0" fontId="7" fillId="14" borderId="16" xfId="14" applyFont="1" applyFill="1" applyBorder="1" applyAlignment="1">
      <alignment horizontal="center"/>
    </xf>
    <xf numFmtId="0" fontId="7" fillId="14" borderId="33" xfId="14" applyFont="1" applyFill="1" applyBorder="1" applyAlignment="1">
      <alignment horizontal="center"/>
    </xf>
    <xf numFmtId="0" fontId="7" fillId="14" borderId="34" xfId="14" applyFont="1" applyFill="1" applyBorder="1" applyAlignment="1">
      <alignment horizontal="left"/>
    </xf>
    <xf numFmtId="0" fontId="7" fillId="14" borderId="34" xfId="9" applyFont="1" applyFill="1" applyBorder="1" applyAlignment="1">
      <alignment horizontal="left"/>
    </xf>
    <xf numFmtId="0" fontId="7" fillId="14" borderId="34" xfId="9" applyFont="1" applyFill="1" applyBorder="1" applyAlignment="1"/>
    <xf numFmtId="0" fontId="7" fillId="14" borderId="34" xfId="14" applyFont="1" applyFill="1" applyBorder="1" applyAlignment="1"/>
    <xf numFmtId="0" fontId="7" fillId="14" borderId="36" xfId="9" applyFont="1" applyFill="1" applyBorder="1" applyAlignment="1"/>
    <xf numFmtId="0" fontId="7" fillId="14" borderId="37" xfId="14" applyFont="1" applyFill="1" applyBorder="1" applyAlignment="1">
      <alignment horizontal="center"/>
    </xf>
    <xf numFmtId="0" fontId="7" fillId="14" borderId="19" xfId="14" applyFont="1" applyFill="1" applyBorder="1" applyAlignment="1">
      <alignment horizontal="center"/>
    </xf>
    <xf numFmtId="0" fontId="7" fillId="14" borderId="38" xfId="14" applyFont="1" applyFill="1" applyBorder="1" applyAlignment="1">
      <alignment horizontal="center"/>
    </xf>
    <xf numFmtId="0" fontId="7" fillId="14" borderId="36" xfId="14" applyFont="1" applyFill="1" applyBorder="1" applyAlignment="1">
      <alignment horizontal="center"/>
    </xf>
    <xf numFmtId="0" fontId="7" fillId="14" borderId="33" xfId="14" applyFont="1" applyFill="1" applyBorder="1" applyAlignment="1"/>
    <xf numFmtId="0" fontId="7" fillId="14" borderId="35" xfId="14" applyFont="1" applyFill="1" applyBorder="1" applyAlignment="1"/>
    <xf numFmtId="0" fontId="7" fillId="14" borderId="34" xfId="9" applyFont="1" applyFill="1" applyBorder="1" applyAlignment="1">
      <alignment horizontal="center"/>
    </xf>
    <xf numFmtId="0" fontId="7" fillId="14" borderId="1" xfId="9" applyFont="1" applyFill="1" applyBorder="1" applyAlignment="1">
      <alignment horizontal="center"/>
    </xf>
    <xf numFmtId="0" fontId="7" fillId="14" borderId="16" xfId="9" applyFont="1" applyFill="1" applyBorder="1" applyAlignment="1">
      <alignment horizontal="center"/>
    </xf>
    <xf numFmtId="0" fontId="14" fillId="14" borderId="33" xfId="14" applyFont="1" applyFill="1" applyBorder="1" applyAlignment="1">
      <alignment horizontal="center"/>
    </xf>
    <xf numFmtId="0" fontId="7" fillId="14" borderId="33" xfId="9" applyFont="1" applyFill="1" applyBorder="1" applyAlignment="1">
      <alignment horizontal="center"/>
    </xf>
    <xf numFmtId="0" fontId="7" fillId="0" borderId="16" xfId="8" applyNumberFormat="1" applyFont="1" applyFill="1" applyBorder="1" applyAlignment="1"/>
    <xf numFmtId="0" fontId="7" fillId="0" borderId="18" xfId="6" applyFont="1" applyBorder="1"/>
    <xf numFmtId="0" fontId="7" fillId="0" borderId="17" xfId="6" applyFont="1" applyBorder="1"/>
    <xf numFmtId="0" fontId="7" fillId="0" borderId="16" xfId="8" applyNumberFormat="1" applyFont="1" applyFill="1" applyBorder="1"/>
    <xf numFmtId="0" fontId="0" fillId="0" borderId="1" xfId="6" applyFont="1" applyBorder="1"/>
    <xf numFmtId="0" fontId="17" fillId="0" borderId="35" xfId="14" applyFont="1" applyFill="1" applyBorder="1" applyAlignment="1"/>
    <xf numFmtId="0" fontId="17" fillId="14" borderId="34" xfId="9" applyFont="1" applyFill="1" applyBorder="1" applyAlignment="1">
      <alignment horizontal="left"/>
    </xf>
    <xf numFmtId="0" fontId="17" fillId="14" borderId="34" xfId="14" applyFont="1" applyFill="1" applyBorder="1" applyAlignment="1"/>
    <xf numFmtId="0" fontId="0" fillId="0" borderId="0" xfId="16" applyFont="1" applyBorder="1"/>
    <xf numFmtId="0" fontId="0" fillId="3" borderId="1" xfId="8" applyFont="1" applyFill="1" applyBorder="1" applyAlignment="1"/>
    <xf numFmtId="0" fontId="0" fillId="0" borderId="15" xfId="16" applyFont="1" applyBorder="1"/>
    <xf numFmtId="0" fontId="0" fillId="0" borderId="37" xfId="14" applyFont="1" applyBorder="1" applyAlignment="1">
      <alignment horizontal="left"/>
    </xf>
    <xf numFmtId="0" fontId="0" fillId="0" borderId="34" xfId="14" applyFont="1" applyFill="1" applyBorder="1" applyAlignment="1"/>
    <xf numFmtId="0" fontId="0" fillId="0" borderId="34" xfId="9" applyFont="1" applyFill="1" applyBorder="1" applyAlignment="1">
      <alignment horizontal="left"/>
    </xf>
    <xf numFmtId="0" fontId="0" fillId="14" borderId="42" xfId="14" applyFont="1" applyFill="1" applyBorder="1" applyAlignment="1">
      <alignment horizontal="left"/>
    </xf>
    <xf numFmtId="0" fontId="0" fillId="0" borderId="34" xfId="9" applyFont="1" applyFill="1" applyBorder="1" applyAlignment="1"/>
    <xf numFmtId="0" fontId="0" fillId="14" borderId="36" xfId="14" applyFont="1" applyFill="1" applyBorder="1" applyAlignment="1"/>
    <xf numFmtId="0" fontId="0" fillId="14" borderId="34" xfId="14" applyFont="1" applyFill="1" applyBorder="1" applyAlignment="1"/>
    <xf numFmtId="0" fontId="0" fillId="0" borderId="42" xfId="14" applyFont="1" applyBorder="1" applyAlignment="1"/>
    <xf numFmtId="0" fontId="0" fillId="13" borderId="1" xfId="14" applyFont="1" applyFill="1" applyBorder="1" applyAlignment="1">
      <alignment horizontal="center"/>
    </xf>
    <xf numFmtId="0" fontId="0" fillId="0" borderId="0" xfId="14" applyFont="1"/>
    <xf numFmtId="0" fontId="0" fillId="0" borderId="34" xfId="14" applyFont="1" applyBorder="1" applyAlignment="1">
      <alignment horizontal="left"/>
    </xf>
    <xf numFmtId="0" fontId="0" fillId="14" borderId="34" xfId="9" applyFont="1" applyFill="1" applyBorder="1" applyAlignment="1">
      <alignment horizontal="left"/>
    </xf>
    <xf numFmtId="0" fontId="0" fillId="14" borderId="34" xfId="9" applyFont="1" applyFill="1" applyBorder="1" applyAlignment="1"/>
    <xf numFmtId="0" fontId="7" fillId="0" borderId="44" xfId="14" applyFont="1" applyBorder="1"/>
    <xf numFmtId="0" fontId="14" fillId="0" borderId="29" xfId="9" applyFont="1" applyFill="1" applyBorder="1" applyAlignment="1">
      <alignment horizontal="center"/>
    </xf>
    <xf numFmtId="0" fontId="0" fillId="0" borderId="9" xfId="16" applyFont="1" applyFill="1" applyBorder="1"/>
    <xf numFmtId="0" fontId="14" fillId="0" borderId="0" xfId="16" applyFont="1" applyBorder="1" applyAlignment="1">
      <alignment horizontal="right"/>
    </xf>
    <xf numFmtId="0" fontId="0" fillId="0" borderId="16" xfId="8" applyNumberFormat="1" applyFont="1" applyFill="1" applyBorder="1"/>
    <xf numFmtId="0" fontId="7" fillId="0" borderId="16" xfId="16" applyFont="1" applyBorder="1" applyAlignment="1"/>
    <xf numFmtId="0" fontId="0" fillId="0" borderId="16" xfId="8" applyNumberFormat="1" applyFont="1" applyFill="1" applyBorder="1" applyAlignment="1"/>
    <xf numFmtId="0" fontId="7" fillId="0" borderId="16" xfId="16" applyNumberFormat="1" applyFont="1" applyFill="1" applyBorder="1" applyAlignment="1"/>
    <xf numFmtId="0" fontId="0" fillId="14" borderId="35" xfId="14" applyFont="1" applyFill="1" applyBorder="1" applyAlignment="1"/>
    <xf numFmtId="0" fontId="0" fillId="0" borderId="0" xfId="14" applyFont="1" applyAlignment="1"/>
    <xf numFmtId="0" fontId="7" fillId="0" borderId="16" xfId="14" applyFont="1" applyBorder="1"/>
    <xf numFmtId="0" fontId="14" fillId="0" borderId="17" xfId="14" applyFont="1" applyBorder="1" applyAlignment="1"/>
    <xf numFmtId="0" fontId="7" fillId="0" borderId="0" xfId="14" applyFont="1" applyAlignment="1">
      <alignment horizontal="right"/>
    </xf>
    <xf numFmtId="0" fontId="14" fillId="0" borderId="17" xfId="14" applyFont="1" applyBorder="1" applyAlignment="1">
      <alignment horizontal="right"/>
    </xf>
    <xf numFmtId="0" fontId="0" fillId="14" borderId="42" xfId="14" applyFont="1" applyFill="1" applyBorder="1" applyAlignment="1"/>
    <xf numFmtId="0" fontId="0" fillId="14" borderId="34" xfId="14" applyFont="1" applyFill="1" applyBorder="1" applyAlignment="1">
      <alignment horizontal="left"/>
    </xf>
    <xf numFmtId="0" fontId="0" fillId="14" borderId="34" xfId="14" applyFont="1" applyFill="1" applyBorder="1" applyAlignment="1">
      <alignment horizontal="center"/>
    </xf>
    <xf numFmtId="0" fontId="0" fillId="14" borderId="1" xfId="14" applyFont="1" applyFill="1" applyBorder="1" applyAlignment="1">
      <alignment horizontal="center"/>
    </xf>
    <xf numFmtId="0" fontId="0" fillId="14" borderId="16" xfId="14" applyFont="1" applyFill="1" applyBorder="1" applyAlignment="1">
      <alignment horizontal="center"/>
    </xf>
    <xf numFmtId="0" fontId="14" fillId="14" borderId="36" xfId="14" applyFont="1" applyFill="1" applyBorder="1" applyAlignment="1">
      <alignment horizontal="center"/>
    </xf>
    <xf numFmtId="0" fontId="0" fillId="0" borderId="29" xfId="9" applyFont="1" applyBorder="1" applyAlignment="1"/>
    <xf numFmtId="0" fontId="7" fillId="0" borderId="22" xfId="9" applyFont="1" applyBorder="1" applyAlignment="1"/>
    <xf numFmtId="0" fontId="21" fillId="0" borderId="0" xfId="6" applyFont="1" applyBorder="1"/>
    <xf numFmtId="0" fontId="0" fillId="0" borderId="0" xfId="0" applyFont="1" applyBorder="1"/>
    <xf numFmtId="0" fontId="8" fillId="0" borderId="0" xfId="1" applyBorder="1"/>
    <xf numFmtId="0" fontId="7" fillId="8" borderId="33" xfId="9" applyFont="1" applyFill="1" applyBorder="1" applyAlignment="1"/>
    <xf numFmtId="0" fontId="7" fillId="8" borderId="34" xfId="14" applyFont="1" applyFill="1" applyBorder="1" applyAlignment="1">
      <alignment horizontal="center"/>
    </xf>
    <xf numFmtId="0" fontId="7" fillId="8" borderId="1" xfId="14" applyFont="1" applyFill="1" applyBorder="1" applyAlignment="1">
      <alignment horizontal="center"/>
    </xf>
    <xf numFmtId="0" fontId="7" fillId="8" borderId="16" xfId="14" applyFont="1" applyFill="1" applyBorder="1" applyAlignment="1">
      <alignment horizontal="center"/>
    </xf>
    <xf numFmtId="0" fontId="7" fillId="8" borderId="33" xfId="14" applyFont="1" applyFill="1" applyBorder="1" applyAlignment="1">
      <alignment horizontal="center"/>
    </xf>
    <xf numFmtId="0" fontId="7" fillId="7" borderId="33" xfId="9" applyFont="1" applyFill="1" applyBorder="1" applyAlignment="1"/>
    <xf numFmtId="0" fontId="7" fillId="7" borderId="34" xfId="14" applyFont="1" applyFill="1" applyBorder="1" applyAlignment="1">
      <alignment horizontal="center"/>
    </xf>
    <xf numFmtId="0" fontId="7" fillId="7" borderId="1" xfId="14" applyFont="1" applyFill="1" applyBorder="1" applyAlignment="1">
      <alignment horizontal="center"/>
    </xf>
    <xf numFmtId="0" fontId="7" fillId="7" borderId="16" xfId="14" applyFont="1" applyFill="1" applyBorder="1" applyAlignment="1">
      <alignment horizontal="center"/>
    </xf>
    <xf numFmtId="0" fontId="7" fillId="7" borderId="33" xfId="14" applyFont="1" applyFill="1" applyBorder="1" applyAlignment="1">
      <alignment horizontal="center"/>
    </xf>
    <xf numFmtId="0" fontId="7" fillId="7" borderId="35" xfId="14" applyFont="1" applyFill="1" applyBorder="1" applyAlignment="1"/>
    <xf numFmtId="0" fontId="7" fillId="7" borderId="34" xfId="14" applyFont="1" applyFill="1" applyBorder="1" applyAlignment="1">
      <alignment horizontal="left"/>
    </xf>
    <xf numFmtId="0" fontId="0" fillId="7" borderId="34" xfId="14" applyFont="1" applyFill="1" applyBorder="1" applyAlignment="1">
      <alignment horizontal="center"/>
    </xf>
    <xf numFmtId="0" fontId="0" fillId="7" borderId="1" xfId="14" applyFont="1" applyFill="1" applyBorder="1" applyAlignment="1">
      <alignment horizontal="center"/>
    </xf>
    <xf numFmtId="0" fontId="0" fillId="7" borderId="16" xfId="14" applyFont="1" applyFill="1" applyBorder="1" applyAlignment="1">
      <alignment horizontal="center"/>
    </xf>
    <xf numFmtId="0" fontId="17" fillId="7" borderId="34" xfId="9" applyFont="1" applyFill="1" applyBorder="1" applyAlignment="1">
      <alignment horizontal="left"/>
    </xf>
    <xf numFmtId="0" fontId="7" fillId="7" borderId="34" xfId="9" applyFont="1" applyFill="1" applyBorder="1" applyAlignment="1">
      <alignment horizontal="left"/>
    </xf>
    <xf numFmtId="0" fontId="7" fillId="7" borderId="42" xfId="14" applyFont="1" applyFill="1" applyBorder="1" applyAlignment="1"/>
    <xf numFmtId="0" fontId="7" fillId="11" borderId="33" xfId="9" applyFont="1" applyFill="1" applyBorder="1" applyAlignment="1"/>
    <xf numFmtId="0" fontId="7" fillId="11" borderId="34" xfId="9" applyFont="1" applyFill="1" applyBorder="1" applyAlignment="1"/>
    <xf numFmtId="0" fontId="7" fillId="11" borderId="34" xfId="14" applyFont="1" applyFill="1" applyBorder="1" applyAlignment="1">
      <alignment horizontal="center"/>
    </xf>
    <xf numFmtId="0" fontId="7" fillId="11" borderId="1" xfId="14" applyFont="1" applyFill="1" applyBorder="1" applyAlignment="1">
      <alignment horizontal="center"/>
    </xf>
    <xf numFmtId="0" fontId="7" fillId="11" borderId="16" xfId="14" applyFont="1" applyFill="1" applyBorder="1" applyAlignment="1">
      <alignment horizontal="center"/>
    </xf>
    <xf numFmtId="0" fontId="7" fillId="11" borderId="33" xfId="14" applyFont="1" applyFill="1" applyBorder="1" applyAlignment="1">
      <alignment horizontal="center"/>
    </xf>
    <xf numFmtId="0" fontId="7" fillId="11" borderId="34" xfId="14" applyFont="1" applyFill="1" applyBorder="1" applyAlignment="1"/>
    <xf numFmtId="0" fontId="7" fillId="11" borderId="42" xfId="14" applyFont="1" applyFill="1" applyBorder="1" applyAlignment="1">
      <alignment horizontal="left"/>
    </xf>
    <xf numFmtId="0" fontId="7" fillId="11" borderId="36" xfId="9" applyFont="1" applyFill="1" applyBorder="1" applyAlignment="1"/>
    <xf numFmtId="0" fontId="7" fillId="11" borderId="37" xfId="14" applyFont="1" applyFill="1" applyBorder="1" applyAlignment="1">
      <alignment horizontal="center"/>
    </xf>
    <xf numFmtId="0" fontId="7" fillId="11" borderId="19" xfId="14" applyFont="1" applyFill="1" applyBorder="1" applyAlignment="1">
      <alignment horizontal="center"/>
    </xf>
    <xf numFmtId="0" fontId="7" fillId="11" borderId="38" xfId="14" applyFont="1" applyFill="1" applyBorder="1" applyAlignment="1">
      <alignment horizontal="center"/>
    </xf>
    <xf numFmtId="0" fontId="7" fillId="11" borderId="36" xfId="14" applyFont="1" applyFill="1" applyBorder="1" applyAlignment="1">
      <alignment horizontal="center"/>
    </xf>
    <xf numFmtId="0" fontId="7" fillId="8" borderId="33" xfId="14" applyFont="1" applyFill="1" applyBorder="1" applyAlignment="1"/>
    <xf numFmtId="0" fontId="7" fillId="8" borderId="35" xfId="14" applyFont="1" applyFill="1" applyBorder="1" applyAlignment="1"/>
    <xf numFmtId="0" fontId="7" fillId="8" borderId="34" xfId="9" applyFont="1" applyFill="1" applyBorder="1" applyAlignment="1">
      <alignment horizontal="center"/>
    </xf>
    <xf numFmtId="0" fontId="7" fillId="8" borderId="1" xfId="9" applyFont="1" applyFill="1" applyBorder="1" applyAlignment="1">
      <alignment horizontal="center"/>
    </xf>
    <xf numFmtId="0" fontId="7" fillId="8" borderId="16" xfId="9" applyFont="1" applyFill="1" applyBorder="1" applyAlignment="1">
      <alignment horizontal="center"/>
    </xf>
    <xf numFmtId="0" fontId="14" fillId="8" borderId="33" xfId="14" applyFont="1" applyFill="1" applyBorder="1" applyAlignment="1">
      <alignment horizontal="center"/>
    </xf>
    <xf numFmtId="0" fontId="0" fillId="8" borderId="35" xfId="14" applyFont="1" applyFill="1" applyBorder="1" applyAlignment="1"/>
    <xf numFmtId="0" fontId="7" fillId="8" borderId="34" xfId="14" applyFont="1" applyFill="1" applyBorder="1" applyAlignment="1">
      <alignment horizontal="left"/>
    </xf>
    <xf numFmtId="0" fontId="7" fillId="8" borderId="34" xfId="9" applyFont="1" applyFill="1" applyBorder="1" applyAlignment="1">
      <alignment horizontal="left"/>
    </xf>
    <xf numFmtId="0" fontId="7" fillId="11" borderId="33" xfId="14" applyFont="1" applyFill="1" applyBorder="1" applyAlignment="1"/>
    <xf numFmtId="0" fontId="7" fillId="11" borderId="34" xfId="9" applyFont="1" applyFill="1" applyBorder="1" applyAlignment="1">
      <alignment horizontal="left"/>
    </xf>
    <xf numFmtId="0" fontId="7" fillId="11" borderId="34" xfId="9" applyFont="1" applyFill="1" applyBorder="1" applyAlignment="1">
      <alignment horizontal="center"/>
    </xf>
    <xf numFmtId="0" fontId="7" fillId="11" borderId="1" xfId="9" applyFont="1" applyFill="1" applyBorder="1" applyAlignment="1">
      <alignment horizontal="center"/>
    </xf>
    <xf numFmtId="0" fontId="7" fillId="11" borderId="16" xfId="9" applyFont="1" applyFill="1" applyBorder="1" applyAlignment="1">
      <alignment horizontal="center"/>
    </xf>
    <xf numFmtId="0" fontId="7" fillId="11" borderId="34" xfId="14" applyFont="1" applyFill="1" applyBorder="1" applyAlignment="1">
      <alignment horizontal="left"/>
    </xf>
    <xf numFmtId="0" fontId="7" fillId="11" borderId="36" xfId="14" applyFont="1" applyFill="1" applyBorder="1" applyAlignment="1"/>
    <xf numFmtId="0" fontId="7" fillId="11" borderId="37" xfId="14" applyFont="1" applyFill="1" applyBorder="1" applyAlignment="1">
      <alignment horizontal="left"/>
    </xf>
    <xf numFmtId="0" fontId="7" fillId="11" borderId="37" xfId="9" applyFont="1" applyFill="1" applyBorder="1" applyAlignment="1">
      <alignment horizontal="center"/>
    </xf>
    <xf numFmtId="0" fontId="7" fillId="11" borderId="19" xfId="9" applyFont="1" applyFill="1" applyBorder="1" applyAlignment="1">
      <alignment horizontal="center"/>
    </xf>
    <xf numFmtId="0" fontId="7" fillId="11" borderId="38" xfId="9" applyFont="1" applyFill="1" applyBorder="1" applyAlignment="1">
      <alignment horizontal="center"/>
    </xf>
    <xf numFmtId="0" fontId="7" fillId="8" borderId="46" xfId="14" applyFont="1" applyFill="1" applyBorder="1" applyAlignment="1">
      <alignment horizontal="center"/>
    </xf>
    <xf numFmtId="0" fontId="7" fillId="7" borderId="46" xfId="14" applyFont="1" applyFill="1" applyBorder="1" applyAlignment="1">
      <alignment horizontal="center"/>
    </xf>
    <xf numFmtId="0" fontId="0" fillId="7" borderId="46" xfId="14" applyFont="1" applyFill="1" applyBorder="1" applyAlignment="1">
      <alignment horizontal="center"/>
    </xf>
    <xf numFmtId="0" fontId="7" fillId="11" borderId="46" xfId="14" applyFont="1" applyFill="1" applyBorder="1" applyAlignment="1">
      <alignment horizontal="center"/>
    </xf>
    <xf numFmtId="0" fontId="7" fillId="8" borderId="46" xfId="9" applyFont="1" applyFill="1" applyBorder="1" applyAlignment="1">
      <alignment horizontal="center"/>
    </xf>
    <xf numFmtId="0" fontId="7" fillId="11" borderId="46" xfId="9" applyFont="1" applyFill="1" applyBorder="1" applyAlignment="1">
      <alignment horizontal="center"/>
    </xf>
    <xf numFmtId="0" fontId="7" fillId="14" borderId="46" xfId="9" applyFont="1" applyFill="1" applyBorder="1" applyAlignment="1">
      <alignment horizontal="center"/>
    </xf>
    <xf numFmtId="0" fontId="7" fillId="0" borderId="46" xfId="9" applyFont="1" applyBorder="1" applyAlignment="1">
      <alignment horizontal="center"/>
    </xf>
    <xf numFmtId="0" fontId="7" fillId="0" borderId="46" xfId="9" applyFont="1" applyFill="1" applyBorder="1" applyAlignment="1">
      <alignment horizontal="center"/>
    </xf>
    <xf numFmtId="0" fontId="14" fillId="0" borderId="45" xfId="9" applyFont="1" applyFill="1" applyBorder="1" applyAlignment="1">
      <alignment horizontal="center" vertical="center" textRotation="90"/>
    </xf>
    <xf numFmtId="0" fontId="0" fillId="0" borderId="29" xfId="14" applyFont="1" applyBorder="1" applyAlignment="1"/>
    <xf numFmtId="0" fontId="7" fillId="8" borderId="0" xfId="14" applyFont="1" applyFill="1" applyBorder="1"/>
    <xf numFmtId="0" fontId="7" fillId="8" borderId="34" xfId="9" applyFont="1" applyFill="1" applyBorder="1" applyAlignment="1"/>
    <xf numFmtId="0" fontId="7" fillId="7" borderId="0" xfId="14" applyFont="1" applyFill="1" applyBorder="1"/>
    <xf numFmtId="0" fontId="7" fillId="7" borderId="34" xfId="9" applyFont="1" applyFill="1" applyBorder="1" applyAlignment="1"/>
    <xf numFmtId="0" fontId="7" fillId="7" borderId="34" xfId="14" applyFont="1" applyFill="1" applyBorder="1" applyAlignment="1"/>
    <xf numFmtId="0" fontId="17" fillId="8" borderId="42" xfId="14" applyFont="1" applyFill="1" applyBorder="1" applyAlignment="1">
      <alignment horizontal="left"/>
    </xf>
    <xf numFmtId="0" fontId="17" fillId="7" borderId="34" xfId="14" applyFont="1" applyFill="1" applyBorder="1" applyAlignment="1">
      <alignment horizontal="left"/>
    </xf>
    <xf numFmtId="0" fontId="17" fillId="11" borderId="34" xfId="9" applyFont="1" applyFill="1" applyBorder="1" applyAlignment="1"/>
    <xf numFmtId="0" fontId="17" fillId="11" borderId="42" xfId="14" applyFont="1" applyFill="1" applyBorder="1" applyAlignment="1"/>
    <xf numFmtId="0" fontId="17" fillId="11" borderId="34" xfId="9" applyFont="1" applyFill="1" applyBorder="1" applyAlignment="1">
      <alignment horizontal="left"/>
    </xf>
    <xf numFmtId="0" fontId="17" fillId="11" borderId="34" xfId="14" applyFont="1" applyFill="1" applyBorder="1" applyAlignment="1">
      <alignment horizontal="left"/>
    </xf>
    <xf numFmtId="0" fontId="17" fillId="14" borderId="34" xfId="9" applyFont="1" applyFill="1" applyBorder="1" applyAlignment="1"/>
    <xf numFmtId="0" fontId="17" fillId="0" borderId="34" xfId="9" applyFont="1" applyFill="1" applyBorder="1" applyAlignment="1"/>
    <xf numFmtId="0" fontId="17" fillId="0" borderId="1" xfId="16" applyFont="1" applyFill="1" applyBorder="1" applyAlignment="1"/>
    <xf numFmtId="0" fontId="17" fillId="0" borderId="16" xfId="14" applyFont="1" applyBorder="1" applyAlignment="1"/>
    <xf numFmtId="0" fontId="33" fillId="2" borderId="1" xfId="16" applyFont="1" applyFill="1" applyBorder="1" applyAlignment="1"/>
    <xf numFmtId="0" fontId="33" fillId="2" borderId="1" xfId="8" applyFont="1" applyFill="1" applyBorder="1" applyAlignment="1"/>
    <xf numFmtId="0" fontId="17" fillId="4" borderId="1" xfId="8" applyFont="1" applyFill="1" applyBorder="1" applyAlignment="1"/>
    <xf numFmtId="0" fontId="17" fillId="0" borderId="1" xfId="8" applyFont="1" applyBorder="1" applyAlignment="1"/>
    <xf numFmtId="0" fontId="17" fillId="0" borderId="1" xfId="8" applyNumberFormat="1" applyFont="1" applyFill="1" applyBorder="1" applyAlignment="1"/>
    <xf numFmtId="0" fontId="17" fillId="0" borderId="16" xfId="8" applyNumberFormat="1" applyFont="1" applyFill="1" applyBorder="1"/>
    <xf numFmtId="0" fontId="17" fillId="0" borderId="16" xfId="8" applyNumberFormat="1" applyFont="1" applyFill="1" applyBorder="1" applyAlignment="1"/>
    <xf numFmtId="0" fontId="7" fillId="15" borderId="16" xfId="14" applyFont="1" applyFill="1" applyBorder="1" applyAlignment="1"/>
    <xf numFmtId="0" fontId="7" fillId="15" borderId="18" xfId="14" applyFont="1" applyFill="1" applyBorder="1" applyAlignment="1"/>
    <xf numFmtId="0" fontId="7" fillId="15" borderId="18" xfId="14" applyFont="1" applyFill="1" applyBorder="1"/>
    <xf numFmtId="0" fontId="7" fillId="15" borderId="17" xfId="14" applyFont="1" applyFill="1" applyBorder="1"/>
    <xf numFmtId="0" fontId="7" fillId="15" borderId="1" xfId="16" applyFont="1" applyFill="1" applyBorder="1" applyAlignment="1"/>
    <xf numFmtId="0" fontId="14" fillId="11" borderId="33" xfId="14" applyFont="1" applyFill="1" applyBorder="1" applyAlignment="1">
      <alignment horizontal="center"/>
    </xf>
    <xf numFmtId="0" fontId="14" fillId="13" borderId="24" xfId="9" applyFont="1" applyFill="1" applyBorder="1" applyAlignment="1">
      <alignment horizontal="center"/>
    </xf>
    <xf numFmtId="0" fontId="7" fillId="13" borderId="29" xfId="9" applyFont="1" applyFill="1" applyBorder="1" applyAlignment="1"/>
    <xf numFmtId="0" fontId="14" fillId="13" borderId="33" xfId="14" applyFont="1" applyFill="1" applyBorder="1" applyAlignment="1">
      <alignment horizontal="center"/>
    </xf>
    <xf numFmtId="0" fontId="7" fillId="13" borderId="33" xfId="14" applyFont="1" applyFill="1" applyBorder="1" applyAlignment="1">
      <alignment horizontal="center"/>
    </xf>
    <xf numFmtId="0" fontId="7" fillId="13" borderId="36" xfId="14" applyFont="1" applyFill="1" applyBorder="1" applyAlignment="1">
      <alignment horizontal="center"/>
    </xf>
    <xf numFmtId="0" fontId="7" fillId="13" borderId="29" xfId="9" applyFont="1" applyFill="1" applyBorder="1" applyAlignment="1">
      <alignment horizontal="center"/>
    </xf>
    <xf numFmtId="0" fontId="7" fillId="13" borderId="29" xfId="14" applyFont="1" applyFill="1" applyBorder="1" applyAlignment="1">
      <alignment horizontal="center"/>
    </xf>
    <xf numFmtId="0" fontId="14" fillId="13" borderId="36" xfId="14" applyFont="1" applyFill="1" applyBorder="1" applyAlignment="1">
      <alignment horizontal="center"/>
    </xf>
    <xf numFmtId="0" fontId="14" fillId="16" borderId="33" xfId="14" applyFont="1" applyFill="1" applyBorder="1" applyAlignment="1">
      <alignment horizontal="center"/>
    </xf>
    <xf numFmtId="0" fontId="14" fillId="2" borderId="33" xfId="14" applyFont="1" applyFill="1" applyBorder="1" applyAlignment="1">
      <alignment horizontal="center"/>
    </xf>
    <xf numFmtId="0" fontId="7" fillId="17" borderId="33" xfId="14" applyFont="1" applyFill="1" applyBorder="1" applyAlignment="1">
      <alignment horizontal="center"/>
    </xf>
    <xf numFmtId="0" fontId="7" fillId="17" borderId="36" xfId="14" applyFont="1" applyFill="1" applyBorder="1" applyAlignment="1">
      <alignment horizontal="center"/>
    </xf>
    <xf numFmtId="0" fontId="34" fillId="0" borderId="1" xfId="13" applyFont="1" applyFill="1" applyBorder="1" applyAlignment="1"/>
    <xf numFmtId="49" fontId="0" fillId="0" borderId="0" xfId="16" applyNumberFormat="1" applyFont="1" applyFill="1" applyBorder="1" applyAlignment="1">
      <alignment horizontal="center"/>
    </xf>
    <xf numFmtId="0" fontId="0" fillId="0" borderId="0" xfId="16" applyFont="1" applyAlignment="1">
      <alignment horizontal="left"/>
    </xf>
    <xf numFmtId="0" fontId="7" fillId="7" borderId="1" xfId="16" applyFont="1" applyFill="1" applyBorder="1" applyAlignment="1">
      <alignment horizontal="center"/>
    </xf>
    <xf numFmtId="0" fontId="7" fillId="0" borderId="0" xfId="14" applyFont="1" applyBorder="1" applyAlignment="1"/>
    <xf numFmtId="0" fontId="7" fillId="0" borderId="0" xfId="9" applyFont="1" applyFill="1" applyBorder="1" applyAlignment="1">
      <alignment horizontal="left"/>
    </xf>
    <xf numFmtId="0" fontId="7" fillId="0" borderId="0" xfId="9" applyFont="1" applyBorder="1" applyAlignment="1">
      <alignment horizontal="center"/>
    </xf>
    <xf numFmtId="0" fontId="14" fillId="0" borderId="0" xfId="9" applyFont="1" applyFill="1" applyBorder="1" applyAlignment="1">
      <alignment horizontal="center"/>
    </xf>
    <xf numFmtId="0" fontId="7" fillId="0" borderId="0" xfId="14" applyFont="1" applyFill="1" applyBorder="1" applyAlignment="1">
      <alignment horizontal="center"/>
    </xf>
    <xf numFmtId="0" fontId="14" fillId="0" borderId="0" xfId="9" applyFont="1" applyFill="1" applyBorder="1" applyAlignment="1">
      <alignment horizontal="right" vertical="center"/>
    </xf>
    <xf numFmtId="167" fontId="7" fillId="0" borderId="1" xfId="9" applyNumberFormat="1" applyFont="1" applyBorder="1" applyAlignment="1">
      <alignment horizontal="center"/>
    </xf>
    <xf numFmtId="167" fontId="7" fillId="0" borderId="49" xfId="9" applyNumberFormat="1" applyFont="1" applyBorder="1" applyAlignment="1">
      <alignment horizontal="center"/>
    </xf>
    <xf numFmtId="167" fontId="7" fillId="0" borderId="34" xfId="9" applyNumberFormat="1" applyFont="1" applyBorder="1" applyAlignment="1">
      <alignment horizontal="center"/>
    </xf>
    <xf numFmtId="0" fontId="7" fillId="0" borderId="1" xfId="9" applyFont="1" applyBorder="1" applyAlignment="1">
      <alignment horizontal="center" vertical="center"/>
    </xf>
    <xf numFmtId="0" fontId="7" fillId="0" borderId="49" xfId="9" applyFont="1" applyBorder="1" applyAlignment="1">
      <alignment horizontal="center" vertical="center"/>
    </xf>
    <xf numFmtId="0" fontId="7" fillId="0" borderId="34" xfId="9" applyFont="1" applyBorder="1" applyAlignment="1">
      <alignment horizontal="center" vertical="center"/>
    </xf>
    <xf numFmtId="0" fontId="0" fillId="0" borderId="0" xfId="16" applyFont="1" applyBorder="1" applyAlignment="1">
      <alignment horizontal="left"/>
    </xf>
    <xf numFmtId="0" fontId="0" fillId="0" borderId="1" xfId="13" applyFont="1" applyBorder="1" applyAlignment="1"/>
    <xf numFmtId="0" fontId="17" fillId="0" borderId="1" xfId="13" applyFont="1" applyBorder="1" applyAlignment="1"/>
    <xf numFmtId="0" fontId="14" fillId="0" borderId="1" xfId="8" applyNumberFormat="1" applyFont="1" applyBorder="1" applyAlignment="1">
      <alignment horizontal="right"/>
    </xf>
    <xf numFmtId="0" fontId="8" fillId="0" borderId="0" xfId="1" applyFont="1"/>
    <xf numFmtId="0" fontId="35" fillId="0" borderId="0" xfId="0" applyFont="1"/>
    <xf numFmtId="0" fontId="0" fillId="0" borderId="0" xfId="16" applyFont="1" applyAlignment="1"/>
    <xf numFmtId="0" fontId="0" fillId="0" borderId="9" xfId="8" applyFont="1" applyFill="1" applyBorder="1" applyAlignment="1"/>
    <xf numFmtId="0" fontId="14" fillId="0" borderId="1" xfId="8" quotePrefix="1" applyNumberFormat="1" applyFont="1" applyBorder="1" applyAlignment="1">
      <alignment horizontal="right"/>
    </xf>
    <xf numFmtId="0" fontId="0" fillId="4" borderId="1" xfId="8" applyFont="1" applyFill="1" applyBorder="1" applyAlignment="1"/>
    <xf numFmtId="0" fontId="0" fillId="0" borderId="0" xfId="13" applyFont="1"/>
    <xf numFmtId="0" fontId="20" fillId="0" borderId="1" xfId="1" applyNumberFormat="1" applyFont="1" applyFill="1" applyBorder="1" applyAlignment="1"/>
    <xf numFmtId="0" fontId="36" fillId="0" borderId="0" xfId="6" applyFont="1" applyFill="1" applyAlignment="1">
      <alignment horizontal="right"/>
    </xf>
    <xf numFmtId="0" fontId="0" fillId="0" borderId="1" xfId="8" applyNumberFormat="1" applyFont="1" applyFill="1" applyBorder="1" applyAlignment="1">
      <alignment wrapText="1"/>
    </xf>
    <xf numFmtId="49" fontId="14" fillId="0" borderId="1" xfId="8" quotePrefix="1" applyNumberFormat="1" applyFont="1" applyBorder="1" applyAlignment="1">
      <alignment horizontal="right"/>
    </xf>
    <xf numFmtId="0" fontId="7" fillId="5" borderId="1" xfId="13" applyFont="1" applyFill="1" applyBorder="1" applyAlignment="1">
      <alignment horizontal="center"/>
    </xf>
    <xf numFmtId="0" fontId="16" fillId="0" borderId="1" xfId="13" applyFont="1" applyBorder="1" applyAlignment="1"/>
    <xf numFmtId="164" fontId="7" fillId="0" borderId="51" xfId="7" applyNumberFormat="1" applyFont="1" applyFill="1" applyBorder="1" applyAlignment="1">
      <alignment horizontal="center"/>
    </xf>
    <xf numFmtId="164" fontId="7" fillId="0" borderId="52" xfId="7" applyNumberFormat="1" applyFont="1" applyFill="1" applyBorder="1" applyAlignment="1">
      <alignment horizontal="center"/>
    </xf>
    <xf numFmtId="164" fontId="7" fillId="0" borderId="53" xfId="7" applyNumberFormat="1" applyFont="1" applyFill="1" applyBorder="1" applyAlignment="1">
      <alignment horizontal="center"/>
    </xf>
    <xf numFmtId="164" fontId="7" fillId="0" borderId="55" xfId="7" applyNumberFormat="1" applyFont="1" applyFill="1" applyBorder="1" applyAlignment="1">
      <alignment horizontal="center"/>
    </xf>
    <xf numFmtId="164" fontId="7" fillId="0" borderId="56" xfId="7" applyNumberFormat="1" applyFont="1" applyFill="1" applyBorder="1" applyAlignment="1">
      <alignment horizontal="center"/>
    </xf>
    <xf numFmtId="164" fontId="7" fillId="0" borderId="57" xfId="7" applyNumberFormat="1" applyFont="1" applyFill="1" applyBorder="1" applyAlignment="1">
      <alignment horizontal="center"/>
    </xf>
    <xf numFmtId="0" fontId="7" fillId="0" borderId="0" xfId="6" applyFont="1" applyAlignment="1">
      <alignment vertical="top"/>
    </xf>
    <xf numFmtId="0" fontId="0" fillId="0" borderId="1" xfId="13" applyFont="1" applyBorder="1" applyAlignment="1">
      <alignment horizontal="center"/>
    </xf>
    <xf numFmtId="0" fontId="0" fillId="0" borderId="20" xfId="6" applyFont="1" applyBorder="1" applyAlignment="1">
      <alignment horizontal="center" vertical="center" wrapText="1"/>
    </xf>
    <xf numFmtId="0" fontId="14" fillId="0" borderId="1" xfId="6" applyFont="1" applyBorder="1"/>
    <xf numFmtId="0" fontId="7" fillId="0" borderId="1" xfId="6" applyFont="1" applyBorder="1" applyAlignment="1">
      <alignment horizontal="center"/>
    </xf>
    <xf numFmtId="0" fontId="14" fillId="0" borderId="1" xfId="6" applyFont="1" applyBorder="1" applyAlignment="1">
      <alignment horizontal="center"/>
    </xf>
    <xf numFmtId="0" fontId="0" fillId="0" borderId="0" xfId="6" applyFont="1" applyBorder="1"/>
    <xf numFmtId="0" fontId="7" fillId="0" borderId="0" xfId="6" applyFont="1" applyBorder="1" applyAlignment="1">
      <alignment horizontal="center"/>
    </xf>
    <xf numFmtId="0" fontId="7" fillId="0" borderId="47" xfId="6" applyFont="1" applyBorder="1" applyAlignment="1">
      <alignment horizontal="center"/>
    </xf>
    <xf numFmtId="0" fontId="0" fillId="0" borderId="16" xfId="6" applyFont="1" applyBorder="1"/>
    <xf numFmtId="0" fontId="0" fillId="0" borderId="47" xfId="6" applyFont="1" applyBorder="1"/>
    <xf numFmtId="0" fontId="14" fillId="0" borderId="0" xfId="6" applyFont="1" applyBorder="1"/>
    <xf numFmtId="0" fontId="7" fillId="0" borderId="50" xfId="16" applyFont="1" applyBorder="1" applyAlignment="1"/>
    <xf numFmtId="0" fontId="7" fillId="0" borderId="50" xfId="6" applyFont="1" applyBorder="1"/>
    <xf numFmtId="0" fontId="14" fillId="0" borderId="47" xfId="6" applyFont="1" applyBorder="1" applyAlignment="1">
      <alignment horizontal="center"/>
    </xf>
    <xf numFmtId="0" fontId="7" fillId="3" borderId="1" xfId="6" applyFont="1" applyFill="1" applyBorder="1"/>
    <xf numFmtId="0" fontId="7" fillId="4" borderId="1" xfId="6" applyFont="1" applyFill="1" applyBorder="1"/>
    <xf numFmtId="0" fontId="38" fillId="0" borderId="1" xfId="1" applyFont="1" applyFill="1" applyBorder="1" applyAlignment="1"/>
    <xf numFmtId="0" fontId="37" fillId="0" borderId="1" xfId="1" applyFont="1" applyFill="1" applyBorder="1" applyAlignment="1"/>
    <xf numFmtId="0" fontId="0" fillId="0" borderId="15" xfId="8" applyFont="1" applyFill="1" applyBorder="1" applyAlignment="1"/>
    <xf numFmtId="0" fontId="14" fillId="3" borderId="1" xfId="6" applyFont="1" applyFill="1" applyBorder="1" applyAlignment="1">
      <alignment horizontal="center"/>
    </xf>
    <xf numFmtId="0" fontId="22" fillId="0" borderId="0" xfId="6" applyFont="1"/>
    <xf numFmtId="0" fontId="14" fillId="2" borderId="1" xfId="6" applyFont="1" applyFill="1" applyBorder="1"/>
    <xf numFmtId="0" fontId="13" fillId="0" borderId="0" xfId="6" applyFont="1" applyAlignment="1">
      <alignment horizontal="right"/>
    </xf>
    <xf numFmtId="0" fontId="0" fillId="0" borderId="8" xfId="8" applyFont="1" applyBorder="1" applyAlignment="1"/>
    <xf numFmtId="0" fontId="8" fillId="0" borderId="0" xfId="1" applyNumberFormat="1" applyAlignment="1"/>
    <xf numFmtId="0" fontId="39" fillId="0" borderId="1" xfId="13" applyNumberFormat="1" applyFont="1" applyFill="1" applyBorder="1" applyAlignment="1">
      <alignment horizontal="center"/>
    </xf>
    <xf numFmtId="0" fontId="7" fillId="0" borderId="59" xfId="16" applyFont="1" applyBorder="1"/>
    <xf numFmtId="0" fontId="7" fillId="0" borderId="50" xfId="16" applyNumberFormat="1" applyFont="1" applyFill="1" applyBorder="1" applyAlignment="1">
      <alignment horizontal="center"/>
    </xf>
    <xf numFmtId="0" fontId="14" fillId="0" borderId="1" xfId="16" applyFont="1" applyFill="1" applyBorder="1" applyAlignment="1"/>
    <xf numFmtId="0" fontId="0" fillId="0" borderId="11" xfId="8" applyFont="1" applyBorder="1" applyAlignment="1">
      <alignment horizontal="left"/>
    </xf>
    <xf numFmtId="0" fontId="17" fillId="8" borderId="1" xfId="13" applyFont="1" applyFill="1" applyBorder="1" applyAlignment="1"/>
    <xf numFmtId="0" fontId="0" fillId="11" borderId="1" xfId="6" applyNumberFormat="1" applyFont="1" applyFill="1" applyBorder="1" applyAlignment="1"/>
    <xf numFmtId="0" fontId="22" fillId="11" borderId="1" xfId="1" applyFont="1" applyFill="1" applyBorder="1" applyAlignment="1"/>
    <xf numFmtId="0" fontId="0" fillId="11" borderId="1" xfId="0" applyNumberFormat="1" applyFont="1" applyFill="1" applyBorder="1" applyAlignment="1"/>
    <xf numFmtId="166" fontId="0" fillId="11" borderId="1" xfId="6" applyNumberFormat="1" applyFont="1" applyFill="1" applyBorder="1" applyAlignment="1">
      <alignment horizontal="center"/>
    </xf>
    <xf numFmtId="164" fontId="0" fillId="11" borderId="1" xfId="6" applyNumberFormat="1" applyFont="1" applyFill="1" applyBorder="1" applyAlignment="1">
      <alignment horizontal="center"/>
    </xf>
    <xf numFmtId="0" fontId="0" fillId="11" borderId="1" xfId="1" applyFont="1" applyFill="1" applyBorder="1" applyAlignment="1"/>
    <xf numFmtId="0" fontId="0" fillId="0" borderId="0" xfId="6" applyNumberFormat="1" applyFont="1" applyAlignment="1"/>
    <xf numFmtId="0" fontId="0" fillId="0" borderId="0" xfId="6" applyNumberFormat="1" applyFont="1" applyAlignment="1">
      <alignment horizontal="center"/>
    </xf>
    <xf numFmtId="164" fontId="0" fillId="0" borderId="0" xfId="6" applyNumberFormat="1" applyFont="1" applyAlignment="1">
      <alignment horizontal="center"/>
    </xf>
    <xf numFmtId="0" fontId="0" fillId="12" borderId="1" xfId="0" applyNumberFormat="1" applyFont="1" applyFill="1" applyBorder="1" applyAlignment="1"/>
    <xf numFmtId="0" fontId="22" fillId="12" borderId="1" xfId="1" applyFont="1" applyFill="1" applyBorder="1" applyAlignment="1"/>
    <xf numFmtId="0" fontId="0" fillId="12" borderId="1" xfId="6" applyNumberFormat="1" applyFont="1" applyFill="1" applyBorder="1" applyAlignment="1"/>
    <xf numFmtId="166" fontId="0" fillId="12" borderId="1" xfId="6" applyNumberFormat="1" applyFont="1" applyFill="1" applyBorder="1" applyAlignment="1">
      <alignment horizontal="center"/>
    </xf>
    <xf numFmtId="164" fontId="0" fillId="12" borderId="1" xfId="6" applyNumberFormat="1" applyFont="1" applyFill="1" applyBorder="1" applyAlignment="1">
      <alignment horizontal="center"/>
    </xf>
    <xf numFmtId="0" fontId="22" fillId="11" borderId="1" xfId="1" applyFont="1" applyFill="1" applyBorder="1" applyAlignment="1">
      <alignment vertical="top"/>
    </xf>
    <xf numFmtId="0" fontId="0" fillId="8" borderId="1" xfId="0" applyNumberFormat="1" applyFont="1" applyFill="1" applyBorder="1" applyAlignment="1"/>
    <xf numFmtId="0" fontId="22" fillId="8" borderId="1" xfId="1" applyFont="1" applyFill="1" applyBorder="1" applyAlignment="1"/>
    <xf numFmtId="166" fontId="0" fillId="8" borderId="1" xfId="6" applyNumberFormat="1" applyFont="1" applyFill="1" applyBorder="1" applyAlignment="1">
      <alignment horizontal="center"/>
    </xf>
    <xf numFmtId="164" fontId="0" fillId="8" borderId="1" xfId="6" applyNumberFormat="1" applyFont="1" applyFill="1" applyBorder="1" applyAlignment="1">
      <alignment horizontal="center"/>
    </xf>
    <xf numFmtId="0" fontId="0" fillId="0" borderId="0" xfId="6" applyNumberFormat="1" applyFont="1" applyFill="1" applyBorder="1" applyAlignment="1"/>
    <xf numFmtId="166" fontId="0" fillId="0" borderId="0" xfId="6" applyNumberFormat="1" applyFont="1" applyFill="1" applyBorder="1" applyAlignment="1">
      <alignment horizontal="center"/>
    </xf>
    <xf numFmtId="164" fontId="0" fillId="0" borderId="0" xfId="6" applyNumberFormat="1" applyFont="1" applyFill="1" applyAlignment="1">
      <alignment horizontal="center"/>
    </xf>
    <xf numFmtId="0" fontId="0" fillId="0" borderId="0" xfId="6" applyNumberFormat="1" applyFont="1" applyFill="1" applyAlignment="1"/>
    <xf numFmtId="0" fontId="0" fillId="0" borderId="0" xfId="6" applyNumberFormat="1" applyFont="1" applyFill="1" applyAlignment="1">
      <alignment horizontal="center"/>
    </xf>
    <xf numFmtId="0" fontId="14" fillId="0" borderId="1" xfId="1" applyFont="1" applyFill="1" applyBorder="1" applyAlignment="1"/>
    <xf numFmtId="0" fontId="0" fillId="0" borderId="1" xfId="6" applyNumberFormat="1" applyFont="1" applyFill="1" applyBorder="1" applyAlignment="1"/>
    <xf numFmtId="0" fontId="0" fillId="0" borderId="1" xfId="1" applyFont="1" applyFill="1" applyBorder="1" applyAlignment="1"/>
    <xf numFmtId="166" fontId="0" fillId="0" borderId="1" xfId="6" applyNumberFormat="1" applyFont="1" applyFill="1" applyBorder="1" applyAlignment="1">
      <alignment horizontal="center"/>
    </xf>
    <xf numFmtId="164" fontId="0" fillId="0" borderId="1" xfId="6" applyNumberFormat="1" applyFont="1" applyFill="1" applyBorder="1" applyAlignment="1">
      <alignment horizontal="center"/>
    </xf>
    <xf numFmtId="49" fontId="14" fillId="0" borderId="1" xfId="0" applyNumberFormat="1" applyFont="1" applyFill="1" applyBorder="1" applyAlignment="1"/>
    <xf numFmtId="0" fontId="7" fillId="11" borderId="1" xfId="6" applyNumberFormat="1" applyFont="1" applyFill="1" applyBorder="1" applyAlignment="1"/>
    <xf numFmtId="49" fontId="7" fillId="11" borderId="1" xfId="6" applyNumberFormat="1" applyFont="1" applyFill="1" applyBorder="1" applyAlignment="1"/>
    <xf numFmtId="0" fontId="22" fillId="11" borderId="1" xfId="1" applyNumberFormat="1" applyFont="1" applyFill="1" applyBorder="1" applyAlignment="1"/>
    <xf numFmtId="14" fontId="7" fillId="11" borderId="1" xfId="6" applyNumberFormat="1" applyFont="1" applyFill="1" applyBorder="1" applyAlignment="1"/>
    <xf numFmtId="0" fontId="7" fillId="12" borderId="1" xfId="6" applyNumberFormat="1" applyFont="1" applyFill="1" applyBorder="1" applyAlignment="1"/>
    <xf numFmtId="49" fontId="7" fillId="12" borderId="1" xfId="0" applyNumberFormat="1" applyFont="1" applyFill="1" applyBorder="1" applyAlignment="1"/>
    <xf numFmtId="0" fontId="22" fillId="12" borderId="1" xfId="1" applyNumberFormat="1" applyFont="1" applyFill="1" applyBorder="1" applyAlignment="1"/>
    <xf numFmtId="49" fontId="7" fillId="11" borderId="1" xfId="0" applyNumberFormat="1" applyFont="1" applyFill="1" applyBorder="1" applyAlignment="1"/>
    <xf numFmtId="0" fontId="7" fillId="8" borderId="1" xfId="0" applyNumberFormat="1" applyFont="1" applyFill="1" applyBorder="1" applyAlignment="1"/>
    <xf numFmtId="49" fontId="7" fillId="8" borderId="1" xfId="0" applyNumberFormat="1" applyFont="1" applyFill="1" applyBorder="1" applyAlignment="1"/>
    <xf numFmtId="0" fontId="22" fillId="8" borderId="1" xfId="1" applyNumberFormat="1" applyFont="1" applyFill="1" applyBorder="1" applyAlignment="1"/>
    <xf numFmtId="0" fontId="13" fillId="2" borderId="1" xfId="13" applyFont="1" applyFill="1" applyBorder="1" applyAlignment="1"/>
    <xf numFmtId="0" fontId="14" fillId="3" borderId="1" xfId="0" applyFont="1" applyFill="1" applyBorder="1" applyAlignment="1"/>
    <xf numFmtId="0" fontId="7" fillId="4" borderId="1" xfId="13" applyFont="1" applyFill="1" applyBorder="1" applyAlignment="1"/>
    <xf numFmtId="164" fontId="17" fillId="0" borderId="54" xfId="13" applyNumberFormat="1" applyFont="1" applyFill="1" applyBorder="1" applyAlignment="1">
      <alignment horizontal="center"/>
    </xf>
    <xf numFmtId="164" fontId="17" fillId="0" borderId="58" xfId="13" applyNumberFormat="1" applyFont="1" applyFill="1" applyBorder="1" applyAlignment="1">
      <alignment horizontal="center"/>
    </xf>
    <xf numFmtId="164" fontId="14" fillId="18" borderId="1" xfId="13" applyNumberFormat="1" applyFont="1" applyFill="1" applyBorder="1" applyAlignment="1">
      <alignment horizontal="center"/>
    </xf>
    <xf numFmtId="164" fontId="14" fillId="19" borderId="1" xfId="13" applyNumberFormat="1" applyFont="1" applyFill="1" applyBorder="1" applyAlignment="1">
      <alignment horizontal="center"/>
    </xf>
    <xf numFmtId="164" fontId="14" fillId="20" borderId="1" xfId="13" applyNumberFormat="1" applyFont="1" applyFill="1" applyBorder="1" applyAlignment="1">
      <alignment horizontal="center"/>
    </xf>
    <xf numFmtId="0" fontId="30" fillId="18" borderId="0" xfId="13" applyFont="1" applyFill="1" applyBorder="1" applyAlignment="1">
      <alignment horizontal="center"/>
    </xf>
    <xf numFmtId="0" fontId="0" fillId="18" borderId="0" xfId="0" applyFont="1" applyFill="1"/>
    <xf numFmtId="0" fontId="7" fillId="3" borderId="47" xfId="13" applyFont="1" applyFill="1" applyBorder="1" applyAlignment="1"/>
    <xf numFmtId="0" fontId="31" fillId="3" borderId="50" xfId="13" applyFont="1" applyFill="1" applyBorder="1" applyAlignment="1">
      <alignment horizontal="center"/>
    </xf>
    <xf numFmtId="0" fontId="14" fillId="3" borderId="16" xfId="13" applyFont="1" applyFill="1" applyBorder="1" applyAlignment="1"/>
    <xf numFmtId="0" fontId="7" fillId="3" borderId="50" xfId="13" applyFont="1" applyFill="1" applyBorder="1" applyAlignment="1"/>
    <xf numFmtId="0" fontId="7" fillId="0" borderId="34" xfId="9" applyFont="1" applyBorder="1" applyAlignment="1">
      <alignment horizontal="center" textRotation="90"/>
    </xf>
    <xf numFmtId="0" fontId="7" fillId="0" borderId="1" xfId="9" applyFont="1" applyBorder="1" applyAlignment="1">
      <alignment horizontal="center" textRotation="90"/>
    </xf>
    <xf numFmtId="0" fontId="7" fillId="16" borderId="33" xfId="14" applyFont="1" applyFill="1" applyBorder="1" applyAlignment="1">
      <alignment horizontal="center"/>
    </xf>
    <xf numFmtId="0" fontId="36" fillId="0" borderId="1" xfId="6" applyNumberFormat="1" applyFont="1" applyFill="1" applyBorder="1" applyAlignment="1"/>
    <xf numFmtId="49" fontId="36" fillId="0" borderId="1" xfId="6" applyNumberFormat="1" applyFont="1" applyFill="1" applyBorder="1" applyAlignment="1"/>
    <xf numFmtId="0" fontId="37" fillId="0" borderId="1" xfId="1" applyNumberFormat="1" applyFont="1" applyFill="1" applyBorder="1" applyAlignment="1"/>
    <xf numFmtId="0" fontId="36" fillId="0" borderId="1" xfId="0" applyNumberFormat="1" applyFont="1" applyFill="1" applyBorder="1" applyAlignment="1"/>
    <xf numFmtId="166" fontId="36" fillId="0" borderId="1" xfId="6" applyNumberFormat="1" applyFont="1" applyFill="1" applyBorder="1" applyAlignment="1">
      <alignment horizontal="center"/>
    </xf>
    <xf numFmtId="164" fontId="36" fillId="0" borderId="1" xfId="6" applyNumberFormat="1" applyFont="1" applyFill="1" applyBorder="1" applyAlignment="1">
      <alignment horizontal="center"/>
    </xf>
    <xf numFmtId="0" fontId="14" fillId="2" borderId="1" xfId="6" applyNumberFormat="1" applyFont="1" applyFill="1" applyBorder="1" applyAlignment="1"/>
    <xf numFmtId="49" fontId="14" fillId="2" borderId="1" xfId="0" applyNumberFormat="1" applyFont="1" applyFill="1" applyBorder="1" applyAlignment="1"/>
    <xf numFmtId="0" fontId="20" fillId="2" borderId="1" xfId="1" applyNumberFormat="1" applyFont="1" applyFill="1" applyBorder="1" applyAlignment="1"/>
    <xf numFmtId="0" fontId="29" fillId="2" borderId="1" xfId="1" applyFont="1" applyFill="1" applyBorder="1" applyAlignment="1"/>
    <xf numFmtId="0" fontId="14" fillId="2" borderId="1" xfId="0" applyNumberFormat="1" applyFont="1" applyFill="1" applyBorder="1" applyAlignment="1"/>
    <xf numFmtId="0" fontId="20" fillId="2" borderId="1" xfId="1" applyFont="1" applyFill="1" applyBorder="1" applyAlignment="1"/>
    <xf numFmtId="166" fontId="14" fillId="2" borderId="1" xfId="6" applyNumberFormat="1" applyFont="1" applyFill="1" applyBorder="1" applyAlignment="1">
      <alignment horizontal="center"/>
    </xf>
    <xf numFmtId="164" fontId="14" fillId="2" borderId="1" xfId="6" applyNumberFormat="1" applyFont="1" applyFill="1" applyBorder="1" applyAlignment="1">
      <alignment horizontal="center"/>
    </xf>
    <xf numFmtId="49" fontId="14" fillId="2" borderId="1" xfId="6" applyNumberFormat="1" applyFont="1" applyFill="1" applyBorder="1" applyAlignment="1"/>
    <xf numFmtId="0" fontId="14" fillId="2" borderId="1" xfId="1" applyFont="1" applyFill="1" applyBorder="1" applyAlignment="1"/>
    <xf numFmtId="17" fontId="14" fillId="3" borderId="0" xfId="6" quotePrefix="1" applyNumberFormat="1" applyFont="1" applyFill="1" applyAlignment="1"/>
    <xf numFmtId="0" fontId="7" fillId="3" borderId="0" xfId="6" applyNumberFormat="1" applyFont="1" applyFill="1" applyAlignment="1"/>
    <xf numFmtId="0" fontId="14" fillId="3" borderId="0" xfId="6" quotePrefix="1" applyNumberFormat="1" applyFont="1" applyFill="1" applyAlignment="1"/>
    <xf numFmtId="0" fontId="14" fillId="0" borderId="0" xfId="13" applyFont="1" applyFill="1" applyBorder="1" applyAlignment="1"/>
    <xf numFmtId="0" fontId="4" fillId="0" borderId="60" xfId="13" applyFont="1" applyFill="1" applyBorder="1" applyAlignment="1"/>
    <xf numFmtId="0" fontId="14" fillId="0" borderId="61" xfId="13" applyFont="1" applyBorder="1" applyAlignment="1"/>
    <xf numFmtId="0" fontId="7" fillId="0" borderId="62" xfId="13" applyFont="1" applyBorder="1" applyAlignment="1"/>
    <xf numFmtId="0" fontId="0" fillId="5" borderId="62" xfId="13" applyFont="1" applyFill="1" applyBorder="1" applyAlignment="1">
      <alignment horizontal="right"/>
    </xf>
    <xf numFmtId="0" fontId="7" fillId="0" borderId="62" xfId="13" applyFont="1" applyFill="1" applyBorder="1" applyAlignment="1"/>
    <xf numFmtId="0" fontId="0" fillId="0" borderId="59" xfId="13" applyFont="1" applyFill="1" applyBorder="1" applyAlignment="1">
      <alignment horizontal="right"/>
    </xf>
    <xf numFmtId="0" fontId="7" fillId="0" borderId="47" xfId="13" applyFont="1" applyFill="1" applyBorder="1" applyAlignment="1"/>
    <xf numFmtId="0" fontId="7" fillId="0" borderId="47" xfId="13" applyFont="1" applyBorder="1" applyAlignment="1">
      <alignment horizontal="center"/>
    </xf>
    <xf numFmtId="0" fontId="7" fillId="0" borderId="50" xfId="13" applyFont="1" applyBorder="1" applyAlignment="1"/>
    <xf numFmtId="0" fontId="41" fillId="5" borderId="1" xfId="13" applyFont="1" applyFill="1" applyBorder="1" applyAlignment="1"/>
    <xf numFmtId="0" fontId="31" fillId="2" borderId="1" xfId="13" applyNumberFormat="1" applyFont="1" applyFill="1" applyBorder="1" applyAlignment="1">
      <alignment horizontal="center"/>
    </xf>
    <xf numFmtId="0" fontId="7" fillId="0" borderId="43" xfId="9" applyFont="1" applyBorder="1" applyAlignment="1">
      <alignment horizontal="center"/>
    </xf>
    <xf numFmtId="0" fontId="7" fillId="0" borderId="47" xfId="9" applyFont="1" applyBorder="1" applyAlignment="1">
      <alignment horizontal="center"/>
    </xf>
    <xf numFmtId="0" fontId="7" fillId="0" borderId="48" xfId="9" applyFont="1" applyBorder="1" applyAlignment="1">
      <alignment horizontal="center"/>
    </xf>
    <xf numFmtId="0" fontId="7" fillId="0" borderId="16" xfId="6" applyFont="1" applyBorder="1" applyAlignment="1">
      <alignment horizontal="center"/>
    </xf>
    <xf numFmtId="0" fontId="7" fillId="0" borderId="50" xfId="6" applyFont="1" applyBorder="1" applyAlignment="1">
      <alignment horizontal="center"/>
    </xf>
    <xf numFmtId="0" fontId="14" fillId="0" borderId="16" xfId="6" applyFont="1" applyBorder="1" applyAlignment="1">
      <alignment horizontal="center"/>
    </xf>
    <xf numFmtId="0" fontId="14" fillId="0" borderId="50" xfId="6" applyFont="1" applyBorder="1" applyAlignment="1">
      <alignment horizontal="center"/>
    </xf>
  </cellXfs>
  <cellStyles count="23">
    <cellStyle name="Hyperlink" xfId="1" builtinId="8"/>
    <cellStyle name="Hyperlink 2" xfId="2"/>
    <cellStyle name="Hyperlink 2 2" xfId="3"/>
    <cellStyle name="Hyperlink 3" xfId="4"/>
    <cellStyle name="Hyperlink 3 2" xfId="5"/>
    <cellStyle name="Normal" xfId="0" builtinId="0"/>
    <cellStyle name="Normal 2" xfId="6"/>
    <cellStyle name="Normal 2 2" xfId="7"/>
    <cellStyle name="Normal 2 2 2" xfId="8"/>
    <cellStyle name="Normal 2 2 2 2" xfId="9"/>
    <cellStyle name="Normal 2 2 3" xfId="10"/>
    <cellStyle name="Normal 2 3" xfId="11"/>
    <cellStyle name="Normal 2 4" xfId="12"/>
    <cellStyle name="Normal 3" xfId="13"/>
    <cellStyle name="Normal 3 2" xfId="14"/>
    <cellStyle name="Normal 4" xfId="15"/>
    <cellStyle name="Normal 5" xfId="16"/>
    <cellStyle name="Normal 6" xfId="17"/>
    <cellStyle name="Normal 6 2" xfId="18"/>
    <cellStyle name="Normal 7" xfId="19"/>
    <cellStyle name="Normal 8" xfId="20"/>
    <cellStyle name="Normal 9" xfId="21"/>
    <cellStyle name="WinCalendar_BlankCells_35" xfId="22"/>
  </cellStyles>
  <dxfs count="272">
    <dxf>
      <font>
        <color rgb="FF0070C0"/>
      </font>
    </dxf>
    <dxf>
      <font>
        <color rgb="FF0070C0"/>
      </font>
    </dxf>
    <dxf>
      <font>
        <color rgb="FF9C0006"/>
      </font>
      <fill>
        <patternFill>
          <bgColor rgb="FFFFC7CE"/>
        </patternFill>
      </fill>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dxf>
    <dxf>
      <font>
        <color rgb="FF0070C0"/>
      </font>
    </dxf>
    <dxf>
      <font>
        <color rgb="FF9C0006"/>
      </font>
      <fill>
        <patternFill>
          <bgColor rgb="FFFFC7CE"/>
        </patternFill>
      </fill>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dxf>
    <dxf>
      <font>
        <color rgb="FF9C0006"/>
      </font>
      <fill>
        <patternFill>
          <bgColor rgb="FFFFC7CE"/>
        </patternFill>
      </fill>
    </dxf>
    <dxf>
      <font>
        <color theme="9" tint="0.39994506668294322"/>
      </font>
    </dxf>
    <dxf>
      <font>
        <color theme="9" tint="0.39994506668294322"/>
      </font>
    </dxf>
    <dxf>
      <font>
        <color theme="9" tint="0.39994506668294322"/>
      </font>
    </dxf>
    <dxf>
      <font>
        <b/>
        <i val="0"/>
        <color rgb="FFCC000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99"/>
        </patternFill>
      </fill>
    </dxf>
    <dxf>
      <fill>
        <patternFill>
          <bgColor theme="0" tint="-0.14996795556505021"/>
        </patternFill>
      </fill>
    </dxf>
    <dxf>
      <fill>
        <patternFill>
          <bgColor rgb="FFFFCC99"/>
        </patternFill>
      </fill>
    </dxf>
    <dxf>
      <font>
        <b/>
        <i val="0"/>
        <color rgb="FFCC0000"/>
      </font>
      <fill>
        <patternFill>
          <bgColor rgb="FFFFFF99"/>
        </patternFill>
      </fill>
    </dxf>
    <dxf>
      <fill>
        <patternFill>
          <bgColor theme="0" tint="-0.14996795556505021"/>
        </patternFill>
      </fill>
    </dxf>
    <dxf>
      <fill>
        <patternFill>
          <bgColor rgb="FFFFCC99"/>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b/>
        <i val="0"/>
      </font>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ont>
        <b/>
        <i val="0"/>
      </font>
    </dxf>
    <dxf>
      <font>
        <color rgb="FFFF0000"/>
      </font>
    </dxf>
    <dxf>
      <font>
        <b/>
        <i val="0"/>
        <color rgb="FFFF0000"/>
      </font>
    </dxf>
    <dxf>
      <font>
        <color rgb="FFFF0000"/>
      </font>
    </dxf>
    <dxf>
      <font>
        <b/>
        <i val="0"/>
      </font>
    </dxf>
    <dxf>
      <font>
        <b/>
        <i val="0"/>
      </font>
    </dxf>
    <dxf>
      <font>
        <color rgb="FFFF0000"/>
      </font>
    </dxf>
    <dxf>
      <font>
        <color rgb="FF9C0006"/>
      </font>
      <fill>
        <patternFill>
          <bgColor rgb="FFFFC7CE"/>
        </patternFill>
      </fill>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FF0000"/>
      </font>
    </dxf>
    <dxf>
      <font>
        <b/>
        <i val="0"/>
      </font>
    </dxf>
    <dxf>
      <font>
        <b/>
        <i val="0"/>
      </font>
    </dxf>
    <dxf>
      <font>
        <b/>
        <i val="0"/>
        <color rgb="FFFF0000"/>
      </font>
    </dxf>
    <dxf>
      <font>
        <b/>
        <i val="0"/>
      </font>
    </dxf>
    <dxf>
      <font>
        <color rgb="FF9C0006"/>
      </font>
      <fill>
        <patternFill>
          <bgColor rgb="FFFFC7CE"/>
        </patternFill>
      </fill>
    </dxf>
    <dxf>
      <font>
        <b/>
        <i val="0"/>
      </font>
    </dxf>
    <dxf>
      <font>
        <color rgb="FFFF0000"/>
      </font>
    </dxf>
    <dxf>
      <font>
        <b/>
        <i val="0"/>
        <color rgb="FFFF0000"/>
      </font>
    </dxf>
    <dxf>
      <font>
        <color rgb="FFFF0000"/>
      </font>
    </dxf>
    <dxf>
      <font>
        <b/>
        <i val="0"/>
      </font>
    </dxf>
    <dxf>
      <font>
        <b/>
        <i val="0"/>
      </font>
    </dxf>
    <dxf>
      <font>
        <color rgb="FFFF0000"/>
      </font>
    </dxf>
    <dxf>
      <font>
        <color rgb="FF9C0006"/>
      </font>
      <fill>
        <patternFill>
          <bgColor rgb="FFFFC7CE"/>
        </patternFill>
      </fill>
    </dxf>
    <dxf>
      <font>
        <b/>
        <i val="0"/>
      </font>
    </dxf>
    <dxf>
      <font>
        <b/>
        <i val="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FF0000"/>
      </font>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FF0000"/>
      </font>
    </dxf>
    <dxf>
      <font>
        <color rgb="FF9C0006"/>
      </font>
      <fill>
        <patternFill>
          <bgColor rgb="FFFFC7CE"/>
        </patternFill>
      </fill>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FF0000"/>
      </font>
    </dxf>
  </dxfs>
  <tableStyles count="0" defaultTableStyle="TableStyleMedium2" defaultPivotStyle="PivotStyleLight16"/>
  <colors>
    <mruColors>
      <color rgb="FFFFFF99"/>
      <color rgb="FFCC0000"/>
      <color rgb="FFFFCC99"/>
      <color rgb="FFCCFFCC"/>
      <color rgb="FFDCE6F1"/>
      <color rgb="FFFFFFCC"/>
      <color rgb="FFFF9999"/>
      <color rgb="FF99FF99"/>
      <color rgb="FFFFCCFF"/>
      <color rgb="FFDDFF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400050</xdr:colOff>
      <xdr:row>2</xdr:row>
      <xdr:rowOff>152400</xdr:rowOff>
    </xdr:to>
    <xdr:pic>
      <xdr:nvPicPr>
        <xdr:cNvPr id="1849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81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140110</xdr:colOff>
      <xdr:row>2</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36871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59" name="Group 58"/>
        <xdr:cNvGrpSpPr>
          <a:grpSpLocks noChangeAspect="1"/>
        </xdr:cNvGrpSpPr>
      </xdr:nvGrpSpPr>
      <xdr:grpSpPr>
        <a:xfrm>
          <a:off x="1552611" y="905095"/>
          <a:ext cx="535737" cy="576000"/>
          <a:chOff x="1546061" y="855808"/>
          <a:chExt cx="601200" cy="648000"/>
        </a:xfrm>
      </xdr:grpSpPr>
      <xdr:sp macro="" textlink="">
        <xdr:nvSpPr>
          <xdr:cNvPr id="3"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4"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61" name="Group 60"/>
        <xdr:cNvGrpSpPr>
          <a:grpSpLocks noChangeAspect="1"/>
        </xdr:cNvGrpSpPr>
      </xdr:nvGrpSpPr>
      <xdr:grpSpPr>
        <a:xfrm>
          <a:off x="3001960" y="904318"/>
          <a:ext cx="535737" cy="576000"/>
          <a:chOff x="2989845" y="855809"/>
          <a:chExt cx="601200" cy="648000"/>
        </a:xfrm>
      </xdr:grpSpPr>
      <xdr:sp macro="" textlink="">
        <xdr:nvSpPr>
          <xdr:cNvPr id="6"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7"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8"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9"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62" name="Group 61"/>
        <xdr:cNvGrpSpPr>
          <a:grpSpLocks noChangeAspect="1"/>
        </xdr:cNvGrpSpPr>
      </xdr:nvGrpSpPr>
      <xdr:grpSpPr>
        <a:xfrm>
          <a:off x="3725859" y="904318"/>
          <a:ext cx="535737" cy="576000"/>
          <a:chOff x="3711740" y="855809"/>
          <a:chExt cx="601200" cy="648000"/>
        </a:xfrm>
      </xdr:grpSpPr>
      <xdr:sp macro="" textlink="">
        <xdr:nvSpPr>
          <xdr:cNvPr id="11"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3"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63" name="Group 62"/>
        <xdr:cNvGrpSpPr>
          <a:grpSpLocks noChangeAspect="1"/>
        </xdr:cNvGrpSpPr>
      </xdr:nvGrpSpPr>
      <xdr:grpSpPr>
        <a:xfrm>
          <a:off x="4449759" y="904318"/>
          <a:ext cx="535737" cy="576000"/>
          <a:chOff x="4433634" y="855809"/>
          <a:chExt cx="601200" cy="648000"/>
        </a:xfrm>
      </xdr:grpSpPr>
      <xdr:sp macro="" textlink="">
        <xdr:nvSpPr>
          <xdr:cNvPr id="15"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6"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60" name="Group 59"/>
        <xdr:cNvGrpSpPr>
          <a:grpSpLocks noChangeAspect="1"/>
        </xdr:cNvGrpSpPr>
      </xdr:nvGrpSpPr>
      <xdr:grpSpPr>
        <a:xfrm>
          <a:off x="2277282" y="904319"/>
          <a:ext cx="535737" cy="576000"/>
          <a:chOff x="2267951" y="852923"/>
          <a:chExt cx="601200" cy="648000"/>
        </a:xfrm>
      </xdr:grpSpPr>
      <xdr:sp macro="" textlink="">
        <xdr:nvSpPr>
          <xdr:cNvPr id="18"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9"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20"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95286</xdr:colOff>
      <xdr:row>5</xdr:row>
      <xdr:rowOff>85945</xdr:rowOff>
    </xdr:from>
    <xdr:to>
      <xdr:col>5</xdr:col>
      <xdr:colOff>88098</xdr:colOff>
      <xdr:row>5</xdr:row>
      <xdr:rowOff>661945</xdr:rowOff>
    </xdr:to>
    <xdr:grpSp>
      <xdr:nvGrpSpPr>
        <xdr:cNvPr id="116" name="Group 115"/>
        <xdr:cNvGrpSpPr>
          <a:grpSpLocks noChangeAspect="1"/>
        </xdr:cNvGrpSpPr>
      </xdr:nvGrpSpPr>
      <xdr:grpSpPr>
        <a:xfrm>
          <a:off x="1552611" y="905095"/>
          <a:ext cx="535737" cy="576000"/>
          <a:chOff x="1546061" y="855808"/>
          <a:chExt cx="601200" cy="648000"/>
        </a:xfrm>
      </xdr:grpSpPr>
      <xdr:sp macro="" textlink="">
        <xdr:nvSpPr>
          <xdr:cNvPr id="117" name="Oval 40"/>
          <xdr:cNvSpPr>
            <a:spLocks noChangeAspect="1" noChangeArrowheads="1"/>
          </xdr:cNvSpPr>
        </xdr:nvSpPr>
        <xdr:spPr bwMode="auto">
          <a:xfrm>
            <a:off x="1546061" y="855808"/>
            <a:ext cx="601200" cy="648000"/>
          </a:xfrm>
          <a:prstGeom prst="ellipse">
            <a:avLst/>
          </a:prstGeom>
          <a:solidFill>
            <a:srgbClr val="C0C0C0"/>
          </a:solidFill>
          <a:ln w="19050">
            <a:solidFill>
              <a:srgbClr val="000000"/>
            </a:solidFill>
            <a:round/>
            <a:headEnd/>
            <a:tailEnd/>
          </a:ln>
        </xdr:spPr>
      </xdr:sp>
      <xdr:sp macro="" textlink="">
        <xdr:nvSpPr>
          <xdr:cNvPr id="118" name="Oval 1"/>
          <xdr:cNvSpPr>
            <a:spLocks noChangeAspect="1" noChangeArrowheads="1"/>
          </xdr:cNvSpPr>
        </xdr:nvSpPr>
        <xdr:spPr bwMode="auto">
          <a:xfrm>
            <a:off x="1806723" y="1129706"/>
            <a:ext cx="93600" cy="100206"/>
          </a:xfrm>
          <a:prstGeom prst="ellipse">
            <a:avLst/>
          </a:prstGeom>
          <a:solidFill>
            <a:srgbClr val="FFFFFF"/>
          </a:solidFill>
          <a:ln w="9525">
            <a:solidFill>
              <a:srgbClr val="000000"/>
            </a:solidFill>
            <a:round/>
            <a:headEnd/>
            <a:tailEnd/>
          </a:ln>
        </xdr:spPr>
      </xdr:sp>
    </xdr:grpSp>
    <xdr:clientData/>
  </xdr:twoCellAnchor>
  <xdr:twoCellAnchor>
    <xdr:from>
      <xdr:col>10</xdr:col>
      <xdr:colOff>96835</xdr:colOff>
      <xdr:row>5</xdr:row>
      <xdr:rowOff>85168</xdr:rowOff>
    </xdr:from>
    <xdr:to>
      <xdr:col>13</xdr:col>
      <xdr:colOff>89647</xdr:colOff>
      <xdr:row>5</xdr:row>
      <xdr:rowOff>661168</xdr:rowOff>
    </xdr:to>
    <xdr:grpSp>
      <xdr:nvGrpSpPr>
        <xdr:cNvPr id="119" name="Group 118"/>
        <xdr:cNvGrpSpPr>
          <a:grpSpLocks noChangeAspect="1"/>
        </xdr:cNvGrpSpPr>
      </xdr:nvGrpSpPr>
      <xdr:grpSpPr>
        <a:xfrm>
          <a:off x="3001960" y="904318"/>
          <a:ext cx="535737" cy="576000"/>
          <a:chOff x="2989845" y="855809"/>
          <a:chExt cx="601200" cy="648000"/>
        </a:xfrm>
      </xdr:grpSpPr>
      <xdr:sp macro="" textlink="">
        <xdr:nvSpPr>
          <xdr:cNvPr id="120" name="Oval 62"/>
          <xdr:cNvSpPr>
            <a:spLocks noChangeAspect="1" noChangeArrowheads="1"/>
          </xdr:cNvSpPr>
        </xdr:nvSpPr>
        <xdr:spPr bwMode="auto">
          <a:xfrm>
            <a:off x="2989845" y="855809"/>
            <a:ext cx="601200" cy="648000"/>
          </a:xfrm>
          <a:prstGeom prst="ellipse">
            <a:avLst/>
          </a:prstGeom>
          <a:solidFill>
            <a:srgbClr val="C0C0C0"/>
          </a:solidFill>
          <a:ln w="19050">
            <a:solidFill>
              <a:srgbClr val="000000"/>
            </a:solidFill>
            <a:round/>
            <a:headEnd/>
            <a:tailEnd/>
          </a:ln>
        </xdr:spPr>
      </xdr:sp>
      <xdr:sp macro="" textlink="">
        <xdr:nvSpPr>
          <xdr:cNvPr id="121" name="Oval 67"/>
          <xdr:cNvSpPr>
            <a:spLocks noChangeAspect="1" noChangeArrowheads="1"/>
          </xdr:cNvSpPr>
        </xdr:nvSpPr>
        <xdr:spPr bwMode="auto">
          <a:xfrm>
            <a:off x="3250506" y="1129706"/>
            <a:ext cx="93600" cy="100206"/>
          </a:xfrm>
          <a:prstGeom prst="ellipse">
            <a:avLst/>
          </a:prstGeom>
          <a:solidFill>
            <a:srgbClr val="FFFFFF"/>
          </a:solidFill>
          <a:ln w="9525">
            <a:solidFill>
              <a:srgbClr val="000000"/>
            </a:solidFill>
            <a:round/>
            <a:headEnd/>
            <a:tailEnd/>
          </a:ln>
        </xdr:spPr>
      </xdr:sp>
      <xdr:sp macro="" textlink="">
        <xdr:nvSpPr>
          <xdr:cNvPr id="122" name="Oval 68"/>
          <xdr:cNvSpPr>
            <a:spLocks noChangeAspect="1" noChangeArrowheads="1"/>
          </xdr:cNvSpPr>
        </xdr:nvSpPr>
        <xdr:spPr bwMode="auto">
          <a:xfrm>
            <a:off x="3120176" y="1129706"/>
            <a:ext cx="93600" cy="100206"/>
          </a:xfrm>
          <a:prstGeom prst="ellipse">
            <a:avLst/>
          </a:prstGeom>
          <a:solidFill>
            <a:srgbClr val="0000FF"/>
          </a:solidFill>
          <a:ln w="9525">
            <a:solidFill>
              <a:srgbClr val="000000"/>
            </a:solidFill>
            <a:round/>
            <a:headEnd/>
            <a:tailEnd/>
          </a:ln>
        </xdr:spPr>
      </xdr:sp>
      <xdr:sp macro="" textlink="">
        <xdr:nvSpPr>
          <xdr:cNvPr id="123" name="Oval 69"/>
          <xdr:cNvSpPr>
            <a:spLocks noChangeAspect="1" noChangeArrowheads="1"/>
          </xdr:cNvSpPr>
        </xdr:nvSpPr>
        <xdr:spPr bwMode="auto">
          <a:xfrm>
            <a:off x="3387696" y="1129706"/>
            <a:ext cx="93600" cy="100206"/>
          </a:xfrm>
          <a:prstGeom prst="ellipse">
            <a:avLst/>
          </a:prstGeom>
          <a:solidFill>
            <a:srgbClr val="0000FF"/>
          </a:solidFill>
          <a:ln w="9525">
            <a:solidFill>
              <a:srgbClr val="000000"/>
            </a:solidFill>
            <a:round/>
            <a:headEnd/>
            <a:tailEnd/>
          </a:ln>
        </xdr:spPr>
      </xdr:sp>
    </xdr:grpSp>
    <xdr:clientData/>
  </xdr:twoCellAnchor>
  <xdr:twoCellAnchor>
    <xdr:from>
      <xdr:col>14</xdr:col>
      <xdr:colOff>96834</xdr:colOff>
      <xdr:row>5</xdr:row>
      <xdr:rowOff>85168</xdr:rowOff>
    </xdr:from>
    <xdr:to>
      <xdr:col>17</xdr:col>
      <xdr:colOff>89646</xdr:colOff>
      <xdr:row>5</xdr:row>
      <xdr:rowOff>661168</xdr:rowOff>
    </xdr:to>
    <xdr:grpSp>
      <xdr:nvGrpSpPr>
        <xdr:cNvPr id="124" name="Group 123"/>
        <xdr:cNvGrpSpPr>
          <a:grpSpLocks noChangeAspect="1"/>
        </xdr:cNvGrpSpPr>
      </xdr:nvGrpSpPr>
      <xdr:grpSpPr>
        <a:xfrm>
          <a:off x="3725859" y="904318"/>
          <a:ext cx="535737" cy="576000"/>
          <a:chOff x="3711740" y="855809"/>
          <a:chExt cx="601200" cy="648000"/>
        </a:xfrm>
      </xdr:grpSpPr>
      <xdr:sp macro="" textlink="">
        <xdr:nvSpPr>
          <xdr:cNvPr id="125" name="Oval 63"/>
          <xdr:cNvSpPr>
            <a:spLocks noChangeAspect="1" noChangeArrowheads="1"/>
          </xdr:cNvSpPr>
        </xdr:nvSpPr>
        <xdr:spPr bwMode="auto">
          <a:xfrm>
            <a:off x="3711740" y="855809"/>
            <a:ext cx="601200" cy="648000"/>
          </a:xfrm>
          <a:prstGeom prst="ellipse">
            <a:avLst/>
          </a:prstGeom>
          <a:solidFill>
            <a:srgbClr val="C0C0C0"/>
          </a:solidFill>
          <a:ln w="19050">
            <a:solidFill>
              <a:srgbClr val="000000"/>
            </a:solidFill>
            <a:round/>
            <a:headEnd/>
            <a:tailEnd/>
          </a:ln>
        </xdr:spPr>
      </xdr:sp>
      <xdr:sp macro="" textlink="">
        <xdr:nvSpPr>
          <xdr:cNvPr id="126" name="Oval 66"/>
          <xdr:cNvSpPr>
            <a:spLocks noChangeAspect="1" noChangeArrowheads="1"/>
          </xdr:cNvSpPr>
        </xdr:nvSpPr>
        <xdr:spPr bwMode="auto">
          <a:xfrm>
            <a:off x="3965542" y="1129706"/>
            <a:ext cx="93600" cy="100206"/>
          </a:xfrm>
          <a:prstGeom prst="ellipse">
            <a:avLst/>
          </a:prstGeom>
          <a:solidFill>
            <a:srgbClr val="FFFFFF"/>
          </a:solidFill>
          <a:ln w="9525">
            <a:solidFill>
              <a:srgbClr val="000000"/>
            </a:solidFill>
            <a:round/>
            <a:headEnd/>
            <a:tailEnd/>
          </a:ln>
        </xdr:spPr>
      </xdr:sp>
      <xdr:sp macro="" textlink="">
        <xdr:nvSpPr>
          <xdr:cNvPr id="127" name="Oval 70"/>
          <xdr:cNvSpPr>
            <a:spLocks noChangeAspect="1" noChangeArrowheads="1"/>
          </xdr:cNvSpPr>
        </xdr:nvSpPr>
        <xdr:spPr bwMode="auto">
          <a:xfrm>
            <a:off x="3965542" y="1276675"/>
            <a:ext cx="93600" cy="100206"/>
          </a:xfrm>
          <a:prstGeom prst="ellipse">
            <a:avLst/>
          </a:prstGeom>
          <a:solidFill>
            <a:srgbClr val="0000FF"/>
          </a:solidFill>
          <a:ln w="9525">
            <a:solidFill>
              <a:srgbClr val="000000"/>
            </a:solidFill>
            <a:round/>
            <a:headEnd/>
            <a:tailEnd/>
          </a:ln>
        </xdr:spPr>
      </xdr:sp>
    </xdr:grpSp>
    <xdr:clientData/>
  </xdr:twoCellAnchor>
  <xdr:twoCellAnchor>
    <xdr:from>
      <xdr:col>18</xdr:col>
      <xdr:colOff>96834</xdr:colOff>
      <xdr:row>5</xdr:row>
      <xdr:rowOff>85168</xdr:rowOff>
    </xdr:from>
    <xdr:to>
      <xdr:col>21</xdr:col>
      <xdr:colOff>89646</xdr:colOff>
      <xdr:row>5</xdr:row>
      <xdr:rowOff>661168</xdr:rowOff>
    </xdr:to>
    <xdr:grpSp>
      <xdr:nvGrpSpPr>
        <xdr:cNvPr id="128" name="Group 127"/>
        <xdr:cNvGrpSpPr>
          <a:grpSpLocks noChangeAspect="1"/>
        </xdr:cNvGrpSpPr>
      </xdr:nvGrpSpPr>
      <xdr:grpSpPr>
        <a:xfrm>
          <a:off x="4449759" y="904318"/>
          <a:ext cx="535737" cy="576000"/>
          <a:chOff x="4433634" y="855809"/>
          <a:chExt cx="601200" cy="648000"/>
        </a:xfrm>
      </xdr:grpSpPr>
      <xdr:sp macro="" textlink="">
        <xdr:nvSpPr>
          <xdr:cNvPr id="129" name="Oval 64"/>
          <xdr:cNvSpPr>
            <a:spLocks noChangeAspect="1" noChangeArrowheads="1"/>
          </xdr:cNvSpPr>
        </xdr:nvSpPr>
        <xdr:spPr bwMode="auto">
          <a:xfrm>
            <a:off x="4433634" y="855809"/>
            <a:ext cx="601200" cy="648000"/>
          </a:xfrm>
          <a:prstGeom prst="ellipse">
            <a:avLst/>
          </a:prstGeom>
          <a:solidFill>
            <a:srgbClr val="C0C0C0"/>
          </a:solidFill>
          <a:ln w="19050">
            <a:solidFill>
              <a:srgbClr val="000000"/>
            </a:solidFill>
            <a:round/>
            <a:headEnd/>
            <a:tailEnd/>
          </a:ln>
        </xdr:spPr>
      </xdr:sp>
      <xdr:sp macro="" textlink="">
        <xdr:nvSpPr>
          <xdr:cNvPr id="130" name="Oval 71"/>
          <xdr:cNvSpPr>
            <a:spLocks noChangeAspect="1" noChangeArrowheads="1"/>
          </xdr:cNvSpPr>
        </xdr:nvSpPr>
        <xdr:spPr bwMode="auto">
          <a:xfrm>
            <a:off x="4714873" y="1336799"/>
            <a:ext cx="43200" cy="46763"/>
          </a:xfrm>
          <a:prstGeom prst="ellipse">
            <a:avLst/>
          </a:prstGeom>
          <a:solidFill>
            <a:srgbClr val="FFFFFF"/>
          </a:solidFill>
          <a:ln w="9525">
            <a:solidFill>
              <a:srgbClr val="000000"/>
            </a:solidFill>
            <a:round/>
            <a:headEnd/>
            <a:tailEnd/>
          </a:ln>
        </xdr:spPr>
      </xdr:sp>
    </xdr:grpSp>
    <xdr:clientData/>
  </xdr:twoCellAnchor>
  <xdr:twoCellAnchor>
    <xdr:from>
      <xdr:col>6</xdr:col>
      <xdr:colOff>96057</xdr:colOff>
      <xdr:row>5</xdr:row>
      <xdr:rowOff>85169</xdr:rowOff>
    </xdr:from>
    <xdr:to>
      <xdr:col>9</xdr:col>
      <xdr:colOff>88869</xdr:colOff>
      <xdr:row>5</xdr:row>
      <xdr:rowOff>661169</xdr:rowOff>
    </xdr:to>
    <xdr:grpSp>
      <xdr:nvGrpSpPr>
        <xdr:cNvPr id="131" name="Group 130"/>
        <xdr:cNvGrpSpPr>
          <a:grpSpLocks noChangeAspect="1"/>
        </xdr:cNvGrpSpPr>
      </xdr:nvGrpSpPr>
      <xdr:grpSpPr>
        <a:xfrm>
          <a:off x="2277282" y="904319"/>
          <a:ext cx="535737" cy="576000"/>
          <a:chOff x="2267951" y="852923"/>
          <a:chExt cx="601200" cy="648000"/>
        </a:xfrm>
      </xdr:grpSpPr>
      <xdr:sp macro="" textlink="">
        <xdr:nvSpPr>
          <xdr:cNvPr id="132" name="Oval 61"/>
          <xdr:cNvSpPr>
            <a:spLocks noChangeAspect="1" noChangeArrowheads="1"/>
          </xdr:cNvSpPr>
        </xdr:nvSpPr>
        <xdr:spPr bwMode="auto">
          <a:xfrm>
            <a:off x="2267951" y="852923"/>
            <a:ext cx="601200" cy="648000"/>
          </a:xfrm>
          <a:prstGeom prst="ellipse">
            <a:avLst/>
          </a:prstGeom>
          <a:solidFill>
            <a:srgbClr val="C0C0C0"/>
          </a:solidFill>
          <a:ln w="19050">
            <a:solidFill>
              <a:srgbClr val="000000"/>
            </a:solidFill>
            <a:round/>
            <a:headEnd/>
            <a:tailEnd/>
          </a:ln>
        </xdr:spPr>
      </xdr:sp>
      <xdr:sp macro="" textlink="">
        <xdr:nvSpPr>
          <xdr:cNvPr id="133" name="Oval 65"/>
          <xdr:cNvSpPr>
            <a:spLocks noChangeAspect="1" noChangeArrowheads="1"/>
          </xdr:cNvSpPr>
        </xdr:nvSpPr>
        <xdr:spPr bwMode="auto">
          <a:xfrm>
            <a:off x="2521752" y="1129706"/>
            <a:ext cx="93600" cy="100206"/>
          </a:xfrm>
          <a:prstGeom prst="ellipse">
            <a:avLst/>
          </a:prstGeom>
          <a:solidFill>
            <a:srgbClr val="FFFFFF"/>
          </a:solidFill>
          <a:ln w="9525">
            <a:solidFill>
              <a:srgbClr val="000000"/>
            </a:solidFill>
            <a:round/>
            <a:headEnd/>
            <a:tailEnd/>
          </a:ln>
        </xdr:spPr>
      </xdr:sp>
      <xdr:sp macro="" textlink="">
        <xdr:nvSpPr>
          <xdr:cNvPr id="134" name="Oval 72"/>
          <xdr:cNvSpPr>
            <a:spLocks noChangeAspect="1" noChangeArrowheads="1"/>
          </xdr:cNvSpPr>
        </xdr:nvSpPr>
        <xdr:spPr bwMode="auto">
          <a:xfrm>
            <a:off x="2549190" y="1296716"/>
            <a:ext cx="43200" cy="46763"/>
          </a:xfrm>
          <a:prstGeom prst="ellipse">
            <a:avLst/>
          </a:prstGeom>
          <a:solidFill>
            <a:srgbClr val="0000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103821</xdr:colOff>
      <xdr:row>0</xdr:row>
      <xdr:rowOff>19050</xdr:rowOff>
    </xdr:from>
    <xdr:to>
      <xdr:col>4</xdr:col>
      <xdr:colOff>361950</xdr:colOff>
      <xdr:row>1</xdr:row>
      <xdr:rowOff>153823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3146" y="19050"/>
          <a:ext cx="258129" cy="2966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42"/>
  <sheetViews>
    <sheetView showGridLines="0" showRowColHeaders="0" workbookViewId="0">
      <pane ySplit="4" topLeftCell="A5" activePane="bottomLeft" state="frozen"/>
      <selection activeCell="I1" sqref="I1"/>
      <selection pane="bottomLeft" activeCell="I1" sqref="I1"/>
    </sheetView>
  </sheetViews>
  <sheetFormatPr defaultRowHeight="12.75" x14ac:dyDescent="0.2"/>
  <cols>
    <col min="1" max="1" width="13.140625" style="189" customWidth="1"/>
    <col min="2" max="2" width="6.7109375" style="189" bestFit="1" customWidth="1"/>
    <col min="3" max="3" width="37.5703125" style="189" bestFit="1" customWidth="1"/>
    <col min="4" max="4" width="6.5703125" style="189" bestFit="1" customWidth="1"/>
    <col min="5" max="5" width="12.28515625" style="189" bestFit="1" customWidth="1"/>
    <col min="6" max="6" width="18.42578125" style="189" bestFit="1" customWidth="1"/>
    <col min="7" max="7" width="17.7109375" style="189" bestFit="1" customWidth="1"/>
    <col min="8" max="8" width="4.5703125" style="189" customWidth="1"/>
    <col min="9" max="9" width="5" style="189" bestFit="1" customWidth="1"/>
    <col min="10" max="16384" width="9.140625" style="189"/>
  </cols>
  <sheetData>
    <row r="1" spans="1:15" x14ac:dyDescent="0.2">
      <c r="B1" s="225" t="s">
        <v>291</v>
      </c>
      <c r="G1" s="203" t="s">
        <v>292</v>
      </c>
    </row>
    <row r="2" spans="1:15" x14ac:dyDescent="0.2">
      <c r="A2" s="190"/>
      <c r="F2" s="191"/>
    </row>
    <row r="4" spans="1:15" x14ac:dyDescent="0.2">
      <c r="A4" s="192" t="s">
        <v>272</v>
      </c>
      <c r="B4" s="192" t="s">
        <v>273</v>
      </c>
      <c r="C4" s="192" t="s">
        <v>274</v>
      </c>
      <c r="D4" s="192" t="s">
        <v>276</v>
      </c>
      <c r="E4" s="192" t="s">
        <v>275</v>
      </c>
      <c r="F4" s="192" t="s">
        <v>277</v>
      </c>
      <c r="G4" s="192" t="s">
        <v>278</v>
      </c>
      <c r="H4" s="192" t="s">
        <v>279</v>
      </c>
      <c r="I4" s="192" t="s">
        <v>280</v>
      </c>
    </row>
    <row r="5" spans="1:15" x14ac:dyDescent="0.2">
      <c r="A5" s="711" t="s">
        <v>725</v>
      </c>
      <c r="B5" s="712"/>
      <c r="H5" s="193"/>
    </row>
    <row r="6" spans="1:15" x14ac:dyDescent="0.2">
      <c r="A6" s="216" t="s">
        <v>293</v>
      </c>
      <c r="B6" s="666" t="s">
        <v>288</v>
      </c>
      <c r="C6" s="593" t="str">
        <f>HYPERLINK("http://www.petanque.ee/index.php?id=103589&amp;cid=472","Eesti reitinguvõistlus")</f>
        <v>Eesti reitinguvõistlus</v>
      </c>
      <c r="D6" s="218" t="str">
        <f>HYPERLINK("#1!G1","1")</f>
        <v>1</v>
      </c>
      <c r="E6" s="217" t="s">
        <v>284</v>
      </c>
      <c r="F6" s="224" t="str">
        <f>HYPERLINK("http://kaart.delfi.ee/?bookmark=0807568cf7d8a03cedbb545921254497","Tallinn, Algi 38")</f>
        <v>Tallinn, Algi 38</v>
      </c>
      <c r="G6" s="217" t="s">
        <v>286</v>
      </c>
      <c r="H6" s="219">
        <v>8</v>
      </c>
      <c r="I6" s="220">
        <f>Üldreiting!I123</f>
        <v>44</v>
      </c>
    </row>
    <row r="7" spans="1:15" x14ac:dyDescent="0.2">
      <c r="A7" s="701" t="s">
        <v>294</v>
      </c>
      <c r="B7" s="702" t="s">
        <v>283</v>
      </c>
      <c r="C7" s="703" t="str">
        <f>HYPERLINK("http://www.petanque.ee/index.php?id=103589&amp;cid=473","Eesti sise-MV")</f>
        <v>Eesti sise-MV</v>
      </c>
      <c r="D7" s="704" t="str">
        <f>HYPERLINK("#2!G1","2")</f>
        <v>2</v>
      </c>
      <c r="E7" s="705" t="s">
        <v>287</v>
      </c>
      <c r="F7" s="706" t="str">
        <f>HYPERLINK("http://kaart.delfi.ee/?bookmark=0807568cf7d8a03cedbb545921254497","Tallinn, Algi 38")</f>
        <v>Tallinn, Algi 38</v>
      </c>
      <c r="G7" s="701" t="s">
        <v>286</v>
      </c>
      <c r="H7" s="707">
        <v>8</v>
      </c>
      <c r="I7" s="708">
        <f>Üldreiting!J123</f>
        <v>51</v>
      </c>
    </row>
    <row r="8" spans="1:15" x14ac:dyDescent="0.2">
      <c r="A8" s="667" t="s">
        <v>295</v>
      </c>
      <c r="B8" s="668" t="s">
        <v>283</v>
      </c>
      <c r="C8" s="669" t="str">
        <f>HYPERLINK("http://www.petanque.ee/index.php?id=103589&amp;cid=493","Regioonide karikas 1.etapp - põhja regioon")</f>
        <v>Regioonide karikas 1.etapp - põhja regioon</v>
      </c>
      <c r="D8" s="350" t="str">
        <f>HYPERLINK("http://www.petanque.ee/index.php?id=103589&amp;cid=493","reg1-p")</f>
        <v>reg1-p</v>
      </c>
      <c r="E8" s="637" t="s">
        <v>282</v>
      </c>
      <c r="F8" s="638" t="str">
        <f>HYPERLINK("http://kaart.delfi.ee/?bookmark=0807568cf7d8a03cedbb545921254497","Tallinn, Algi 38")</f>
        <v>Tallinn, Algi 38</v>
      </c>
      <c r="G8" s="639" t="s">
        <v>286</v>
      </c>
      <c r="H8" s="640">
        <v>5</v>
      </c>
      <c r="I8" s="641">
        <v>24</v>
      </c>
    </row>
    <row r="9" spans="1:15" s="199" customFormat="1" x14ac:dyDescent="0.2">
      <c r="A9" s="670" t="s">
        <v>296</v>
      </c>
      <c r="B9" s="668" t="s">
        <v>281</v>
      </c>
      <c r="C9" s="669" t="str">
        <f>HYPERLINK("http://www.petanque.ee/index.php?id=103589&amp;cid=495","Regioonide karikas 1.etapp - ida regioon")</f>
        <v>Regioonide karikas 1.etapp - ida regioon</v>
      </c>
      <c r="D9" s="350" t="str">
        <f>HYPERLINK("http://www.petanque.ee/index.php?id=103589&amp;cid=495","reg1-i")</f>
        <v>reg1-i</v>
      </c>
      <c r="E9" s="637" t="s">
        <v>282</v>
      </c>
      <c r="F9" s="642" t="s">
        <v>301</v>
      </c>
      <c r="G9" s="639" t="s">
        <v>306</v>
      </c>
      <c r="H9" s="640">
        <v>0</v>
      </c>
      <c r="I9" s="641">
        <v>27</v>
      </c>
      <c r="J9" s="189"/>
      <c r="K9" s="189"/>
      <c r="L9" s="189"/>
      <c r="M9" s="189"/>
      <c r="N9" s="189"/>
      <c r="O9" s="189"/>
    </row>
    <row r="10" spans="1:15" x14ac:dyDescent="0.2">
      <c r="A10" s="713" t="s">
        <v>726</v>
      </c>
      <c r="B10" s="712"/>
      <c r="D10" s="213"/>
      <c r="E10" s="643"/>
      <c r="F10" s="643"/>
      <c r="G10" s="643"/>
      <c r="H10" s="644"/>
      <c r="I10" s="645"/>
    </row>
    <row r="11" spans="1:15" x14ac:dyDescent="0.2">
      <c r="A11" s="671" t="s">
        <v>297</v>
      </c>
      <c r="B11" s="672" t="s">
        <v>281</v>
      </c>
      <c r="C11" s="673" t="str">
        <f>HYPERLINK("http://www.petanque.ee/index.php?id=103589&amp;cid=496","WICIA 5 aastat")</f>
        <v>WICIA 5 aastat</v>
      </c>
      <c r="D11" s="222"/>
      <c r="E11" s="646" t="s">
        <v>300</v>
      </c>
      <c r="F11" s="647" t="str">
        <f>HYPERLINK("http://kaart.delfi.ee/?bookmark=0807568cf7d8a03cedbb545921254497","Tallinn, Algi 38")</f>
        <v>Tallinn, Algi 38</v>
      </c>
      <c r="G11" s="648" t="s">
        <v>305</v>
      </c>
      <c r="H11" s="649">
        <v>6</v>
      </c>
      <c r="I11" s="650">
        <v>32</v>
      </c>
    </row>
    <row r="12" spans="1:15" x14ac:dyDescent="0.2">
      <c r="A12" s="667" t="s">
        <v>298</v>
      </c>
      <c r="B12" s="668" t="s">
        <v>281</v>
      </c>
      <c r="C12" s="638" t="str">
        <f>HYPERLINK("http://www.petanque.ee/index.php?id=103589&amp;cid=497","Regioonide karikas 1.etapp - lääne regioon")</f>
        <v>Regioonide karikas 1.etapp - lääne regioon</v>
      </c>
      <c r="D12" s="630" t="str">
        <f>HYPERLINK("http://www.petanque.ee/index.php?id=103589&amp;cid=497","reg1-lä")</f>
        <v>reg1-lä</v>
      </c>
      <c r="E12" s="637" t="s">
        <v>282</v>
      </c>
      <c r="F12" s="651" t="str">
        <f>HYPERLINK("http://kaart.delfi.ee/?bookmark=cda1a90728898d6a841fffc33e06fd12","Haapsalu, Niine 17")</f>
        <v>Haapsalu, Niine 17</v>
      </c>
      <c r="G12" s="639" t="s">
        <v>305</v>
      </c>
      <c r="H12" s="640">
        <v>3</v>
      </c>
      <c r="I12" s="641">
        <v>11</v>
      </c>
    </row>
    <row r="13" spans="1:15" x14ac:dyDescent="0.2">
      <c r="A13" s="216" t="s">
        <v>299</v>
      </c>
      <c r="B13" s="666" t="s">
        <v>283</v>
      </c>
      <c r="C13" s="593" t="str">
        <f>HYPERLINK("http://www.petanque.ee/index.php?id=103589&amp;cid=474","Eesti reitinguvõistlus")</f>
        <v>Eesti reitinguvõistlus</v>
      </c>
      <c r="D13" s="218" t="str">
        <f>HYPERLINK("#3!G1","3")</f>
        <v>3</v>
      </c>
      <c r="E13" s="217" t="s">
        <v>282</v>
      </c>
      <c r="F13" s="224" t="str">
        <f>HYPERLINK("http://kaart.delfi.ee/?bookmark=0807568cf7d8a03cedbb545921254497","Tallinn, Algi 38")</f>
        <v>Tallinn, Algi 38</v>
      </c>
      <c r="G13" s="216" t="s">
        <v>286</v>
      </c>
      <c r="H13" s="219">
        <v>8</v>
      </c>
      <c r="I13" s="220">
        <f>Üldreiting!K123</f>
        <v>33</v>
      </c>
    </row>
    <row r="14" spans="1:15" s="199" customFormat="1" x14ac:dyDescent="0.2">
      <c r="A14" s="667" t="s">
        <v>299</v>
      </c>
      <c r="B14" s="674" t="s">
        <v>283</v>
      </c>
      <c r="C14" s="669" t="str">
        <f>HYPERLINK("http://www.petanque.ee/index.php?id=103589&amp;cid=498","Regioonide karikas 1.etapp - lõuna regioon")</f>
        <v>Regioonide karikas 1.etapp - lõuna regioon</v>
      </c>
      <c r="D14" s="350" t="str">
        <f>HYPERLINK("http://www.petanque.ee/index.php?id=103589&amp;cid=498","reg1-lõ")</f>
        <v>reg1-lõ</v>
      </c>
      <c r="E14" s="637" t="s">
        <v>282</v>
      </c>
      <c r="F14" s="642" t="s">
        <v>506</v>
      </c>
      <c r="G14" s="637" t="s">
        <v>505</v>
      </c>
      <c r="H14" s="640">
        <v>3</v>
      </c>
      <c r="I14" s="641">
        <v>32</v>
      </c>
      <c r="J14" s="189"/>
      <c r="K14" s="189"/>
      <c r="L14" s="189"/>
      <c r="M14" s="189"/>
      <c r="N14" s="189"/>
      <c r="O14" s="189"/>
    </row>
    <row r="15" spans="1:15" s="199" customFormat="1" x14ac:dyDescent="0.2">
      <c r="A15" s="675" t="s">
        <v>302</v>
      </c>
      <c r="B15" s="676" t="s">
        <v>283</v>
      </c>
      <c r="C15" s="677" t="str">
        <f>HYPERLINK("http://www.petanque.ee/index.php?id=103589&amp;cid=475","Jõuluturniir ""Jõulu(b)paar""")</f>
        <v>Jõuluturniir "Jõulu(b)paar"</v>
      </c>
      <c r="D15" s="215" t="str">
        <f>HYPERLINK("#JT!G1","JT")</f>
        <v>JT</v>
      </c>
      <c r="E15" s="652" t="s">
        <v>284</v>
      </c>
      <c r="F15" s="653" t="str">
        <f>HYPERLINK("http://kaart.delfi.ee/?bookmark=0807568cf7d8a03cedbb545921254497","Tallinn, Algi 38")</f>
        <v>Tallinn, Algi 38</v>
      </c>
      <c r="G15" s="652" t="s">
        <v>286</v>
      </c>
      <c r="H15" s="654">
        <v>5</v>
      </c>
      <c r="I15" s="655">
        <v>24</v>
      </c>
      <c r="J15" s="189"/>
      <c r="K15" s="189"/>
      <c r="L15" s="189"/>
      <c r="M15" s="189"/>
      <c r="N15" s="189"/>
      <c r="O15" s="189"/>
    </row>
    <row r="16" spans="1:15" x14ac:dyDescent="0.2">
      <c r="A16" s="713" t="s">
        <v>727</v>
      </c>
      <c r="B16" s="712"/>
      <c r="C16" s="205"/>
      <c r="D16" s="213"/>
      <c r="E16" s="656"/>
      <c r="F16" s="656"/>
      <c r="G16" s="656"/>
      <c r="H16" s="657"/>
      <c r="I16" s="658"/>
    </row>
    <row r="17" spans="1:13" x14ac:dyDescent="0.2">
      <c r="A17" s="701" t="s">
        <v>303</v>
      </c>
      <c r="B17" s="709" t="s">
        <v>283</v>
      </c>
      <c r="C17" s="703" t="str">
        <f>HYPERLINK("http://www.petanque.ee/index.php?id=103589&amp;cid=476","Eesti sise-MV")</f>
        <v>Eesti sise-MV</v>
      </c>
      <c r="D17" s="704" t="str">
        <f>HYPERLINK("#4!G1","4")</f>
        <v>4</v>
      </c>
      <c r="E17" s="701" t="s">
        <v>285</v>
      </c>
      <c r="F17" s="706" t="str">
        <f>HYPERLINK("http://kaart.delfi.ee/?bookmark=0807568cf7d8a03cedbb545921254497","Tallinn, Algi 38")</f>
        <v>Tallinn, Algi 38</v>
      </c>
      <c r="G17" s="705" t="s">
        <v>286</v>
      </c>
      <c r="H17" s="707">
        <v>8</v>
      </c>
      <c r="I17" s="708">
        <f>Üldreiting!L123</f>
        <v>32</v>
      </c>
    </row>
    <row r="18" spans="1:13" s="199" customFormat="1" x14ac:dyDescent="0.2">
      <c r="A18" s="701" t="s">
        <v>304</v>
      </c>
      <c r="B18" s="702" t="s">
        <v>283</v>
      </c>
      <c r="C18" s="703" t="str">
        <f>HYPERLINK("http://www.petanque.ee/index.php?id=103589&amp;cid=477","Eesti sise-MV")</f>
        <v>Eesti sise-MV</v>
      </c>
      <c r="D18" s="704" t="str">
        <f>HYPERLINK("#5!W1","5")</f>
        <v>5</v>
      </c>
      <c r="E18" s="705" t="s">
        <v>289</v>
      </c>
      <c r="F18" s="706" t="str">
        <f>HYPERLINK("http://kaart.delfi.ee/?bookmark=0807568cf7d8a03cedbb545921254497","Tallinn, Algi 38")</f>
        <v>Tallinn, Algi 38</v>
      </c>
      <c r="G18" s="705" t="s">
        <v>286</v>
      </c>
      <c r="H18" s="707">
        <v>8</v>
      </c>
      <c r="I18" s="708">
        <f>Üldreiting!M123</f>
        <v>29</v>
      </c>
      <c r="J18" s="189"/>
      <c r="K18" s="189"/>
      <c r="L18" s="189"/>
      <c r="M18" s="189"/>
    </row>
    <row r="19" spans="1:13" s="199" customFormat="1" x14ac:dyDescent="0.2">
      <c r="A19" s="695" t="s">
        <v>396</v>
      </c>
      <c r="B19" s="696" t="s">
        <v>283</v>
      </c>
      <c r="C19" s="697" t="str">
        <f>HYPERLINK("http://www.petanque.ee/index.php?id=103589&amp;cid=500","MM katsevõistlused")</f>
        <v>MM katsevõistlused</v>
      </c>
      <c r="D19" s="622"/>
      <c r="E19" s="695" t="s">
        <v>398</v>
      </c>
      <c r="F19" s="623" t="str">
        <f>HYPERLINK("http://kaart.delfi.ee/?bookmark=0807568cf7d8a03cedbb545921254497","Tallinn, Algi 38")</f>
        <v>Tallinn, Algi 38</v>
      </c>
      <c r="G19" s="698" t="s">
        <v>286</v>
      </c>
      <c r="H19" s="699">
        <v>30</v>
      </c>
      <c r="I19" s="700">
        <v>18</v>
      </c>
      <c r="J19" s="189"/>
      <c r="K19" s="189"/>
      <c r="L19" s="189"/>
      <c r="M19" s="189"/>
    </row>
    <row r="20" spans="1:13" s="199" customFormat="1" x14ac:dyDescent="0.2">
      <c r="A20" s="695" t="s">
        <v>454</v>
      </c>
      <c r="B20" s="696" t="s">
        <v>283</v>
      </c>
      <c r="C20" s="695" t="s">
        <v>397</v>
      </c>
      <c r="D20" s="623"/>
      <c r="E20" s="695" t="s">
        <v>398</v>
      </c>
      <c r="F20" s="623" t="str">
        <f>HYPERLINK("http://kaart.delfi.ee/?bookmark=0807568cf7d8a03cedbb545921254497","Tallinn, Algi 38")</f>
        <v>Tallinn, Algi 38</v>
      </c>
      <c r="G20" s="698" t="s">
        <v>286</v>
      </c>
      <c r="H20" s="699"/>
      <c r="I20" s="700"/>
      <c r="J20" s="189"/>
      <c r="K20" s="189"/>
      <c r="L20" s="189"/>
      <c r="M20" s="189"/>
    </row>
    <row r="21" spans="1:13" s="199" customFormat="1" x14ac:dyDescent="0.2">
      <c r="A21" s="216" t="s">
        <v>307</v>
      </c>
      <c r="B21" s="221" t="s">
        <v>283</v>
      </c>
      <c r="C21" s="593" t="str">
        <f>HYPERLINK("http://www.petanque.ee/index.php?id=103589&amp;cid=478","Eesti reitinguvõistlus")</f>
        <v>Eesti reitinguvõistlus</v>
      </c>
      <c r="D21" s="218" t="str">
        <f>HYPERLINK("#6!G1","6")</f>
        <v>6</v>
      </c>
      <c r="E21" s="216" t="s">
        <v>284</v>
      </c>
      <c r="F21" s="224" t="str">
        <f>HYPERLINK("http://kaart.delfi.ee/?bookmark=0807568cf7d8a03cedbb545921254497","Tallinn, Algi 38")</f>
        <v>Tallinn, Algi 38</v>
      </c>
      <c r="G21" s="217" t="s">
        <v>286</v>
      </c>
      <c r="H21" s="219">
        <v>8</v>
      </c>
      <c r="I21" s="220">
        <f>Üldreiting!N123</f>
        <v>55</v>
      </c>
      <c r="J21" s="189"/>
      <c r="K21" s="189"/>
      <c r="L21" s="189"/>
      <c r="M21" s="189"/>
    </row>
    <row r="22" spans="1:13" x14ac:dyDescent="0.2">
      <c r="A22" s="713" t="s">
        <v>728</v>
      </c>
      <c r="B22" s="712"/>
      <c r="C22" s="199"/>
      <c r="D22" s="214"/>
      <c r="E22" s="659"/>
      <c r="F22" s="659"/>
      <c r="G22" s="659"/>
      <c r="H22" s="660"/>
      <c r="I22" s="658"/>
    </row>
    <row r="23" spans="1:13" x14ac:dyDescent="0.2">
      <c r="A23" s="701" t="s">
        <v>308</v>
      </c>
      <c r="B23" s="702" t="s">
        <v>283</v>
      </c>
      <c r="C23" s="703" t="str">
        <f>HYPERLINK("http://www.petanque.ee/index.php?id=103589&amp;cid=479","Eesti sise-MV")</f>
        <v>Eesti sise-MV</v>
      </c>
      <c r="D23" s="704" t="str">
        <f>HYPERLINK("#7!G1","7")</f>
        <v>7</v>
      </c>
      <c r="E23" s="705" t="s">
        <v>284</v>
      </c>
      <c r="F23" s="706" t="str">
        <f>HYPERLINK("http://kaart.delfi.ee/?bookmark=0807568cf7d8a03cedbb545921254497","Tallinn, Algi 38")</f>
        <v>Tallinn, Algi 38</v>
      </c>
      <c r="G23" s="705" t="s">
        <v>286</v>
      </c>
      <c r="H23" s="707">
        <v>8</v>
      </c>
      <c r="I23" s="708">
        <f>Üldreiting!O123</f>
        <v>38</v>
      </c>
    </row>
    <row r="24" spans="1:13" x14ac:dyDescent="0.2">
      <c r="A24" s="667" t="s">
        <v>309</v>
      </c>
      <c r="B24" s="668" t="s">
        <v>283</v>
      </c>
      <c r="C24" s="669" t="str">
        <f>HYPERLINK("http://www.petanque.ee/index.php?id=103589&amp;cid=494","Regioonide karikas 2.etapp - põhja regioon")</f>
        <v>Regioonide karikas 2.etapp - põhja regioon</v>
      </c>
      <c r="D24" s="350" t="str">
        <f>HYPERLINK("http://www.petanque.ee/index.php?id=103589&amp;cid=494","reg2-p")</f>
        <v>reg2-p</v>
      </c>
      <c r="E24" s="637" t="s">
        <v>282</v>
      </c>
      <c r="F24" s="638" t="str">
        <f>HYPERLINK("http://kaart.delfi.ee/?bookmark=0807568cf7d8a03cedbb545921254497","Tallinn, Algi 38")</f>
        <v>Tallinn, Algi 38</v>
      </c>
      <c r="G24" s="639" t="s">
        <v>286</v>
      </c>
      <c r="H24" s="640">
        <v>5</v>
      </c>
      <c r="I24" s="641">
        <v>20</v>
      </c>
    </row>
    <row r="25" spans="1:13" x14ac:dyDescent="0.2">
      <c r="A25" s="667" t="s">
        <v>309</v>
      </c>
      <c r="B25" s="668"/>
      <c r="C25" s="669" t="str">
        <f>HYPERLINK("http://www.petanque.ee/index.php?id=103589&amp;cid=501","Regioonide karikas 2.etapp - lõuna regioon")</f>
        <v>Regioonide karikas 2.etapp - lõuna regioon</v>
      </c>
      <c r="D25" s="350" t="str">
        <f>HYPERLINK("http://www.petanque.ee/index.php?id=103589&amp;cid=501","reg2-lõ")</f>
        <v>reg2-lõ</v>
      </c>
      <c r="E25" s="637" t="s">
        <v>282</v>
      </c>
      <c r="F25" s="642" t="s">
        <v>506</v>
      </c>
      <c r="G25" s="639" t="s">
        <v>505</v>
      </c>
      <c r="H25" s="640"/>
      <c r="I25" s="641">
        <v>27</v>
      </c>
    </row>
    <row r="26" spans="1:13" x14ac:dyDescent="0.2">
      <c r="A26" s="667" t="s">
        <v>310</v>
      </c>
      <c r="B26" s="668" t="s">
        <v>281</v>
      </c>
      <c r="C26" s="669" t="str">
        <f>HYPERLINK("http://www.petanque.ee/index.php?id=103589&amp;cid=499","Regioonide karikas 2.etapp - ida regioon")</f>
        <v>Regioonide karikas 2.etapp - ida regioon</v>
      </c>
      <c r="D26" s="350" t="str">
        <f>HYPERLINK("http://www.petanque.ee/index.php?id=103589&amp;cid=499","reg2-i")</f>
        <v>reg2-i</v>
      </c>
      <c r="E26" s="637" t="s">
        <v>282</v>
      </c>
      <c r="F26" s="642" t="s">
        <v>301</v>
      </c>
      <c r="G26" s="639" t="s">
        <v>306</v>
      </c>
      <c r="H26" s="640">
        <v>0</v>
      </c>
      <c r="I26" s="641">
        <v>23</v>
      </c>
    </row>
    <row r="27" spans="1:13" x14ac:dyDescent="0.2">
      <c r="A27" s="667" t="s">
        <v>518</v>
      </c>
      <c r="B27" s="668"/>
      <c r="C27" s="669" t="str">
        <f>HYPERLINK("http://www.petanque.ee/index.php?id=103589&amp;cid=502","Regioonide karikas 2.etapp - lääne regioon")</f>
        <v>Regioonide karikas 2.etapp - lääne regioon</v>
      </c>
      <c r="D27" s="350" t="str">
        <f>HYPERLINK("http://www.petanque.ee/index.php?id=103589&amp;cid=502","reg2-lä")</f>
        <v>reg2-lä</v>
      </c>
      <c r="E27" s="637" t="s">
        <v>282</v>
      </c>
      <c r="F27" s="651" t="str">
        <f>HYPERLINK("http://kaart.delfi.ee/?bookmark=cda1a90728898d6a841fffc33e06fd12","Haapsalu, Niine 17")</f>
        <v>Haapsalu, Niine 17</v>
      </c>
      <c r="G27" s="639" t="s">
        <v>305</v>
      </c>
      <c r="H27" s="640"/>
      <c r="I27" s="641">
        <v>11</v>
      </c>
    </row>
    <row r="28" spans="1:13" x14ac:dyDescent="0.2">
      <c r="A28" s="713" t="s">
        <v>729</v>
      </c>
      <c r="B28" s="712"/>
      <c r="C28" s="199"/>
      <c r="D28" s="214"/>
      <c r="E28" s="659"/>
      <c r="F28" s="659"/>
      <c r="G28" s="659"/>
      <c r="H28" s="660"/>
      <c r="I28" s="658"/>
    </row>
    <row r="29" spans="1:13" x14ac:dyDescent="0.2">
      <c r="A29" s="671" t="s">
        <v>311</v>
      </c>
      <c r="B29" s="672" t="s">
        <v>283</v>
      </c>
      <c r="C29" s="673" t="str">
        <f>HYPERLINK("http://www.petanque.ee/index.php?id=103589&amp;cid=481","Naistepäeva turniir")</f>
        <v>Naistepäeva turniir</v>
      </c>
      <c r="D29" s="222"/>
      <c r="E29" s="646" t="s">
        <v>287</v>
      </c>
      <c r="F29" s="647" t="str">
        <f>HYPERLINK("http://kaart.delfi.ee/?bookmark=0807568cf7d8a03cedbb545921254497","Tallinn, Algi 38")</f>
        <v>Tallinn, Algi 38</v>
      </c>
      <c r="G29" s="648" t="s">
        <v>286</v>
      </c>
      <c r="H29" s="649"/>
      <c r="I29" s="650">
        <v>15</v>
      </c>
    </row>
    <row r="30" spans="1:13" x14ac:dyDescent="0.2">
      <c r="A30" s="701" t="s">
        <v>312</v>
      </c>
      <c r="B30" s="709" t="s">
        <v>283</v>
      </c>
      <c r="C30" s="703" t="str">
        <f>HYPERLINK("http://www.petanque.ee/index.php?id=103589&amp;cid=482","Eesti sise-MV")</f>
        <v>Eesti sise-MV</v>
      </c>
      <c r="D30" s="704" t="str">
        <f>HYPERLINK("#8!G1","8")</f>
        <v>8</v>
      </c>
      <c r="E30" s="701" t="s">
        <v>315</v>
      </c>
      <c r="F30" s="710" t="s">
        <v>301</v>
      </c>
      <c r="G30" s="705" t="s">
        <v>455</v>
      </c>
      <c r="H30" s="707">
        <v>8</v>
      </c>
      <c r="I30" s="708">
        <f>Üldreiting!P123</f>
        <v>34</v>
      </c>
    </row>
    <row r="31" spans="1:13" x14ac:dyDescent="0.2">
      <c r="A31" s="216" t="s">
        <v>313</v>
      </c>
      <c r="B31" s="221" t="s">
        <v>283</v>
      </c>
      <c r="C31" s="593" t="str">
        <f>HYPERLINK("http://www.petanque.ee/index.php?id=103589&amp;cid=492","Eesti reitinguvõistlus")</f>
        <v>Eesti reitinguvõistlus</v>
      </c>
      <c r="D31" s="218" t="str">
        <f>HYPERLINK("#9!G1","9")</f>
        <v>9</v>
      </c>
      <c r="E31" s="216" t="s">
        <v>282</v>
      </c>
      <c r="F31" s="661" t="s">
        <v>301</v>
      </c>
      <c r="G31" s="217" t="s">
        <v>455</v>
      </c>
      <c r="H31" s="219">
        <v>8</v>
      </c>
      <c r="I31" s="220">
        <f>Üldreiting!Q123</f>
        <v>40</v>
      </c>
      <c r="J31" s="199"/>
    </row>
    <row r="32" spans="1:13" x14ac:dyDescent="0.2">
      <c r="A32" s="216" t="s">
        <v>314</v>
      </c>
      <c r="B32" s="221" t="s">
        <v>283</v>
      </c>
      <c r="C32" s="593" t="str">
        <f>HYPERLINK("http://www.petanque.ee/index.php?id=103589&amp;cid=483","Eesti reitinguvõistlus")</f>
        <v>Eesti reitinguvõistlus</v>
      </c>
      <c r="D32" s="223" t="str">
        <f>HYPERLINK("#10!G1","10")</f>
        <v>10</v>
      </c>
      <c r="E32" s="216" t="s">
        <v>284</v>
      </c>
      <c r="F32" s="224" t="str">
        <f>HYPERLINK("http://kaart.delfi.ee/?bookmark=0807568cf7d8a03cedbb545921254497","Tallinn, Algi 38")</f>
        <v>Tallinn, Algi 38</v>
      </c>
      <c r="G32" s="217" t="s">
        <v>286</v>
      </c>
      <c r="H32" s="219">
        <v>8</v>
      </c>
      <c r="I32" s="220">
        <f>Üldreiting!R123</f>
        <v>46</v>
      </c>
      <c r="J32" s="199"/>
    </row>
    <row r="33" spans="1:12" x14ac:dyDescent="0.2">
      <c r="A33" s="713" t="s">
        <v>730</v>
      </c>
      <c r="B33" s="712"/>
      <c r="C33" s="199"/>
      <c r="D33" s="214"/>
      <c r="E33" s="659"/>
      <c r="F33" s="659"/>
      <c r="G33" s="659"/>
      <c r="H33" s="660"/>
      <c r="I33" s="658"/>
      <c r="J33" s="199"/>
    </row>
    <row r="34" spans="1:12" x14ac:dyDescent="0.2">
      <c r="A34" s="671" t="s">
        <v>316</v>
      </c>
      <c r="B34" s="672" t="s">
        <v>283</v>
      </c>
      <c r="C34" s="647" t="str">
        <f>HYPERLINK("http://www.petanque.ee/index.php?id=103589&amp;cid=484","Naljaturniir")</f>
        <v>Naljaturniir</v>
      </c>
      <c r="D34" s="222" t="str">
        <f>HYPERLINK("#nalja!G1","nalja")</f>
        <v>nalja</v>
      </c>
      <c r="E34" s="646" t="s">
        <v>581</v>
      </c>
      <c r="F34" s="647" t="str">
        <f>HYPERLINK("http://kaart.delfi.ee/?bookmark=0807568cf7d8a03cedbb545921254497","Tallinn, Algi 38")</f>
        <v>Tallinn, Algi 38</v>
      </c>
      <c r="G34" s="648" t="s">
        <v>286</v>
      </c>
      <c r="H34" s="649">
        <v>5</v>
      </c>
      <c r="I34" s="650">
        <v>22</v>
      </c>
      <c r="J34" s="199"/>
    </row>
    <row r="35" spans="1:12" x14ac:dyDescent="0.2">
      <c r="A35" s="216" t="s">
        <v>317</v>
      </c>
      <c r="B35" s="221" t="s">
        <v>283</v>
      </c>
      <c r="C35" s="593" t="str">
        <f>HYPERLINK("http://www.petanque.ee/index.php?id=103589&amp;cid=485","Eesti reitinguvõistlus")</f>
        <v>Eesti reitinguvõistlus</v>
      </c>
      <c r="D35" s="223" t="str">
        <f>HYPERLINK("#11!H1","11")</f>
        <v>11</v>
      </c>
      <c r="E35" s="217" t="s">
        <v>282</v>
      </c>
      <c r="F35" s="224" t="str">
        <f>HYPERLINK("http://kaart.delfi.ee/?bookmark=0807568cf7d8a03cedbb545921254497","Tallinn, Algi 38")</f>
        <v>Tallinn, Algi 38</v>
      </c>
      <c r="G35" s="216" t="s">
        <v>286</v>
      </c>
      <c r="H35" s="219">
        <v>8</v>
      </c>
      <c r="I35" s="220">
        <f>Üldreiting!S123</f>
        <v>24</v>
      </c>
    </row>
    <row r="36" spans="1:12" s="199" customFormat="1" hidden="1" x14ac:dyDescent="0.2">
      <c r="A36" s="204"/>
      <c r="B36" s="198"/>
      <c r="C36" s="204"/>
      <c r="D36" s="173"/>
      <c r="E36" s="662"/>
      <c r="F36" s="663"/>
      <c r="G36" s="195"/>
      <c r="H36" s="664"/>
      <c r="I36" s="665"/>
      <c r="J36" s="189"/>
      <c r="K36" s="189"/>
      <c r="L36" s="189"/>
    </row>
    <row r="37" spans="1:12" x14ac:dyDescent="0.2">
      <c r="A37" s="667" t="s">
        <v>318</v>
      </c>
      <c r="B37" s="668" t="s">
        <v>281</v>
      </c>
      <c r="C37" s="669" t="str">
        <f>HYPERLINK("http://www.petanque.ee/index.php?id=103589&amp;cid=486","Regioonide karikas - finaal")</f>
        <v>Regioonide karikas - finaal</v>
      </c>
      <c r="D37" s="350" t="str">
        <f>HYPERLINK("http://www.petanque.ee/index.php?id=103589&amp;cid=486","reg-fin")</f>
        <v>reg-fin</v>
      </c>
      <c r="E37" s="637" t="s">
        <v>282</v>
      </c>
      <c r="F37" s="638" t="str">
        <f>HYPERLINK("http://kaart.delfi.ee/?bookmark=0807568cf7d8a03cedbb545921254497","Tallinn, Algi 38")</f>
        <v>Tallinn, Algi 38</v>
      </c>
      <c r="G37" s="639" t="s">
        <v>286</v>
      </c>
      <c r="H37" s="640"/>
      <c r="I37" s="641"/>
    </row>
    <row r="38" spans="1:12" x14ac:dyDescent="0.2">
      <c r="A38" s="216" t="s">
        <v>319</v>
      </c>
      <c r="B38" s="221"/>
      <c r="C38" s="593" t="str">
        <f>HYPERLINK("http://www.petanque.ee/index.php?id=103589&amp;cid=487","Eesti sise-MV")</f>
        <v>Eesti sise-MV</v>
      </c>
      <c r="D38" s="218" t="str">
        <f>HYPERLINK("#12!G1","12")</f>
        <v>12</v>
      </c>
      <c r="E38" s="216" t="s">
        <v>282</v>
      </c>
      <c r="F38" s="224" t="str">
        <f>HYPERLINK("http://kaart.delfi.ee/?bookmark=0807568cf7d8a03cedbb545921254497","Tallinn, Algi 38")</f>
        <v>Tallinn, Algi 38</v>
      </c>
      <c r="G38" s="217" t="s">
        <v>286</v>
      </c>
      <c r="H38" s="219">
        <v>8</v>
      </c>
      <c r="I38" s="220">
        <f>Üldreiting!T123</f>
        <v>57</v>
      </c>
    </row>
    <row r="39" spans="1:12" hidden="1" x14ac:dyDescent="0.2">
      <c r="A39" s="194"/>
      <c r="B39" s="198"/>
      <c r="C39" s="194"/>
      <c r="D39" s="173"/>
      <c r="E39" s="194"/>
      <c r="F39" s="212"/>
      <c r="G39" s="195"/>
      <c r="H39" s="196"/>
      <c r="I39" s="197"/>
      <c r="J39" s="199"/>
    </row>
    <row r="40" spans="1:12" x14ac:dyDescent="0.2">
      <c r="A40" s="205"/>
      <c r="B40" s="206"/>
      <c r="C40" s="205"/>
      <c r="D40" s="207"/>
      <c r="E40" s="205"/>
      <c r="F40" s="208"/>
      <c r="G40" s="209"/>
      <c r="H40" s="210"/>
      <c r="I40" s="211"/>
      <c r="J40" s="199"/>
    </row>
    <row r="41" spans="1:12" s="199" customFormat="1" x14ac:dyDescent="0.2">
      <c r="A41" s="714" t="s">
        <v>432</v>
      </c>
      <c r="B41" s="200"/>
      <c r="C41" s="200"/>
      <c r="H41" s="201"/>
    </row>
    <row r="42" spans="1:12" x14ac:dyDescent="0.2">
      <c r="A42" s="202" t="s">
        <v>290</v>
      </c>
      <c r="I42" s="594" t="s">
        <v>561</v>
      </c>
    </row>
  </sheetData>
  <autoFilter ref="A4:H34"/>
  <conditionalFormatting sqref="I6:I38">
    <cfRule type="top10" dxfId="271" priority="5239" rank="1"/>
  </conditionalFormatting>
  <printOptions horizontalCentered="1"/>
  <pageMargins left="0.39370078740157483" right="0.39370078740157483" top="0.98425196850393704" bottom="0.39370078740157483" header="0.78740157480314965" footer="0"/>
  <pageSetup paperSize="9" fitToHeight="0" orientation="landscape" horizontalDpi="180" verticalDpi="180" r:id="rId1"/>
  <headerFooter>
    <oddHeader>&amp;R&amp;"Arial,Regular"&amp;9Page &amp;P of &amp;N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X124"/>
  <sheetViews>
    <sheetView showGridLines="0" showRowColHeaders="0" tabSelected="1" zoomScaleNormal="100" workbookViewId="0">
      <pane xSplit="8" ySplit="8" topLeftCell="I9" activePane="bottomRight" state="frozen"/>
      <selection pane="topRight" activeCell="S1" sqref="S1"/>
      <selection pane="bottomLeft" activeCell="A9" sqref="A9"/>
      <selection pane="bottomRight" activeCell="J1" sqref="J1"/>
    </sheetView>
  </sheetViews>
  <sheetFormatPr defaultRowHeight="12.75" x14ac:dyDescent="0.2"/>
  <cols>
    <col min="1" max="1" width="3.7109375" style="34" bestFit="1" customWidth="1"/>
    <col min="2" max="2" width="5.140625" style="34" bestFit="1" customWidth="1"/>
    <col min="3" max="3" width="4.140625" style="140" bestFit="1" customWidth="1"/>
    <col min="4" max="4" width="22.5703125" style="34" customWidth="1"/>
    <col min="5" max="5" width="6.28515625" style="34" customWidth="1"/>
    <col min="6" max="6" width="5.85546875" style="34" bestFit="1" customWidth="1"/>
    <col min="7" max="7" width="14.28515625" style="34" hidden="1" customWidth="1"/>
    <col min="8" max="8" width="8.85546875" style="34" hidden="1" customWidth="1"/>
    <col min="9" max="20" width="6.28515625" style="34" customWidth="1"/>
    <col min="21" max="23" width="3.7109375" style="34" customWidth="1"/>
    <col min="24" max="24" width="5.28515625" style="34" customWidth="1"/>
    <col min="25" max="16384" width="9.140625" style="34"/>
  </cols>
  <sheetData>
    <row r="1" spans="1:24" x14ac:dyDescent="0.2">
      <c r="C1" s="137" t="s">
        <v>185</v>
      </c>
      <c r="K1" s="140"/>
      <c r="L1" s="140"/>
      <c r="M1" s="140"/>
      <c r="P1" s="716" t="s">
        <v>0</v>
      </c>
      <c r="Q1" s="717"/>
      <c r="R1" s="718" t="s">
        <v>373</v>
      </c>
      <c r="S1" s="719"/>
      <c r="T1" s="720" t="s">
        <v>374</v>
      </c>
      <c r="U1" s="4"/>
      <c r="V1" s="5" t="s">
        <v>2</v>
      </c>
      <c r="W1" s="5"/>
    </row>
    <row r="2" spans="1:24" x14ac:dyDescent="0.2">
      <c r="C2" s="1" t="s">
        <v>432</v>
      </c>
      <c r="N2" s="715" t="s">
        <v>731</v>
      </c>
      <c r="O2" s="721"/>
      <c r="P2" s="721"/>
      <c r="Q2" s="721"/>
      <c r="R2" s="722"/>
      <c r="S2" s="722"/>
      <c r="T2" s="723"/>
      <c r="U2" s="4"/>
      <c r="V2" s="6" t="s">
        <v>3</v>
      </c>
      <c r="W2" s="6"/>
    </row>
    <row r="3" spans="1:24" x14ac:dyDescent="0.2">
      <c r="D3" s="277" t="s">
        <v>724</v>
      </c>
      <c r="E3" s="686"/>
      <c r="F3" s="687"/>
      <c r="N3" s="3"/>
      <c r="O3" s="3"/>
      <c r="P3" s="3"/>
      <c r="Q3" s="3"/>
      <c r="R3" s="3"/>
      <c r="S3" s="3"/>
      <c r="T3" s="3"/>
      <c r="U3" s="4"/>
      <c r="V3" s="7" t="s">
        <v>4</v>
      </c>
      <c r="W3" s="7"/>
    </row>
    <row r="4" spans="1:24" s="2" customFormat="1" x14ac:dyDescent="0.2">
      <c r="A4" s="186" t="s">
        <v>5</v>
      </c>
      <c r="B4" s="186" t="s">
        <v>5</v>
      </c>
      <c r="C4" s="186"/>
      <c r="D4" s="8"/>
      <c r="E4" s="145" t="s">
        <v>5</v>
      </c>
      <c r="F4" s="145" t="s">
        <v>5</v>
      </c>
      <c r="G4" s="145"/>
      <c r="H4" s="145" t="s">
        <v>5</v>
      </c>
      <c r="I4" s="172" t="str">
        <f t="shared" ref="I4:O4" si="0">HYPERLINK("http://kaart.delfi.ee/?bookmark=0807568cf7d8a03cedbb545921254497","Tallinn")</f>
        <v>Tallinn</v>
      </c>
      <c r="J4" s="139" t="str">
        <f t="shared" si="0"/>
        <v>Tallinn</v>
      </c>
      <c r="K4" s="172" t="str">
        <f t="shared" si="0"/>
        <v>Tallinn</v>
      </c>
      <c r="L4" s="139" t="str">
        <f t="shared" si="0"/>
        <v>Tallinn</v>
      </c>
      <c r="M4" s="139" t="str">
        <f t="shared" si="0"/>
        <v>Tallinn</v>
      </c>
      <c r="N4" s="172" t="str">
        <f t="shared" si="0"/>
        <v>Tallinn</v>
      </c>
      <c r="O4" s="139" t="str">
        <f t="shared" si="0"/>
        <v>Tallinn</v>
      </c>
      <c r="P4" s="174" t="s">
        <v>248</v>
      </c>
      <c r="Q4" s="175" t="s">
        <v>248</v>
      </c>
      <c r="R4" s="172" t="str">
        <f>HYPERLINK("http://kaart.delfi.ee/?bookmark=0807568cf7d8a03cedbb545921254497","Tallinn")</f>
        <v>Tallinn</v>
      </c>
      <c r="S4" s="172" t="str">
        <f>HYPERLINK("http://kaart.delfi.ee/?bookmark=0807568cf7d8a03cedbb545921254497","Tallinn")</f>
        <v>Tallinn</v>
      </c>
      <c r="T4" s="139" t="str">
        <f>HYPERLINK("http://kaart.delfi.ee/?bookmark=0807568cf7d8a03cedbb545921254497","Tallinn")</f>
        <v>Tallinn</v>
      </c>
      <c r="U4" s="9" t="s">
        <v>6</v>
      </c>
      <c r="V4" s="10"/>
      <c r="W4" s="11"/>
      <c r="X4" s="12"/>
    </row>
    <row r="5" spans="1:24" s="2" customFormat="1" x14ac:dyDescent="0.2">
      <c r="A5" s="186" t="s">
        <v>5</v>
      </c>
      <c r="B5" s="186" t="s">
        <v>5</v>
      </c>
      <c r="C5" s="186"/>
      <c r="D5" s="8" t="s">
        <v>176</v>
      </c>
      <c r="E5" s="145" t="s">
        <v>5</v>
      </c>
      <c r="F5" s="145" t="s">
        <v>5</v>
      </c>
      <c r="G5" s="145"/>
      <c r="H5" s="145" t="s">
        <v>5</v>
      </c>
      <c r="I5" s="145" t="s">
        <v>7</v>
      </c>
      <c r="J5" s="13" t="s">
        <v>1</v>
      </c>
      <c r="K5" s="145" t="s">
        <v>7</v>
      </c>
      <c r="L5" s="13" t="s">
        <v>1</v>
      </c>
      <c r="M5" s="13" t="s">
        <v>1</v>
      </c>
      <c r="N5" s="145" t="s">
        <v>7</v>
      </c>
      <c r="O5" s="13" t="s">
        <v>1</v>
      </c>
      <c r="P5" s="13" t="s">
        <v>1</v>
      </c>
      <c r="Q5" s="145" t="s">
        <v>7</v>
      </c>
      <c r="R5" s="145" t="s">
        <v>7</v>
      </c>
      <c r="S5" s="145" t="s">
        <v>7</v>
      </c>
      <c r="T5" s="597" t="s">
        <v>1</v>
      </c>
      <c r="U5" s="14" t="s">
        <v>5</v>
      </c>
      <c r="V5" s="10" t="s">
        <v>8</v>
      </c>
      <c r="W5" s="11"/>
      <c r="X5" s="15" t="s">
        <v>9</v>
      </c>
    </row>
    <row r="6" spans="1:24" s="2" customFormat="1" x14ac:dyDescent="0.2">
      <c r="A6" s="186" t="s">
        <v>5</v>
      </c>
      <c r="B6" s="186" t="s">
        <v>5</v>
      </c>
      <c r="C6" s="186"/>
      <c r="D6" s="145" t="s">
        <v>5</v>
      </c>
      <c r="E6" s="145" t="s">
        <v>5</v>
      </c>
      <c r="F6" s="145" t="s">
        <v>5</v>
      </c>
      <c r="G6" s="145"/>
      <c r="H6" s="145" t="s">
        <v>5</v>
      </c>
      <c r="I6" s="176" t="str">
        <f>HYPERLINK("http://www.petanque.ee/index.php?id=103589&amp;cid=472",MID(Kalend!A6,4,5))</f>
        <v>05.11</v>
      </c>
      <c r="J6" s="177" t="str">
        <f>HYPERLINK("http://www.petanque.ee/index.php?id=103589&amp;cid=473",MID(Kalend!A7,4,5))</f>
        <v>20.11</v>
      </c>
      <c r="K6" s="176" t="str">
        <f>HYPERLINK("http://www.petanque.ee/index.php?id=103589&amp;cid=474",MID(Kalend!A13,4,5))</f>
        <v>11.12</v>
      </c>
      <c r="L6" s="177" t="str">
        <f>HYPERLINK("http://www.petanque.ee/index.php?id=103589&amp;cid=476",MID(Kalend!A17,4,5))</f>
        <v>07.01</v>
      </c>
      <c r="M6" s="177" t="str">
        <f>HYPERLINK("http://www.petanque.ee/index.php?id=103589&amp;cid=477",MID(Kalend!A18,4,5))</f>
        <v>08.01</v>
      </c>
      <c r="N6" s="176" t="str">
        <f>HYPERLINK("http://www.petanque.ee/index.php?id=103589&amp;cid=478",MID(Kalend!A21,4,5))</f>
        <v>21.01</v>
      </c>
      <c r="O6" s="177" t="str">
        <f>HYPERLINK("http://www.petanque.ee/index.php?id=103589&amp;cid=479",MID(Kalend!A23,4,5))</f>
        <v>04.02</v>
      </c>
      <c r="P6" s="177" t="str">
        <f>HYPERLINK("http://www.petanque.ee/index.php?id=103589&amp;cid=482",MID(Kalend!A30,4,5))</f>
        <v>11.03</v>
      </c>
      <c r="Q6" s="176" t="str">
        <f>HYPERLINK("http://www.petanque.ee/index.php?id=103589&amp;cid=492",MID(Kalend!A31,4,5))</f>
        <v>12.03</v>
      </c>
      <c r="R6" s="176" t="str">
        <f>HYPERLINK("http://www.petanque.ee/index.php?id=103589&amp;cid=483",MID(Kalend!A32,4,5))</f>
        <v>25.03</v>
      </c>
      <c r="S6" s="176" t="str">
        <f>HYPERLINK("http://www.petanque.ee/index.php?id=103589&amp;cid=485",MID(Kalend!A35,4,5))</f>
        <v>09.04</v>
      </c>
      <c r="T6" s="177" t="str">
        <f>HYPERLINK("http://www.petanque.ee/index.php?id=103589&amp;cid=487",MID(Kalend!A38,4,5))</f>
        <v>23.04</v>
      </c>
      <c r="U6" s="16" t="s">
        <v>5</v>
      </c>
      <c r="V6" s="4" t="s">
        <v>10</v>
      </c>
      <c r="W6" s="17" t="s">
        <v>11</v>
      </c>
      <c r="X6" s="15" t="s">
        <v>12</v>
      </c>
    </row>
    <row r="7" spans="1:24" s="2" customFormat="1" x14ac:dyDescent="0.2">
      <c r="A7" s="690" t="s">
        <v>19</v>
      </c>
      <c r="B7" s="688"/>
      <c r="C7" s="689"/>
      <c r="D7" s="8" t="s">
        <v>5</v>
      </c>
      <c r="E7" s="690" t="s">
        <v>21</v>
      </c>
      <c r="F7" s="691"/>
      <c r="G7" s="38"/>
      <c r="H7" s="19" t="s">
        <v>5</v>
      </c>
      <c r="I7" s="35" t="s">
        <v>14</v>
      </c>
      <c r="J7" s="37" t="s">
        <v>16</v>
      </c>
      <c r="K7" s="35" t="s">
        <v>13</v>
      </c>
      <c r="L7" s="36" t="s">
        <v>246</v>
      </c>
      <c r="M7" s="37" t="s">
        <v>247</v>
      </c>
      <c r="N7" s="35" t="s">
        <v>14</v>
      </c>
      <c r="O7" s="37" t="s">
        <v>14</v>
      </c>
      <c r="P7" s="37" t="s">
        <v>15</v>
      </c>
      <c r="Q7" s="35" t="s">
        <v>13</v>
      </c>
      <c r="R7" s="35" t="s">
        <v>14</v>
      </c>
      <c r="S7" s="35" t="s">
        <v>13</v>
      </c>
      <c r="T7" s="37" t="s">
        <v>13</v>
      </c>
      <c r="U7" s="14" t="s">
        <v>5</v>
      </c>
      <c r="V7" s="16" t="s">
        <v>5</v>
      </c>
      <c r="W7" s="16" t="s">
        <v>17</v>
      </c>
      <c r="X7" s="15" t="s">
        <v>18</v>
      </c>
    </row>
    <row r="8" spans="1:24" s="2" customFormat="1" x14ac:dyDescent="0.2">
      <c r="A8" s="19" t="s">
        <v>375</v>
      </c>
      <c r="B8" s="142" t="s">
        <v>723</v>
      </c>
      <c r="C8" s="391" t="s">
        <v>440</v>
      </c>
      <c r="D8" s="8" t="s">
        <v>20</v>
      </c>
      <c r="E8" s="152" t="s">
        <v>723</v>
      </c>
      <c r="F8" s="19" t="s">
        <v>375</v>
      </c>
      <c r="G8" s="20" t="s">
        <v>22</v>
      </c>
      <c r="H8" s="19" t="s">
        <v>23</v>
      </c>
      <c r="I8" s="278" t="str">
        <f>HYPERLINK("#1!G1","  1  ")</f>
        <v xml:space="preserve">  1  </v>
      </c>
      <c r="J8" s="279" t="str">
        <f>HYPERLINK("#2!I1","  2  ")</f>
        <v xml:space="preserve">  2  </v>
      </c>
      <c r="K8" s="280" t="str">
        <f>HYPERLINK("#3!G1","  3  ")</f>
        <v xml:space="preserve">  3  </v>
      </c>
      <c r="L8" s="279" t="str">
        <f>HYPERLINK("#4!I1","  4  ")</f>
        <v xml:space="preserve">  4  </v>
      </c>
      <c r="M8" s="282" t="str">
        <f>HYPERLINK("#5!W1","  5  ")</f>
        <v xml:space="preserve">  5  </v>
      </c>
      <c r="N8" s="173" t="str">
        <f>HYPERLINK("#6!H1","  6  ")</f>
        <v xml:space="preserve">  6  </v>
      </c>
      <c r="O8" s="279" t="str">
        <f>HYPERLINK("#7!G1","  7  ")</f>
        <v xml:space="preserve">  7  </v>
      </c>
      <c r="P8" s="279" t="str">
        <f>HYPERLINK("#8!H1","  8  ")</f>
        <v xml:space="preserve">  8  </v>
      </c>
      <c r="Q8" s="173" t="str">
        <f>HYPERLINK("#9!H1","  9  ")</f>
        <v xml:space="preserve">  9  </v>
      </c>
      <c r="R8" s="281" t="str">
        <f>HYPERLINK("#10!H1"," 10 ")</f>
        <v xml:space="preserve"> 10 </v>
      </c>
      <c r="S8" s="281" t="str">
        <f>HYPERLINK("#11!G1"," 11 ")</f>
        <v xml:space="preserve"> 11 </v>
      </c>
      <c r="T8" s="282" t="str">
        <f>HYPERLINK("#12!G1"," 12 ")</f>
        <v xml:space="preserve"> 12 </v>
      </c>
      <c r="U8" s="21" t="s">
        <v>5</v>
      </c>
      <c r="V8" s="22" t="s">
        <v>5</v>
      </c>
      <c r="W8" s="22" t="s">
        <v>5</v>
      </c>
      <c r="X8" s="23" t="s">
        <v>5</v>
      </c>
    </row>
    <row r="9" spans="1:24" s="2" customFormat="1" x14ac:dyDescent="0.2">
      <c r="A9" s="24">
        <f t="shared" ref="A9:A40" si="1">IF((F9=0),"",RANK(F9,F$9:F$122,0))</f>
        <v>1</v>
      </c>
      <c r="B9" s="143">
        <v>1</v>
      </c>
      <c r="C9" s="364"/>
      <c r="D9" s="678" t="s">
        <v>722</v>
      </c>
      <c r="E9" s="685">
        <v>107.01301010001001</v>
      </c>
      <c r="F9" s="25">
        <f t="shared" ref="F9:F40" si="2">G9+H9</f>
        <v>107.01301010001001</v>
      </c>
      <c r="G9" s="144">
        <f t="shared" ref="G9:G40" si="3">COUNTIF(I9:T9,25)/100+COUNTIF(I9:T9,20)/1000+COUNTIF(I9:T9,16)/10000+COUNTIF(I9:T9,12)/100000+COUNTIF(I9:T9,9)/1000000+COUNTIF(I9:T9,7)/10000000+COUNTIF(I9:T9,5)/100000000+COUNTIF(I9:T9,4)/1000000000+COUNTIF(I9:T9,3)/10000000000+COUNTIF(I9:T9,2)/100000000000</f>
        <v>1.3010100010000001E-2</v>
      </c>
      <c r="H9" s="25">
        <f t="array" ref="H9">(IF(COUNT(I9,K9,N9,Q9,R9,S9)&lt;4,SUM(I9,K9,N9,Q9,R9,S9),SUM(LARGE((I9,K9,N9,Q9,R9,S9),{1;2;3;4}))))+(IF(COUNT(J9,L9,M9,O9,P9,T9)&lt;4,SUM(J9,L9,M9,O9,P9,T9),SUM(LARGE((J9,L9,M9,O9,P9,T9),{1;2;3;4}))))</f>
        <v>107</v>
      </c>
      <c r="I9" s="185">
        <v>20</v>
      </c>
      <c r="J9" s="185">
        <v>25</v>
      </c>
      <c r="K9" s="185">
        <v>20</v>
      </c>
      <c r="L9" s="361">
        <v>7</v>
      </c>
      <c r="M9" s="361">
        <v>2</v>
      </c>
      <c r="N9" s="361">
        <v>1</v>
      </c>
      <c r="O9" s="185">
        <v>12</v>
      </c>
      <c r="P9" s="631" t="s">
        <v>677</v>
      </c>
      <c r="Q9" s="361">
        <v>20</v>
      </c>
      <c r="R9" s="631" t="s">
        <v>677</v>
      </c>
      <c r="S9" s="631" t="s">
        <v>677</v>
      </c>
      <c r="T9" s="185"/>
      <c r="U9" s="599">
        <f t="shared" ref="U9:U40" si="4">COUNTIF(I9:T9,"&gt;0")</f>
        <v>8</v>
      </c>
      <c r="V9" s="600">
        <f t="shared" ref="V9:V40" si="5">COUNTIF(I9,"&gt;=12")+COUNTIF(K9,"&gt;=12")+COUNTIF(N9,"&gt;=12")+COUNTIF(Q9:S9,"&gt;=12")+COUNTIF(J9,"&gt;=16")+COUNTIF(L9:M9,"&gt;=16")+COUNTIF(O9:P9,"&gt;=16")+COUNTIF(T9,"&gt;=16")</f>
        <v>4</v>
      </c>
      <c r="W9" s="601">
        <f t="shared" ref="W9:W40" si="6">COUNTIF(I9,"=20")+COUNTIF(K9,"=20")+COUNTIF(N9,"=20")+COUNTIF(Q9:S9,"=20")+COUNTIF(I9:T9,"=25")</f>
        <v>4</v>
      </c>
      <c r="X9" s="681">
        <f t="shared" ref="X9:X40" si="7">COUNTIF(I9:T9,"=25")</f>
        <v>1</v>
      </c>
    </row>
    <row r="10" spans="1:24" s="2" customFormat="1" x14ac:dyDescent="0.2">
      <c r="A10" s="24">
        <f t="shared" si="1"/>
        <v>2</v>
      </c>
      <c r="B10" s="143">
        <v>2</v>
      </c>
      <c r="C10" s="364"/>
      <c r="D10" s="679" t="s">
        <v>25</v>
      </c>
      <c r="E10" s="683">
        <v>106.00220320102</v>
      </c>
      <c r="F10" s="25">
        <f t="shared" si="2"/>
        <v>106.00220320102</v>
      </c>
      <c r="G10" s="144">
        <f t="shared" si="3"/>
        <v>2.20320102E-3</v>
      </c>
      <c r="H10" s="25">
        <f t="array" ref="H10">(IF(COUNT(I10,K10,N10,Q10,R10,S10)&lt;4,SUM(I10,K10,N10,Q10,R10,S10),SUM(LARGE((I10,K10,N10,Q10,R10,S10),{1;2;3;4}))))+(IF(COUNT(J10,L10,M10,O10,P10,T10)&lt;4,SUM(J10,L10,M10,O10,P10,T10),SUM(LARGE((J10,L10,M10,O10,P10,T10),{1;2;3;4}))))</f>
        <v>106</v>
      </c>
      <c r="I10" s="631">
        <v>7</v>
      </c>
      <c r="J10" s="185">
        <v>16</v>
      </c>
      <c r="K10" s="631">
        <v>4</v>
      </c>
      <c r="L10" s="631">
        <v>2</v>
      </c>
      <c r="M10" s="361">
        <v>7</v>
      </c>
      <c r="N10" s="361">
        <v>20</v>
      </c>
      <c r="O10" s="185">
        <v>9</v>
      </c>
      <c r="P10" s="361">
        <v>9</v>
      </c>
      <c r="Q10" s="361">
        <v>16</v>
      </c>
      <c r="R10" s="361">
        <v>20</v>
      </c>
      <c r="S10" s="361">
        <v>9</v>
      </c>
      <c r="T10" s="631">
        <v>2</v>
      </c>
      <c r="U10" s="602">
        <f t="shared" si="4"/>
        <v>12</v>
      </c>
      <c r="V10" s="603">
        <f t="shared" si="5"/>
        <v>4</v>
      </c>
      <c r="W10" s="604">
        <f t="shared" si="6"/>
        <v>2</v>
      </c>
      <c r="X10" s="682">
        <f t="shared" si="7"/>
        <v>0</v>
      </c>
    </row>
    <row r="11" spans="1:24" s="2" customFormat="1" x14ac:dyDescent="0.2">
      <c r="A11" s="24">
        <f t="shared" si="1"/>
        <v>3</v>
      </c>
      <c r="B11" s="143">
        <v>3</v>
      </c>
      <c r="C11" s="364"/>
      <c r="D11" s="680" t="s">
        <v>26</v>
      </c>
      <c r="E11" s="164">
        <v>101.001320011</v>
      </c>
      <c r="F11" s="25">
        <f t="shared" si="2"/>
        <v>101.001320011</v>
      </c>
      <c r="G11" s="144">
        <f t="shared" si="3"/>
        <v>1.3200109999999998E-3</v>
      </c>
      <c r="H11" s="25">
        <f t="array" ref="H11">(IF(COUNT(I11,K11,N11,Q11,R11,S11)&lt;4,SUM(I11,K11,N11,Q11,R11,S11),SUM(LARGE((I11,K11,N11,Q11,R11,S11),{1;2;3;4}))))+(IF(COUNT(J11,L11,M11,O11,P11,T11)&lt;4,SUM(J11,L11,M11,O11,P11,T11),SUM(LARGE((J11,L11,M11,O11,P11,T11),{1;2;3;4}))))</f>
        <v>101</v>
      </c>
      <c r="I11" s="185">
        <v>16</v>
      </c>
      <c r="J11" s="185">
        <v>12</v>
      </c>
      <c r="K11" s="185">
        <v>12</v>
      </c>
      <c r="L11" s="631" t="s">
        <v>677</v>
      </c>
      <c r="M11" s="631" t="s">
        <v>677</v>
      </c>
      <c r="N11" s="631">
        <v>1</v>
      </c>
      <c r="O11" s="185">
        <v>16</v>
      </c>
      <c r="P11" s="361">
        <v>5</v>
      </c>
      <c r="Q11" s="361">
        <v>20</v>
      </c>
      <c r="R11" s="631">
        <v>1</v>
      </c>
      <c r="S11" s="361">
        <v>16</v>
      </c>
      <c r="T11" s="361">
        <v>4</v>
      </c>
      <c r="U11" s="602">
        <f t="shared" si="4"/>
        <v>10</v>
      </c>
      <c r="V11" s="603">
        <f t="shared" si="5"/>
        <v>5</v>
      </c>
      <c r="W11" s="604">
        <f t="shared" si="6"/>
        <v>1</v>
      </c>
      <c r="X11" s="682">
        <f t="shared" si="7"/>
        <v>0</v>
      </c>
    </row>
    <row r="12" spans="1:24" s="2" customFormat="1" x14ac:dyDescent="0.2">
      <c r="A12" s="24">
        <f t="shared" si="1"/>
        <v>4</v>
      </c>
      <c r="B12" s="143">
        <v>4</v>
      </c>
      <c r="C12" s="364"/>
      <c r="D12" s="27" t="s">
        <v>57</v>
      </c>
      <c r="E12" s="164">
        <v>100.0121101</v>
      </c>
      <c r="F12" s="25">
        <f t="shared" si="2"/>
        <v>100.0121101</v>
      </c>
      <c r="G12" s="144">
        <f t="shared" si="3"/>
        <v>1.2110099999999999E-2</v>
      </c>
      <c r="H12" s="25">
        <f t="array" ref="H12">(IF(COUNT(I12,K12,N12,Q12,R12,S12)&lt;4,SUM(I12,K12,N12,Q12,R12,S12),SUM(LARGE((I12,K12,N12,Q12,R12,S12),{1;2;3;4}))))+(IF(COUNT(J12,L12,M12,O12,P12,T12)&lt;4,SUM(J12,L12,M12,O12,P12,T12),SUM(LARGE((J12,L12,M12,O12,P12,T12),{1;2;3;4}))))</f>
        <v>100</v>
      </c>
      <c r="I12" s="185">
        <v>20</v>
      </c>
      <c r="J12" s="185">
        <v>25</v>
      </c>
      <c r="K12" s="185">
        <v>20</v>
      </c>
      <c r="L12" s="631" t="s">
        <v>677</v>
      </c>
      <c r="M12" s="631" t="s">
        <v>677</v>
      </c>
      <c r="N12" s="631">
        <v>1</v>
      </c>
      <c r="O12" s="185">
        <v>12</v>
      </c>
      <c r="P12" s="185"/>
      <c r="Q12" s="631" t="s">
        <v>677</v>
      </c>
      <c r="R12" s="361">
        <v>7</v>
      </c>
      <c r="S12" s="361">
        <v>16</v>
      </c>
      <c r="T12" s="185"/>
      <c r="U12" s="602">
        <f t="shared" si="4"/>
        <v>7</v>
      </c>
      <c r="V12" s="603">
        <f t="shared" si="5"/>
        <v>4</v>
      </c>
      <c r="W12" s="604">
        <f t="shared" si="6"/>
        <v>3</v>
      </c>
      <c r="X12" s="682">
        <f t="shared" si="7"/>
        <v>1</v>
      </c>
    </row>
    <row r="13" spans="1:24" s="2" customFormat="1" x14ac:dyDescent="0.2">
      <c r="A13" s="24">
        <f t="shared" si="1"/>
        <v>5</v>
      </c>
      <c r="B13" s="143">
        <v>5</v>
      </c>
      <c r="C13" s="364"/>
      <c r="D13" s="187" t="s">
        <v>59</v>
      </c>
      <c r="E13" s="164">
        <v>94.020201001100006</v>
      </c>
      <c r="F13" s="25">
        <f t="shared" si="2"/>
        <v>94.020201001100006</v>
      </c>
      <c r="G13" s="144">
        <f t="shared" si="3"/>
        <v>2.0201001100000001E-2</v>
      </c>
      <c r="H13" s="25">
        <f t="array" ref="H13">(IF(COUNT(I13,K13,N13,Q13,R13,S13)&lt;4,SUM(I13,K13,N13,Q13,R13,S13),SUM(LARGE((I13,K13,N13,Q13,R13,S13),{1;2;3;4}))))+(IF(COUNT(J13,L13,M13,O13,P13,T13)&lt;4,SUM(J13,L13,M13,O13,P13,T13),SUM(LARGE((J13,L13,M13,O13,P13,T13),{1;2;3;4}))))</f>
        <v>94</v>
      </c>
      <c r="I13" s="631" t="s">
        <v>677</v>
      </c>
      <c r="J13" s="185">
        <v>25</v>
      </c>
      <c r="K13" s="631" t="s">
        <v>677</v>
      </c>
      <c r="L13" s="185">
        <v>9</v>
      </c>
      <c r="M13" s="361">
        <v>16</v>
      </c>
      <c r="N13" s="361">
        <v>3</v>
      </c>
      <c r="O13" s="631">
        <v>4</v>
      </c>
      <c r="P13" s="631" t="s">
        <v>677</v>
      </c>
      <c r="Q13" s="631"/>
      <c r="R13" s="361">
        <v>16</v>
      </c>
      <c r="S13" s="185"/>
      <c r="T13" s="361">
        <v>25</v>
      </c>
      <c r="U13" s="602">
        <f t="shared" si="4"/>
        <v>7</v>
      </c>
      <c r="V13" s="603">
        <f t="shared" si="5"/>
        <v>4</v>
      </c>
      <c r="W13" s="604">
        <f t="shared" si="6"/>
        <v>2</v>
      </c>
      <c r="X13" s="682">
        <f t="shared" si="7"/>
        <v>2</v>
      </c>
    </row>
    <row r="14" spans="1:24" s="2" customFormat="1" x14ac:dyDescent="0.2">
      <c r="A14" s="24">
        <f t="shared" si="1"/>
        <v>6</v>
      </c>
      <c r="B14" s="143">
        <v>6</v>
      </c>
      <c r="C14" s="364"/>
      <c r="D14" s="146" t="s">
        <v>39</v>
      </c>
      <c r="E14" s="164">
        <v>88.012010100020007</v>
      </c>
      <c r="F14" s="25">
        <f t="shared" si="2"/>
        <v>88.012010100020007</v>
      </c>
      <c r="G14" s="144">
        <f t="shared" si="3"/>
        <v>1.2010100019999999E-2</v>
      </c>
      <c r="H14" s="25">
        <f t="array" ref="H14">(IF(COUNT(I14,K14,N14,Q14,R14,S14)&lt;4,SUM(I14,K14,N14,Q14,R14,S14),SUM(LARGE((I14,K14,N14,Q14,R14,S14),{1;2;3;4}))))+(IF(COUNT(J14,L14,M14,O14,P14,T14)&lt;4,SUM(J14,L14,M14,O14,P14,T14),SUM(LARGE((J14,L14,M14,O14,P14,T14),{1;2;3;4}))))</f>
        <v>88</v>
      </c>
      <c r="I14" s="631">
        <v>1</v>
      </c>
      <c r="J14" s="185">
        <v>20</v>
      </c>
      <c r="K14" s="185">
        <v>7</v>
      </c>
      <c r="L14" s="631">
        <v>2</v>
      </c>
      <c r="M14" s="631" t="s">
        <v>677</v>
      </c>
      <c r="N14" s="361">
        <v>1</v>
      </c>
      <c r="O14" s="185">
        <v>20</v>
      </c>
      <c r="P14" s="361">
        <v>25</v>
      </c>
      <c r="Q14" s="361">
        <v>1</v>
      </c>
      <c r="R14" s="361">
        <v>12</v>
      </c>
      <c r="S14" s="631" t="s">
        <v>677</v>
      </c>
      <c r="T14" s="361">
        <v>2</v>
      </c>
      <c r="U14" s="602">
        <f t="shared" si="4"/>
        <v>10</v>
      </c>
      <c r="V14" s="603">
        <f t="shared" si="5"/>
        <v>4</v>
      </c>
      <c r="W14" s="604">
        <f t="shared" si="6"/>
        <v>1</v>
      </c>
      <c r="X14" s="682">
        <f t="shared" si="7"/>
        <v>1</v>
      </c>
    </row>
    <row r="15" spans="1:24" s="2" customFormat="1" x14ac:dyDescent="0.2">
      <c r="A15" s="24">
        <f t="shared" si="1"/>
        <v>7</v>
      </c>
      <c r="B15" s="143">
        <v>7</v>
      </c>
      <c r="C15" s="364"/>
      <c r="D15" s="362" t="s">
        <v>439</v>
      </c>
      <c r="E15" s="164">
        <v>80.030000009999995</v>
      </c>
      <c r="F15" s="25">
        <f t="shared" si="2"/>
        <v>80.030000009999995</v>
      </c>
      <c r="G15" s="144">
        <f t="shared" si="3"/>
        <v>3.0000010000000001E-2</v>
      </c>
      <c r="H15" s="25">
        <f t="array" ref="H15">(IF(COUNT(I15,K15,N15,Q15,R15,S15)&lt;4,SUM(I15,K15,N15,Q15,R15,S15),SUM(LARGE((I15,K15,N15,Q15,R15,S15),{1;2;3;4}))))+(IF(COUNT(J15,L15,M15,O15,P15,T15)&lt;4,SUM(J15,L15,M15,O15,P15,T15),SUM(LARGE((J15,L15,M15,O15,P15,T15),{1;2;3;4}))))</f>
        <v>80</v>
      </c>
      <c r="I15" s="631" t="s">
        <v>677</v>
      </c>
      <c r="J15" s="631" t="s">
        <v>677</v>
      </c>
      <c r="K15" s="631" t="s">
        <v>677</v>
      </c>
      <c r="L15" s="185">
        <v>5</v>
      </c>
      <c r="M15" s="361">
        <v>25</v>
      </c>
      <c r="N15" s="185"/>
      <c r="O15" s="185">
        <v>25</v>
      </c>
      <c r="P15" s="631" t="s">
        <v>677</v>
      </c>
      <c r="Q15" s="185"/>
      <c r="R15" s="185"/>
      <c r="S15" s="185"/>
      <c r="T15" s="361">
        <v>25</v>
      </c>
      <c r="U15" s="602">
        <f t="shared" si="4"/>
        <v>4</v>
      </c>
      <c r="V15" s="603">
        <f t="shared" si="5"/>
        <v>3</v>
      </c>
      <c r="W15" s="604">
        <f t="shared" si="6"/>
        <v>3</v>
      </c>
      <c r="X15" s="682">
        <f t="shared" si="7"/>
        <v>3</v>
      </c>
    </row>
    <row r="16" spans="1:24" s="2" customFormat="1" x14ac:dyDescent="0.2">
      <c r="A16" s="24">
        <f t="shared" si="1"/>
        <v>8</v>
      </c>
      <c r="B16" s="143">
        <v>8</v>
      </c>
      <c r="C16" s="364"/>
      <c r="D16" s="186" t="s">
        <v>270</v>
      </c>
      <c r="E16" s="164">
        <v>80.012010000100005</v>
      </c>
      <c r="F16" s="25">
        <f t="shared" si="2"/>
        <v>80.012010000100005</v>
      </c>
      <c r="G16" s="144">
        <f t="shared" si="3"/>
        <v>1.2010000099999999E-2</v>
      </c>
      <c r="H16" s="25">
        <f t="array" ref="H16">(IF(COUNT(I16,K16,N16,Q16,R16,S16)&lt;4,SUM(I16,K16,N16,Q16,R16,S16),SUM(LARGE((I16,K16,N16,Q16,R16,S16),{1;2;3;4}))))+(IF(COUNT(J16,L16,M16,O16,P16,T16)&lt;4,SUM(J16,L16,M16,O16,P16,T16),SUM(LARGE((J16,L16,M16,O16,P16,T16),{1;2;3;4}))))</f>
        <v>80</v>
      </c>
      <c r="I16" s="631" t="s">
        <v>677</v>
      </c>
      <c r="J16" s="631" t="s">
        <v>677</v>
      </c>
      <c r="K16" s="185">
        <v>12</v>
      </c>
      <c r="L16" s="185">
        <v>20</v>
      </c>
      <c r="M16" s="361">
        <v>20</v>
      </c>
      <c r="N16" s="361">
        <v>3</v>
      </c>
      <c r="O16" s="631" t="s">
        <v>677</v>
      </c>
      <c r="P16" s="185"/>
      <c r="Q16" s="631" t="s">
        <v>677</v>
      </c>
      <c r="R16" s="185"/>
      <c r="S16" s="185"/>
      <c r="T16" s="361">
        <v>25</v>
      </c>
      <c r="U16" s="602">
        <f t="shared" si="4"/>
        <v>5</v>
      </c>
      <c r="V16" s="603">
        <f t="shared" si="5"/>
        <v>4</v>
      </c>
      <c r="W16" s="604">
        <f t="shared" si="6"/>
        <v>1</v>
      </c>
      <c r="X16" s="682">
        <f t="shared" si="7"/>
        <v>1</v>
      </c>
    </row>
    <row r="17" spans="1:24" s="2" customFormat="1" x14ac:dyDescent="0.2">
      <c r="A17" s="24">
        <f t="shared" si="1"/>
        <v>9</v>
      </c>
      <c r="B17" s="143">
        <v>9</v>
      </c>
      <c r="C17" s="364"/>
      <c r="D17" s="186" t="s">
        <v>41</v>
      </c>
      <c r="E17" s="164">
        <v>77.00120111004</v>
      </c>
      <c r="F17" s="25">
        <f t="shared" si="2"/>
        <v>77.00120111004</v>
      </c>
      <c r="G17" s="144">
        <f t="shared" si="3"/>
        <v>1.2011100400000001E-3</v>
      </c>
      <c r="H17" s="25">
        <f t="array" ref="H17">(IF(COUNT(I17,K17,N17,Q17,R17,S17)&lt;4,SUM(I17,K17,N17,Q17,R17,S17),SUM(LARGE((I17,K17,N17,Q17,R17,S17),{1;2;3;4}))))+(IF(COUNT(J17,L17,M17,O17,P17,T17)&lt;4,SUM(J17,L17,M17,O17,P17,T17),SUM(LARGE((J17,L17,M17,O17,P17,T17),{1;2;3;4}))))</f>
        <v>77</v>
      </c>
      <c r="I17" s="631">
        <v>1</v>
      </c>
      <c r="J17" s="631">
        <v>2</v>
      </c>
      <c r="K17" s="185">
        <v>16</v>
      </c>
      <c r="L17" s="631">
        <v>2</v>
      </c>
      <c r="M17" s="361">
        <v>2</v>
      </c>
      <c r="N17" s="361">
        <v>9</v>
      </c>
      <c r="O17" s="185">
        <v>2</v>
      </c>
      <c r="P17" s="361">
        <v>16</v>
      </c>
      <c r="Q17" s="361">
        <v>5</v>
      </c>
      <c r="R17" s="631">
        <v>1</v>
      </c>
      <c r="S17" s="361">
        <v>20</v>
      </c>
      <c r="T17" s="361">
        <v>7</v>
      </c>
      <c r="U17" s="602">
        <f t="shared" si="4"/>
        <v>12</v>
      </c>
      <c r="V17" s="603">
        <f t="shared" si="5"/>
        <v>3</v>
      </c>
      <c r="W17" s="604">
        <f t="shared" si="6"/>
        <v>1</v>
      </c>
      <c r="X17" s="682">
        <f t="shared" si="7"/>
        <v>0</v>
      </c>
    </row>
    <row r="18" spans="1:24" s="2" customFormat="1" x14ac:dyDescent="0.2">
      <c r="A18" s="24">
        <f t="shared" si="1"/>
        <v>10</v>
      </c>
      <c r="B18" s="143">
        <v>10</v>
      </c>
      <c r="C18" s="364"/>
      <c r="D18" s="186" t="s">
        <v>55</v>
      </c>
      <c r="E18" s="164">
        <v>75.011001112019997</v>
      </c>
      <c r="F18" s="25">
        <f t="shared" si="2"/>
        <v>75.011001112019997</v>
      </c>
      <c r="G18" s="144">
        <f t="shared" si="3"/>
        <v>1.1001112019999999E-2</v>
      </c>
      <c r="H18" s="25">
        <f t="array" ref="H18">(IF(COUNT(I18,K18,N18,Q18,R18,S18)&lt;4,SUM(I18,K18,N18,Q18,R18,S18),SUM(LARGE((I18,K18,N18,Q18,R18,S18),{1;2;3;4}))))+(IF(COUNT(J18,L18,M18,O18,P18,T18)&lt;4,SUM(J18,L18,M18,O18,P18,T18),SUM(LARGE((J18,L18,M18,O18,P18,T18),{1;2;3;4}))))</f>
        <v>75</v>
      </c>
      <c r="I18" s="631">
        <v>1</v>
      </c>
      <c r="J18" s="185">
        <v>20</v>
      </c>
      <c r="K18" s="185">
        <v>7</v>
      </c>
      <c r="L18" s="631">
        <v>2</v>
      </c>
      <c r="M18" s="361">
        <v>9</v>
      </c>
      <c r="N18" s="631">
        <v>1</v>
      </c>
      <c r="O18" s="185">
        <v>5</v>
      </c>
      <c r="P18" s="361">
        <v>25</v>
      </c>
      <c r="Q18" s="361">
        <v>1</v>
      </c>
      <c r="R18" s="361">
        <v>4</v>
      </c>
      <c r="S18" s="361">
        <v>4</v>
      </c>
      <c r="T18" s="631">
        <v>2</v>
      </c>
      <c r="U18" s="602">
        <f t="shared" si="4"/>
        <v>12</v>
      </c>
      <c r="V18" s="603">
        <f t="shared" si="5"/>
        <v>2</v>
      </c>
      <c r="W18" s="604">
        <f t="shared" si="6"/>
        <v>1</v>
      </c>
      <c r="X18" s="682">
        <f t="shared" si="7"/>
        <v>1</v>
      </c>
    </row>
    <row r="19" spans="1:24" s="2" customFormat="1" x14ac:dyDescent="0.2">
      <c r="A19" s="24">
        <f t="shared" si="1"/>
        <v>11</v>
      </c>
      <c r="B19" s="143">
        <v>11</v>
      </c>
      <c r="C19" s="725">
        <v>1</v>
      </c>
      <c r="D19" s="181" t="s">
        <v>250</v>
      </c>
      <c r="E19" s="164">
        <v>69.001200110040003</v>
      </c>
      <c r="F19" s="25">
        <f t="shared" si="2"/>
        <v>69.001200110040003</v>
      </c>
      <c r="G19" s="144">
        <f t="shared" si="3"/>
        <v>1.2001100400000002E-3</v>
      </c>
      <c r="H19" s="25">
        <f t="array" ref="H19">(IF(COUNT(I19,K19,N19,Q19,R19,S19)&lt;4,SUM(I19,K19,N19,Q19,R19,S19),SUM(LARGE((I19,K19,N19,Q19,R19,S19),{1;2;3;4}))))+(IF(COUNT(J19,L19,M19,O19,P19,T19)&lt;4,SUM(J19,L19,M19,O19,P19,T19),SUM(LARGE((J19,L19,M19,O19,P19,T19),{1;2;3;4}))))</f>
        <v>69</v>
      </c>
      <c r="I19" s="631">
        <v>1</v>
      </c>
      <c r="J19" s="631">
        <v>2</v>
      </c>
      <c r="K19" s="185">
        <v>16</v>
      </c>
      <c r="L19" s="631">
        <v>2</v>
      </c>
      <c r="M19" s="361">
        <v>2</v>
      </c>
      <c r="N19" s="631">
        <v>1</v>
      </c>
      <c r="O19" s="185">
        <v>2</v>
      </c>
      <c r="P19" s="361">
        <v>16</v>
      </c>
      <c r="Q19" s="361">
        <v>5</v>
      </c>
      <c r="R19" s="361">
        <v>1</v>
      </c>
      <c r="S19" s="361">
        <v>20</v>
      </c>
      <c r="T19" s="361">
        <v>7</v>
      </c>
      <c r="U19" s="602">
        <f t="shared" si="4"/>
        <v>12</v>
      </c>
      <c r="V19" s="603">
        <f t="shared" si="5"/>
        <v>3</v>
      </c>
      <c r="W19" s="604">
        <f t="shared" si="6"/>
        <v>1</v>
      </c>
      <c r="X19" s="682">
        <f t="shared" si="7"/>
        <v>0</v>
      </c>
    </row>
    <row r="20" spans="1:24" s="2" customFormat="1" x14ac:dyDescent="0.2">
      <c r="A20" s="24">
        <f t="shared" si="1"/>
        <v>12</v>
      </c>
      <c r="B20" s="143">
        <v>12</v>
      </c>
      <c r="C20" s="364"/>
      <c r="D20" s="146" t="s">
        <v>35</v>
      </c>
      <c r="E20" s="164">
        <v>69.001120010099996</v>
      </c>
      <c r="F20" s="25">
        <f t="shared" si="2"/>
        <v>69.001120010099996</v>
      </c>
      <c r="G20" s="144">
        <f t="shared" si="3"/>
        <v>1.1200101000000001E-3</v>
      </c>
      <c r="H20" s="25">
        <f t="array" ref="H20">(IF(COUNT(I20,K20,N20,Q20,R20,S20)&lt;4,SUM(I20,K20,N20,Q20,R20,S20),SUM(LARGE((I20,K20,N20,Q20,R20,S20),{1;2;3;4}))))+(IF(COUNT(J20,L20,M20,O20,P20,T20)&lt;4,SUM(J20,L20,M20,O20,P20,T20),SUM(LARGE((J20,L20,M20,O20,P20,T20),{1;2;3;4}))))</f>
        <v>69</v>
      </c>
      <c r="I20" s="185">
        <v>16</v>
      </c>
      <c r="J20" s="185">
        <v>12</v>
      </c>
      <c r="K20" s="185">
        <v>3</v>
      </c>
      <c r="L20" s="631" t="s">
        <v>677</v>
      </c>
      <c r="M20" s="361">
        <v>12</v>
      </c>
      <c r="N20" s="631">
        <v>1</v>
      </c>
      <c r="O20" s="631" t="s">
        <v>677</v>
      </c>
      <c r="P20" s="361">
        <v>5</v>
      </c>
      <c r="Q20" s="361">
        <v>20</v>
      </c>
      <c r="R20" s="361">
        <v>1</v>
      </c>
      <c r="S20" s="631" t="s">
        <v>677</v>
      </c>
      <c r="T20" s="185"/>
      <c r="U20" s="602">
        <f t="shared" si="4"/>
        <v>8</v>
      </c>
      <c r="V20" s="603">
        <f t="shared" si="5"/>
        <v>2</v>
      </c>
      <c r="W20" s="604">
        <f t="shared" si="6"/>
        <v>1</v>
      </c>
      <c r="X20" s="682">
        <f t="shared" si="7"/>
        <v>0</v>
      </c>
    </row>
    <row r="21" spans="1:24" s="2" customFormat="1" x14ac:dyDescent="0.2">
      <c r="A21" s="24">
        <f t="shared" si="1"/>
        <v>13</v>
      </c>
      <c r="B21" s="143">
        <v>13</v>
      </c>
      <c r="C21" s="364"/>
      <c r="D21" s="26" t="s">
        <v>27</v>
      </c>
      <c r="E21" s="683">
        <v>62.000201201030002</v>
      </c>
      <c r="F21" s="25">
        <f t="shared" si="2"/>
        <v>62.000201201030002</v>
      </c>
      <c r="G21" s="144">
        <f t="shared" si="3"/>
        <v>2.0120102999999999E-4</v>
      </c>
      <c r="H21" s="25">
        <f t="array" ref="H21">(IF(COUNT(I21,K21,N21,Q21,R21,S21)&lt;4,SUM(I21,K21,N21,Q21,R21,S21),SUM(LARGE((I21,K21,N21,Q21,R21,S21),{1;2;3;4}))))+(IF(COUNT(J21,L21,M21,O21,P21,T21)&lt;4,SUM(J21,L21,M21,O21,P21,T21),SUM(LARGE((J21,L21,M21,O21,P21,T21),{1;2;3;4}))))</f>
        <v>62</v>
      </c>
      <c r="I21" s="185">
        <v>7</v>
      </c>
      <c r="J21" s="185">
        <v>16</v>
      </c>
      <c r="K21" s="185">
        <v>4</v>
      </c>
      <c r="L21" s="631">
        <v>2</v>
      </c>
      <c r="M21" s="631">
        <v>2</v>
      </c>
      <c r="N21" s="631" t="s">
        <v>677</v>
      </c>
      <c r="O21" s="185">
        <v>2</v>
      </c>
      <c r="P21" s="361">
        <v>9</v>
      </c>
      <c r="Q21" s="631">
        <v>1</v>
      </c>
      <c r="R21" s="361">
        <v>1</v>
      </c>
      <c r="S21" s="361">
        <v>7</v>
      </c>
      <c r="T21" s="361">
        <v>16</v>
      </c>
      <c r="U21" s="602">
        <f t="shared" si="4"/>
        <v>11</v>
      </c>
      <c r="V21" s="603">
        <f t="shared" si="5"/>
        <v>2</v>
      </c>
      <c r="W21" s="604">
        <f t="shared" si="6"/>
        <v>0</v>
      </c>
      <c r="X21" s="682">
        <f t="shared" si="7"/>
        <v>0</v>
      </c>
    </row>
    <row r="22" spans="1:24" s="2" customFormat="1" x14ac:dyDescent="0.2">
      <c r="A22" s="24">
        <f t="shared" si="1"/>
        <v>14</v>
      </c>
      <c r="B22" s="143">
        <v>14</v>
      </c>
      <c r="C22" s="364"/>
      <c r="D22" s="146" t="s">
        <v>44</v>
      </c>
      <c r="E22" s="164">
        <v>59.000210011130001</v>
      </c>
      <c r="F22" s="25">
        <f t="shared" si="2"/>
        <v>59.000210011130001</v>
      </c>
      <c r="G22" s="144">
        <f t="shared" si="3"/>
        <v>2.1001112999999999E-4</v>
      </c>
      <c r="H22" s="25">
        <f t="array" ref="H22">(IF(COUNT(I22,K22,N22,Q22,R22,S22)&lt;4,SUM(I22,K22,N22,Q22,R22,S22),SUM(LARGE((I22,K22,N22,Q22,R22,S22),{1;2;3;4}))))+(IF(COUNT(J22,L22,M22,O22,P22,T22)&lt;4,SUM(J22,L22,M22,O22,P22,T22),SUM(LARGE((J22,L22,M22,O22,P22,T22),{1;2;3;4}))))</f>
        <v>59</v>
      </c>
      <c r="I22" s="631">
        <v>1</v>
      </c>
      <c r="J22" s="631">
        <v>2</v>
      </c>
      <c r="K22" s="631" t="s">
        <v>677</v>
      </c>
      <c r="L22" s="185">
        <v>4</v>
      </c>
      <c r="M22" s="631">
        <v>2</v>
      </c>
      <c r="N22" s="361">
        <v>1</v>
      </c>
      <c r="O22" s="185">
        <v>2</v>
      </c>
      <c r="P22" s="361">
        <v>16</v>
      </c>
      <c r="Q22" s="361">
        <v>12</v>
      </c>
      <c r="R22" s="361">
        <v>3</v>
      </c>
      <c r="S22" s="361">
        <v>5</v>
      </c>
      <c r="T22" s="361">
        <v>16</v>
      </c>
      <c r="U22" s="602">
        <f t="shared" si="4"/>
        <v>11</v>
      </c>
      <c r="V22" s="603">
        <f t="shared" si="5"/>
        <v>3</v>
      </c>
      <c r="W22" s="604">
        <f t="shared" si="6"/>
        <v>0</v>
      </c>
      <c r="X22" s="682">
        <f t="shared" si="7"/>
        <v>0</v>
      </c>
    </row>
    <row r="23" spans="1:24" s="2" customFormat="1" x14ac:dyDescent="0.2">
      <c r="A23" s="24">
        <f t="shared" si="1"/>
        <v>15</v>
      </c>
      <c r="B23" s="143">
        <v>15</v>
      </c>
      <c r="C23" s="364"/>
      <c r="D23" s="18" t="s">
        <v>30</v>
      </c>
      <c r="E23" s="683">
        <v>55.001020101119998</v>
      </c>
      <c r="F23" s="25">
        <f t="shared" si="2"/>
        <v>55.001020101119998</v>
      </c>
      <c r="G23" s="144">
        <f t="shared" si="3"/>
        <v>1.02010112E-3</v>
      </c>
      <c r="H23" s="25">
        <f t="array" ref="H23">(IF(COUNT(I23,K23,N23,Q23,R23,S23)&lt;4,SUM(I23,K23,N23,Q23,R23,S23),SUM(LARGE((I23,K23,N23,Q23,R23,S23),{1;2;3;4}))))+(IF(COUNT(J23,L23,M23,O23,P23,T23)&lt;4,SUM(J23,L23,M23,O23,P23,T23),SUM(LARGE((J23,L23,M23,O23,P23,T23),{1;2;3;4}))))</f>
        <v>55</v>
      </c>
      <c r="I23" s="631">
        <v>4</v>
      </c>
      <c r="J23" s="631" t="s">
        <v>677</v>
      </c>
      <c r="K23" s="631">
        <v>3</v>
      </c>
      <c r="L23" s="631" t="s">
        <v>677</v>
      </c>
      <c r="M23" s="185"/>
      <c r="N23" s="361">
        <v>7</v>
      </c>
      <c r="O23" s="185"/>
      <c r="P23" s="361">
        <v>2</v>
      </c>
      <c r="Q23" s="361">
        <v>12</v>
      </c>
      <c r="R23" s="361">
        <v>20</v>
      </c>
      <c r="S23" s="361">
        <v>12</v>
      </c>
      <c r="T23" s="361">
        <v>2</v>
      </c>
      <c r="U23" s="602">
        <f t="shared" si="4"/>
        <v>8</v>
      </c>
      <c r="V23" s="603">
        <f t="shared" si="5"/>
        <v>3</v>
      </c>
      <c r="W23" s="604">
        <f t="shared" si="6"/>
        <v>1</v>
      </c>
      <c r="X23" s="682">
        <f t="shared" si="7"/>
        <v>0</v>
      </c>
    </row>
    <row r="24" spans="1:24" s="2" customFormat="1" x14ac:dyDescent="0.2">
      <c r="A24" s="24">
        <f t="shared" si="1"/>
        <v>16</v>
      </c>
      <c r="B24" s="143">
        <v>16</v>
      </c>
      <c r="C24" s="364"/>
      <c r="D24" s="163" t="s">
        <v>261</v>
      </c>
      <c r="E24" s="164">
        <v>55.00020102002</v>
      </c>
      <c r="F24" s="25">
        <f t="shared" si="2"/>
        <v>55.00020102002</v>
      </c>
      <c r="G24" s="144">
        <f t="shared" si="3"/>
        <v>2.0102002E-4</v>
      </c>
      <c r="H24" s="25">
        <f t="array" ref="H24">(IF(COUNT(I24,K24,N24,Q24,R24,S24)&lt;4,SUM(I24,K24,N24,Q24,R24,S24),SUM(LARGE((I24,K24,N24,Q24,R24,S24),{1;2;3;4}))))+(IF(COUNT(J24,L24,M24,O24,P24,T24)&lt;4,SUM(J24,L24,M24,O24,P24,T24),SUM(LARGE((J24,L24,M24,O24,P24,T24),{1;2;3;4}))))</f>
        <v>55</v>
      </c>
      <c r="I24" s="631" t="s">
        <v>677</v>
      </c>
      <c r="J24" s="185">
        <v>9</v>
      </c>
      <c r="K24" s="631" t="s">
        <v>677</v>
      </c>
      <c r="L24" s="185">
        <v>2</v>
      </c>
      <c r="M24" s="361">
        <v>5</v>
      </c>
      <c r="N24" s="361">
        <v>5</v>
      </c>
      <c r="O24" s="631" t="s">
        <v>677</v>
      </c>
      <c r="P24" s="631" t="s">
        <v>677</v>
      </c>
      <c r="Q24" s="185"/>
      <c r="R24" s="361">
        <v>16</v>
      </c>
      <c r="S24" s="361">
        <v>16</v>
      </c>
      <c r="T24" s="361">
        <v>2</v>
      </c>
      <c r="U24" s="602">
        <f t="shared" si="4"/>
        <v>7</v>
      </c>
      <c r="V24" s="603">
        <f t="shared" si="5"/>
        <v>2</v>
      </c>
      <c r="W24" s="604">
        <f t="shared" si="6"/>
        <v>0</v>
      </c>
      <c r="X24" s="682">
        <f t="shared" si="7"/>
        <v>0</v>
      </c>
    </row>
    <row r="25" spans="1:24" s="2" customFormat="1" x14ac:dyDescent="0.2">
      <c r="A25" s="24">
        <f t="shared" si="1"/>
        <v>17</v>
      </c>
      <c r="B25" s="143">
        <v>17</v>
      </c>
      <c r="C25" s="364"/>
      <c r="D25" s="186" t="s">
        <v>38</v>
      </c>
      <c r="E25" s="164">
        <v>54.000300001009997</v>
      </c>
      <c r="F25" s="25">
        <f t="shared" si="2"/>
        <v>54.000300001009997</v>
      </c>
      <c r="G25" s="144">
        <f t="shared" si="3"/>
        <v>3.0000101E-4</v>
      </c>
      <c r="H25" s="25">
        <f t="array" ref="H25">(IF(COUNT(I25,K25,N25,Q25,R25,S25)&lt;4,SUM(I25,K25,N25,Q25,R25,S25),SUM(LARGE((I25,K25,N25,Q25,R25,S25),{1;2;3;4}))))+(IF(COUNT(J25,L25,M25,O25,P25,T25)&lt;4,SUM(J25,L25,M25,O25,P25,T25),SUM(LARGE((J25,L25,M25,O25,P25,T25),{1;2;3;4}))))</f>
        <v>54</v>
      </c>
      <c r="I25" s="631" t="s">
        <v>677</v>
      </c>
      <c r="J25" s="185">
        <v>16</v>
      </c>
      <c r="K25" s="631" t="s">
        <v>677</v>
      </c>
      <c r="L25" s="185">
        <v>2</v>
      </c>
      <c r="M25" s="631" t="s">
        <v>677</v>
      </c>
      <c r="N25" s="361">
        <v>16</v>
      </c>
      <c r="O25" s="185">
        <v>16</v>
      </c>
      <c r="P25" s="631" t="s">
        <v>677</v>
      </c>
      <c r="Q25" s="185"/>
      <c r="R25" s="185"/>
      <c r="S25" s="185"/>
      <c r="T25" s="361">
        <v>4</v>
      </c>
      <c r="U25" s="602">
        <f t="shared" si="4"/>
        <v>5</v>
      </c>
      <c r="V25" s="603">
        <f t="shared" si="5"/>
        <v>3</v>
      </c>
      <c r="W25" s="604">
        <f t="shared" si="6"/>
        <v>0</v>
      </c>
      <c r="X25" s="682">
        <f t="shared" si="7"/>
        <v>0</v>
      </c>
    </row>
    <row r="26" spans="1:24" s="2" customFormat="1" x14ac:dyDescent="0.2">
      <c r="A26" s="24">
        <f t="shared" si="1"/>
        <v>18</v>
      </c>
      <c r="B26" s="143">
        <v>18</v>
      </c>
      <c r="C26" s="364"/>
      <c r="D26" s="179" t="s">
        <v>37</v>
      </c>
      <c r="E26" s="164">
        <v>53.001001210040002</v>
      </c>
      <c r="F26" s="25">
        <f t="shared" si="2"/>
        <v>53.001001210040002</v>
      </c>
      <c r="G26" s="144">
        <f t="shared" si="3"/>
        <v>1.0012100399999998E-3</v>
      </c>
      <c r="H26" s="25">
        <f t="array" ref="H26">(IF(COUNT(I26,K26,N26,Q26,R26,S26)&lt;4,SUM(I26,K26,N26,Q26,R26,S26),SUM(LARGE((I26,K26,N26,Q26,R26,S26),{1;2;3;4}))))+(IF(COUNT(J26,L26,M26,O26,P26,T26)&lt;4,SUM(J26,L26,M26,O26,P26,T26),SUM(LARGE((J26,L26,M26,O26,P26,T26),{1;2;3;4}))))</f>
        <v>53</v>
      </c>
      <c r="I26" s="631">
        <v>1</v>
      </c>
      <c r="J26" s="631">
        <v>2</v>
      </c>
      <c r="K26" s="631" t="s">
        <v>677</v>
      </c>
      <c r="L26" s="631">
        <v>2</v>
      </c>
      <c r="M26" s="361">
        <v>2</v>
      </c>
      <c r="N26" s="361">
        <v>9</v>
      </c>
      <c r="O26" s="185">
        <v>2</v>
      </c>
      <c r="P26" s="361">
        <v>7</v>
      </c>
      <c r="Q26" s="361">
        <v>5</v>
      </c>
      <c r="R26" s="361">
        <v>1</v>
      </c>
      <c r="S26" s="361">
        <v>20</v>
      </c>
      <c r="T26" s="361">
        <v>7</v>
      </c>
      <c r="U26" s="602">
        <f t="shared" si="4"/>
        <v>11</v>
      </c>
      <c r="V26" s="603">
        <f t="shared" si="5"/>
        <v>1</v>
      </c>
      <c r="W26" s="604">
        <f t="shared" si="6"/>
        <v>1</v>
      </c>
      <c r="X26" s="682">
        <f t="shared" si="7"/>
        <v>0</v>
      </c>
    </row>
    <row r="27" spans="1:24" s="2" customFormat="1" x14ac:dyDescent="0.2">
      <c r="A27" s="24">
        <f t="shared" si="1"/>
        <v>19</v>
      </c>
      <c r="B27" s="143">
        <v>19</v>
      </c>
      <c r="C27" s="364"/>
      <c r="D27" s="27" t="s">
        <v>45</v>
      </c>
      <c r="E27" s="164">
        <v>47.000100310039997</v>
      </c>
      <c r="F27" s="25">
        <f t="shared" si="2"/>
        <v>47.000100310039997</v>
      </c>
      <c r="G27" s="144">
        <f t="shared" si="3"/>
        <v>1.0031004E-4</v>
      </c>
      <c r="H27" s="25">
        <f t="array" ref="H27">(IF(COUNT(I27,K27,N27,Q27,R27,S27)&lt;4,SUM(I27,K27,N27,Q27,R27,S27),SUM(LARGE((I27,K27,N27,Q27,R27,S27),{1;2;3;4}))))+(IF(COUNT(J27,L27,M27,O27,P27,T27)&lt;4,SUM(J27,L27,M27,O27,P27,T27),SUM(LARGE((J27,L27,M27,O27,P27,T27),{1;2;3;4}))))</f>
        <v>47</v>
      </c>
      <c r="I27" s="631">
        <v>1</v>
      </c>
      <c r="J27" s="631">
        <v>2</v>
      </c>
      <c r="K27" s="185">
        <v>16</v>
      </c>
      <c r="L27" s="631">
        <v>2</v>
      </c>
      <c r="M27" s="361">
        <v>2</v>
      </c>
      <c r="N27" s="631">
        <v>1</v>
      </c>
      <c r="O27" s="185">
        <v>2</v>
      </c>
      <c r="P27" s="361">
        <v>7</v>
      </c>
      <c r="Q27" s="361">
        <v>5</v>
      </c>
      <c r="R27" s="361">
        <v>1</v>
      </c>
      <c r="S27" s="361">
        <v>7</v>
      </c>
      <c r="T27" s="361">
        <v>7</v>
      </c>
      <c r="U27" s="602">
        <f t="shared" si="4"/>
        <v>12</v>
      </c>
      <c r="V27" s="603">
        <f t="shared" si="5"/>
        <v>1</v>
      </c>
      <c r="W27" s="604">
        <f t="shared" si="6"/>
        <v>0</v>
      </c>
      <c r="X27" s="682">
        <f t="shared" si="7"/>
        <v>0</v>
      </c>
    </row>
    <row r="28" spans="1:24" s="2" customFormat="1" x14ac:dyDescent="0.2">
      <c r="A28" s="24">
        <f t="shared" si="1"/>
        <v>20</v>
      </c>
      <c r="B28" s="143">
        <v>20</v>
      </c>
      <c r="C28" s="364">
        <v>2</v>
      </c>
      <c r="D28" s="151" t="s">
        <v>49</v>
      </c>
      <c r="E28" s="683">
        <v>45.00010300001</v>
      </c>
      <c r="F28" s="25">
        <f t="shared" si="2"/>
        <v>45.00010300001</v>
      </c>
      <c r="G28" s="144">
        <f t="shared" si="3"/>
        <v>1.0300001000000001E-4</v>
      </c>
      <c r="H28" s="25">
        <f t="array" ref="H28">(IF(COUNT(I28,K28,N28,Q28,R28,S28)&lt;4,SUM(I28,K28,N28,Q28,R28,S28),SUM(LARGE((I28,K28,N28,Q28,R28,S28),{1;2;3;4}))))+(IF(COUNT(J28,L28,M28,O28,P28,T28)&lt;4,SUM(J28,L28,M28,O28,P28,T28),SUM(LARGE((J28,L28,M28,O28,P28,T28),{1;2;3;4}))))</f>
        <v>45</v>
      </c>
      <c r="I28" s="631" t="s">
        <v>677</v>
      </c>
      <c r="J28" s="185">
        <v>2</v>
      </c>
      <c r="K28" s="631" t="s">
        <v>677</v>
      </c>
      <c r="L28" s="631" t="s">
        <v>677</v>
      </c>
      <c r="M28" s="631" t="s">
        <v>677</v>
      </c>
      <c r="N28" s="185"/>
      <c r="O28" s="185"/>
      <c r="P28" s="361"/>
      <c r="Q28" s="361">
        <v>9</v>
      </c>
      <c r="R28" s="361">
        <v>9</v>
      </c>
      <c r="S28" s="361">
        <v>9</v>
      </c>
      <c r="T28" s="361">
        <v>16</v>
      </c>
      <c r="U28" s="602">
        <f t="shared" si="4"/>
        <v>5</v>
      </c>
      <c r="V28" s="603">
        <f t="shared" si="5"/>
        <v>1</v>
      </c>
      <c r="W28" s="604">
        <f t="shared" si="6"/>
        <v>0</v>
      </c>
      <c r="X28" s="682">
        <f t="shared" si="7"/>
        <v>0</v>
      </c>
    </row>
    <row r="29" spans="1:24" s="2" customFormat="1" x14ac:dyDescent="0.2">
      <c r="A29" s="24">
        <f t="shared" si="1"/>
        <v>21</v>
      </c>
      <c r="B29" s="143">
        <v>21</v>
      </c>
      <c r="C29" s="364"/>
      <c r="D29" s="186" t="s">
        <v>177</v>
      </c>
      <c r="E29" s="164">
        <v>41.001000110139998</v>
      </c>
      <c r="F29" s="25">
        <f t="shared" si="2"/>
        <v>41.001000110139998</v>
      </c>
      <c r="G29" s="144">
        <f t="shared" si="3"/>
        <v>1.0001101400000001E-3</v>
      </c>
      <c r="H29" s="25">
        <f t="array" ref="H29">(IF(COUNT(I29,K29,N29,Q29,R29,S29)&lt;4,SUM(I29,K29,N29,Q29,R29,S29),SUM(LARGE((I29,K29,N29,Q29,R29,S29),{1;2;3;4}))))+(IF(COUNT(J29,L29,M29,O29,P29,T29)&lt;4,SUM(J29,L29,M29,O29,P29,T29),SUM(LARGE((J29,L29,M29,O29,P29,T29),{1;2;3;4}))))</f>
        <v>41</v>
      </c>
      <c r="I29" s="631">
        <v>1</v>
      </c>
      <c r="J29" s="185">
        <v>20</v>
      </c>
      <c r="K29" s="185">
        <v>7</v>
      </c>
      <c r="L29" s="631">
        <v>2</v>
      </c>
      <c r="M29" s="631">
        <v>2</v>
      </c>
      <c r="N29" s="361">
        <v>1</v>
      </c>
      <c r="O29" s="185">
        <v>5</v>
      </c>
      <c r="P29" s="361">
        <v>2</v>
      </c>
      <c r="Q29" s="361">
        <v>1</v>
      </c>
      <c r="R29" s="631" t="s">
        <v>677</v>
      </c>
      <c r="S29" s="361">
        <v>3</v>
      </c>
      <c r="T29" s="361">
        <v>2</v>
      </c>
      <c r="U29" s="602">
        <f t="shared" si="4"/>
        <v>11</v>
      </c>
      <c r="V29" s="603">
        <f t="shared" si="5"/>
        <v>1</v>
      </c>
      <c r="W29" s="604">
        <f t="shared" si="6"/>
        <v>0</v>
      </c>
      <c r="X29" s="682">
        <f t="shared" si="7"/>
        <v>0</v>
      </c>
    </row>
    <row r="30" spans="1:24" s="2" customFormat="1" x14ac:dyDescent="0.2">
      <c r="A30" s="24">
        <f t="shared" si="1"/>
        <v>22</v>
      </c>
      <c r="B30" s="143">
        <v>22</v>
      </c>
      <c r="C30" s="364"/>
      <c r="D30" s="362" t="s">
        <v>519</v>
      </c>
      <c r="E30" s="164">
        <v>40.002000000000002</v>
      </c>
      <c r="F30" s="25">
        <f t="shared" si="2"/>
        <v>40.002000000000002</v>
      </c>
      <c r="G30" s="144">
        <f t="shared" si="3"/>
        <v>2E-3</v>
      </c>
      <c r="H30" s="25">
        <f t="array" ref="H30">(IF(COUNT(I30,K30,N30,Q30,R30,S30)&lt;4,SUM(I30,K30,N30,Q30,R30,S30),SUM(LARGE((I30,K30,N30,Q30,R30,S30),{1;2;3;4}))))+(IF(COUNT(J30,L30,M30,O30,P30,T30)&lt;4,SUM(J30,L30,M30,O30,P30,T30),SUM(LARGE((J30,L30,M30,O30,P30,T30),{1;2;3;4}))))</f>
        <v>40</v>
      </c>
      <c r="I30" s="631" t="s">
        <v>677</v>
      </c>
      <c r="J30" s="631" t="s">
        <v>677</v>
      </c>
      <c r="K30" s="631" t="s">
        <v>677</v>
      </c>
      <c r="L30" s="631" t="s">
        <v>677</v>
      </c>
      <c r="M30" s="185"/>
      <c r="N30" s="185"/>
      <c r="O30" s="185"/>
      <c r="P30" s="361">
        <v>20</v>
      </c>
      <c r="Q30" s="361"/>
      <c r="R30" s="185"/>
      <c r="S30" s="185"/>
      <c r="T30" s="361">
        <v>20</v>
      </c>
      <c r="U30" s="602">
        <f t="shared" si="4"/>
        <v>2</v>
      </c>
      <c r="V30" s="603">
        <f t="shared" si="5"/>
        <v>2</v>
      </c>
      <c r="W30" s="604">
        <f t="shared" si="6"/>
        <v>0</v>
      </c>
      <c r="X30" s="682">
        <f t="shared" si="7"/>
        <v>0</v>
      </c>
    </row>
    <row r="31" spans="1:24" s="2" customFormat="1" x14ac:dyDescent="0.2">
      <c r="A31" s="24">
        <f t="shared" si="1"/>
        <v>23</v>
      </c>
      <c r="B31" s="143">
        <v>23</v>
      </c>
      <c r="C31" s="364"/>
      <c r="D31" s="27" t="s">
        <v>34</v>
      </c>
      <c r="E31" s="164">
        <v>40.000100120029998</v>
      </c>
      <c r="F31" s="25">
        <f t="shared" si="2"/>
        <v>40.000100120029998</v>
      </c>
      <c r="G31" s="144">
        <f t="shared" si="3"/>
        <v>1.0012003000000001E-4</v>
      </c>
      <c r="H31" s="25">
        <f t="array" ref="H31">(IF(COUNT(I31,K31,N31,Q31,R31,S31)&lt;4,SUM(I31,K31,N31,Q31,R31,S31),SUM(LARGE((I31,K31,N31,Q31,R31,S31),{1;2;3;4}))))+(IF(COUNT(J31,L31,M31,O31,P31,T31)&lt;4,SUM(J31,L31,M31,O31,P31,T31),SUM(LARGE((J31,L31,M31,O31,P31,T31),{1;2;3;4}))))</f>
        <v>40</v>
      </c>
      <c r="I31" s="631">
        <v>1</v>
      </c>
      <c r="J31" s="185">
        <v>2</v>
      </c>
      <c r="K31" s="185">
        <v>5</v>
      </c>
      <c r="L31" s="631" t="s">
        <v>677</v>
      </c>
      <c r="M31" s="631" t="s">
        <v>677</v>
      </c>
      <c r="N31" s="631">
        <v>1</v>
      </c>
      <c r="O31" s="185">
        <v>7</v>
      </c>
      <c r="P31" s="361">
        <v>2</v>
      </c>
      <c r="Q31" s="361">
        <v>16</v>
      </c>
      <c r="R31" s="361">
        <v>1</v>
      </c>
      <c r="S31" s="361">
        <v>5</v>
      </c>
      <c r="T31" s="361">
        <v>2</v>
      </c>
      <c r="U31" s="602">
        <f t="shared" si="4"/>
        <v>10</v>
      </c>
      <c r="V31" s="603">
        <f t="shared" si="5"/>
        <v>1</v>
      </c>
      <c r="W31" s="604">
        <f t="shared" si="6"/>
        <v>0</v>
      </c>
      <c r="X31" s="682">
        <f t="shared" si="7"/>
        <v>0</v>
      </c>
    </row>
    <row r="32" spans="1:24" s="2" customFormat="1" x14ac:dyDescent="0.2">
      <c r="A32" s="24">
        <f t="shared" si="1"/>
        <v>24</v>
      </c>
      <c r="B32" s="143">
        <v>24</v>
      </c>
      <c r="C32" s="364"/>
      <c r="D32" s="362" t="s">
        <v>438</v>
      </c>
      <c r="E32" s="164">
        <v>39.010010000009999</v>
      </c>
      <c r="F32" s="25">
        <f t="shared" si="2"/>
        <v>39.010010000009999</v>
      </c>
      <c r="G32" s="144">
        <f t="shared" si="3"/>
        <v>1.0010000010000001E-2</v>
      </c>
      <c r="H32" s="25">
        <f t="array" ref="H32">(IF(COUNT(I32,K32,N32,Q32,R32,S32)&lt;4,SUM(I32,K32,N32,Q32,R32,S32),SUM(LARGE((I32,K32,N32,Q32,R32,S32),{1;2;3;4}))))+(IF(COUNT(J32,L32,M32,O32,P32,T32)&lt;4,SUM(J32,L32,M32,O32,P32,T32),SUM(LARGE((J32,L32,M32,O32,P32,T32),{1;2;3;4}))))</f>
        <v>39</v>
      </c>
      <c r="I32" s="631" t="s">
        <v>677</v>
      </c>
      <c r="J32" s="631" t="s">
        <v>677</v>
      </c>
      <c r="K32" s="631" t="s">
        <v>677</v>
      </c>
      <c r="L32" s="185">
        <v>25</v>
      </c>
      <c r="M32" s="361">
        <v>2</v>
      </c>
      <c r="N32" s="185"/>
      <c r="O32" s="631" t="s">
        <v>677</v>
      </c>
      <c r="P32" s="185"/>
      <c r="Q32" s="185"/>
      <c r="R32" s="185"/>
      <c r="S32" s="185"/>
      <c r="T32" s="361">
        <v>12</v>
      </c>
      <c r="U32" s="602">
        <f t="shared" si="4"/>
        <v>3</v>
      </c>
      <c r="V32" s="603">
        <f t="shared" si="5"/>
        <v>1</v>
      </c>
      <c r="W32" s="604">
        <f t="shared" si="6"/>
        <v>1</v>
      </c>
      <c r="X32" s="682">
        <f t="shared" si="7"/>
        <v>1</v>
      </c>
    </row>
    <row r="33" spans="1:24" s="2" customFormat="1" x14ac:dyDescent="0.2">
      <c r="A33" s="24">
        <f t="shared" si="1"/>
        <v>25</v>
      </c>
      <c r="B33" s="143">
        <v>25</v>
      </c>
      <c r="C33" s="364"/>
      <c r="D33" s="186" t="s">
        <v>54</v>
      </c>
      <c r="E33" s="164">
        <v>39.00002010003</v>
      </c>
      <c r="F33" s="25">
        <f t="shared" si="2"/>
        <v>39.00002010003</v>
      </c>
      <c r="G33" s="144">
        <f t="shared" si="3"/>
        <v>2.0100029999999999E-5</v>
      </c>
      <c r="H33" s="25">
        <f t="array" ref="H33">(IF(COUNT(I33,K33,N33,Q33,R33,S33)&lt;4,SUM(I33,K33,N33,Q33,R33,S33),SUM(LARGE((I33,K33,N33,Q33,R33,S33),{1;2;3;4}))))+(IF(COUNT(J33,L33,M33,O33,P33,T33)&lt;4,SUM(J33,L33,M33,O33,P33,T33),SUM(LARGE((J33,L33,M33,O33,P33,T33),{1;2;3;4}))))</f>
        <v>39</v>
      </c>
      <c r="I33" s="185">
        <v>12</v>
      </c>
      <c r="J33" s="185">
        <v>12</v>
      </c>
      <c r="K33" s="631">
        <v>1</v>
      </c>
      <c r="L33" s="185">
        <v>2</v>
      </c>
      <c r="M33" s="361">
        <v>2</v>
      </c>
      <c r="N33" s="361">
        <v>1</v>
      </c>
      <c r="O33" s="185">
        <v>2</v>
      </c>
      <c r="P33" s="631" t="s">
        <v>677</v>
      </c>
      <c r="Q33" s="361">
        <v>7</v>
      </c>
      <c r="R33" s="361">
        <v>1</v>
      </c>
      <c r="S33" s="631" t="s">
        <v>677</v>
      </c>
      <c r="T33" s="631" t="s">
        <v>677</v>
      </c>
      <c r="U33" s="602">
        <f t="shared" si="4"/>
        <v>9</v>
      </c>
      <c r="V33" s="603">
        <f t="shared" si="5"/>
        <v>1</v>
      </c>
      <c r="W33" s="604">
        <f t="shared" si="6"/>
        <v>0</v>
      </c>
      <c r="X33" s="682">
        <f t="shared" si="7"/>
        <v>0</v>
      </c>
    </row>
    <row r="34" spans="1:24" s="2" customFormat="1" x14ac:dyDescent="0.2">
      <c r="A34" s="24">
        <f t="shared" si="1"/>
        <v>26</v>
      </c>
      <c r="B34" s="143">
        <v>26</v>
      </c>
      <c r="C34" s="364"/>
      <c r="D34" s="146" t="s">
        <v>33</v>
      </c>
      <c r="E34" s="164">
        <v>34.000010110129999</v>
      </c>
      <c r="F34" s="25">
        <f t="shared" si="2"/>
        <v>34.000010110129999</v>
      </c>
      <c r="G34" s="144">
        <f t="shared" si="3"/>
        <v>1.0110130000000002E-5</v>
      </c>
      <c r="H34" s="25">
        <f t="array" ref="H34">(IF(COUNT(I34,K34,N34,Q34,R34,S34)&lt;4,SUM(I34,K34,N34,Q34,R34,S34),SUM(LARGE((I34,K34,N34,Q34,R34,S34),{1;2;3;4}))))+(IF(COUNT(J34,L34,M34,O34,P34,T34)&lt;4,SUM(J34,L34,M34,O34,P34,T34),SUM(LARGE((J34,L34,M34,O34,P34,T34),{1;2;3;4}))))</f>
        <v>34</v>
      </c>
      <c r="I34" s="631">
        <v>1</v>
      </c>
      <c r="J34" s="631" t="s">
        <v>677</v>
      </c>
      <c r="K34" s="631">
        <v>1</v>
      </c>
      <c r="L34" s="185">
        <v>2</v>
      </c>
      <c r="M34" s="631" t="s">
        <v>677</v>
      </c>
      <c r="N34" s="361">
        <v>1</v>
      </c>
      <c r="O34" s="185">
        <v>2</v>
      </c>
      <c r="P34" s="361">
        <v>2</v>
      </c>
      <c r="Q34" s="361">
        <v>12</v>
      </c>
      <c r="R34" s="361">
        <v>3</v>
      </c>
      <c r="S34" s="361">
        <v>7</v>
      </c>
      <c r="T34" s="361">
        <v>5</v>
      </c>
      <c r="U34" s="602">
        <f t="shared" si="4"/>
        <v>10</v>
      </c>
      <c r="V34" s="603">
        <f t="shared" si="5"/>
        <v>1</v>
      </c>
      <c r="W34" s="604">
        <f t="shared" si="6"/>
        <v>0</v>
      </c>
      <c r="X34" s="682">
        <f t="shared" si="7"/>
        <v>0</v>
      </c>
    </row>
    <row r="35" spans="1:24" s="2" customFormat="1" x14ac:dyDescent="0.2">
      <c r="A35" s="24">
        <f t="shared" si="1"/>
        <v>27</v>
      </c>
      <c r="B35" s="143">
        <v>27</v>
      </c>
      <c r="C35" s="364"/>
      <c r="D35" s="186" t="s">
        <v>58</v>
      </c>
      <c r="E35" s="164">
        <v>33.001001000019997</v>
      </c>
      <c r="F35" s="25">
        <f t="shared" si="2"/>
        <v>33.001001000019997</v>
      </c>
      <c r="G35" s="144">
        <f t="shared" si="3"/>
        <v>1.0010000199999999E-3</v>
      </c>
      <c r="H35" s="25">
        <f t="array" ref="H35">(IF(COUNT(I35,K35,N35,Q35,R35,S35)&lt;4,SUM(I35,K35,N35,Q35,R35,S35),SUM(LARGE((I35,K35,N35,Q35,R35,S35),{1;2;3;4}))))+(IF(COUNT(J35,L35,M35,O35,P35,T35)&lt;4,SUM(J35,L35,M35,O35,P35,T35),SUM(LARGE((J35,L35,M35,O35,P35,T35),{1;2;3;4}))))</f>
        <v>33</v>
      </c>
      <c r="I35" s="631" t="s">
        <v>677</v>
      </c>
      <c r="J35" s="185">
        <v>9</v>
      </c>
      <c r="K35" s="185">
        <v>20</v>
      </c>
      <c r="L35" s="185">
        <v>2</v>
      </c>
      <c r="M35" s="361">
        <v>2</v>
      </c>
      <c r="N35" s="631" t="s">
        <v>677</v>
      </c>
      <c r="O35" s="631" t="s">
        <v>677</v>
      </c>
      <c r="P35" s="631" t="s">
        <v>677</v>
      </c>
      <c r="Q35" s="185"/>
      <c r="R35" s="185"/>
      <c r="S35" s="185"/>
      <c r="T35" s="185"/>
      <c r="U35" s="602">
        <f t="shared" si="4"/>
        <v>4</v>
      </c>
      <c r="V35" s="603">
        <f t="shared" si="5"/>
        <v>1</v>
      </c>
      <c r="W35" s="604">
        <f t="shared" si="6"/>
        <v>1</v>
      </c>
      <c r="X35" s="682">
        <f t="shared" si="7"/>
        <v>0</v>
      </c>
    </row>
    <row r="36" spans="1:24" s="2" customFormat="1" x14ac:dyDescent="0.2">
      <c r="A36" s="24">
        <f t="shared" si="1"/>
        <v>28</v>
      </c>
      <c r="B36" s="143">
        <v>28</v>
      </c>
      <c r="C36" s="364"/>
      <c r="D36" s="186" t="s">
        <v>28</v>
      </c>
      <c r="E36" s="164">
        <v>31.00100001002</v>
      </c>
      <c r="F36" s="25">
        <f t="shared" si="2"/>
        <v>31.00100001002</v>
      </c>
      <c r="G36" s="144">
        <f t="shared" si="3"/>
        <v>1.0000100199999999E-3</v>
      </c>
      <c r="H36" s="25">
        <f t="array" ref="H36">(IF(COUNT(I36,K36,N36,Q36,R36,S36)&lt;4,SUM(I36,K36,N36,Q36,R36,S36),SUM(LARGE((I36,K36,N36,Q36,R36,S36),{1;2;3;4}))))+(IF(COUNT(J36,L36,M36,O36,P36,T36)&lt;4,SUM(J36,L36,M36,O36,P36,T36),SUM(LARGE((J36,L36,M36,O36,P36,T36),{1;2;3;4}))))</f>
        <v>31</v>
      </c>
      <c r="I36" s="185">
        <v>1</v>
      </c>
      <c r="J36" s="185">
        <v>2</v>
      </c>
      <c r="K36" s="631" t="s">
        <v>677</v>
      </c>
      <c r="L36" s="631" t="s">
        <v>677</v>
      </c>
      <c r="M36" s="631" t="s">
        <v>677</v>
      </c>
      <c r="N36" s="631" t="s">
        <v>677</v>
      </c>
      <c r="O36" s="185">
        <v>20</v>
      </c>
      <c r="P36" s="185"/>
      <c r="Q36" s="185"/>
      <c r="R36" s="361">
        <v>1</v>
      </c>
      <c r="S36" s="361">
        <v>5</v>
      </c>
      <c r="T36" s="361">
        <v>2</v>
      </c>
      <c r="U36" s="602">
        <f t="shared" si="4"/>
        <v>6</v>
      </c>
      <c r="V36" s="603">
        <f t="shared" si="5"/>
        <v>1</v>
      </c>
      <c r="W36" s="604">
        <f t="shared" si="6"/>
        <v>0</v>
      </c>
      <c r="X36" s="682">
        <f t="shared" si="7"/>
        <v>0</v>
      </c>
    </row>
    <row r="37" spans="1:24" s="2" customFormat="1" x14ac:dyDescent="0.2">
      <c r="A37" s="24">
        <f t="shared" si="1"/>
        <v>29</v>
      </c>
      <c r="B37" s="143">
        <v>29</v>
      </c>
      <c r="C37" s="364"/>
      <c r="D37" s="186" t="s">
        <v>66</v>
      </c>
      <c r="E37" s="164">
        <v>31.00001010015</v>
      </c>
      <c r="F37" s="25">
        <f t="shared" si="2"/>
        <v>31.00001010015</v>
      </c>
      <c r="G37" s="144">
        <f t="shared" si="3"/>
        <v>1.0100150000000002E-5</v>
      </c>
      <c r="H37" s="25">
        <f t="array" ref="H37">(IF(COUNT(I37,K37,N37,Q37,R37,S37)&lt;4,SUM(I37,K37,N37,Q37,R37,S37),SUM(LARGE((I37,K37,N37,Q37,R37,S37),{1;2;3;4}))))+(IF(COUNT(J37,L37,M37,O37,P37,T37)&lt;4,SUM(J37,L37,M37,O37,P37,T37),SUM(LARGE((J37,L37,M37,O37,P37,T37),{1;2;3;4}))))</f>
        <v>31</v>
      </c>
      <c r="I37" s="185">
        <v>12</v>
      </c>
      <c r="J37" s="185">
        <v>2</v>
      </c>
      <c r="K37" s="631">
        <v>1</v>
      </c>
      <c r="L37" s="631">
        <v>2</v>
      </c>
      <c r="M37" s="361">
        <v>2</v>
      </c>
      <c r="N37" s="631">
        <v>1</v>
      </c>
      <c r="O37" s="185">
        <v>2</v>
      </c>
      <c r="P37" s="631" t="s">
        <v>677</v>
      </c>
      <c r="Q37" s="361">
        <v>7</v>
      </c>
      <c r="R37" s="361">
        <v>1</v>
      </c>
      <c r="S37" s="361">
        <v>3</v>
      </c>
      <c r="T37" s="361">
        <v>2</v>
      </c>
      <c r="U37" s="602">
        <f t="shared" si="4"/>
        <v>11</v>
      </c>
      <c r="V37" s="603">
        <f t="shared" si="5"/>
        <v>1</v>
      </c>
      <c r="W37" s="604">
        <f t="shared" si="6"/>
        <v>0</v>
      </c>
      <c r="X37" s="682">
        <f t="shared" si="7"/>
        <v>0</v>
      </c>
    </row>
    <row r="38" spans="1:24" s="2" customFormat="1" x14ac:dyDescent="0.2">
      <c r="A38" s="24">
        <f t="shared" si="1"/>
        <v>30</v>
      </c>
      <c r="B38" s="143">
        <v>30</v>
      </c>
      <c r="C38" s="364"/>
      <c r="D38" s="26" t="s">
        <v>61</v>
      </c>
      <c r="E38" s="683">
        <v>30.000011001019999</v>
      </c>
      <c r="F38" s="25">
        <f t="shared" si="2"/>
        <v>30.000011001019999</v>
      </c>
      <c r="G38" s="144">
        <f t="shared" si="3"/>
        <v>1.1001020000000002E-5</v>
      </c>
      <c r="H38" s="25">
        <f t="array" ref="H38">(IF(COUNT(I38,K38,N38,Q38,R38,S38)&lt;4,SUM(I38,K38,N38,Q38,R38,S38),SUM(LARGE((I38,K38,N38,Q38,R38,S38),{1;2;3;4}))))+(IF(COUNT(J38,L38,M38,O38,P38,T38)&lt;4,SUM(J38,L38,M38,O38,P38,T38),SUM(LARGE((J38,L38,M38,O38,P38,T38),{1;2;3;4}))))</f>
        <v>30</v>
      </c>
      <c r="I38" s="185">
        <v>9</v>
      </c>
      <c r="J38" s="631" t="s">
        <v>677</v>
      </c>
      <c r="K38" s="631" t="s">
        <v>677</v>
      </c>
      <c r="L38" s="631" t="s">
        <v>677</v>
      </c>
      <c r="M38" s="185"/>
      <c r="N38" s="361">
        <v>4</v>
      </c>
      <c r="O38" s="185">
        <v>2</v>
      </c>
      <c r="P38" s="361">
        <v>2</v>
      </c>
      <c r="Q38" s="631" t="s">
        <v>677</v>
      </c>
      <c r="R38" s="361">
        <v>1</v>
      </c>
      <c r="S38" s="361">
        <v>12</v>
      </c>
      <c r="T38" s="185"/>
      <c r="U38" s="602">
        <f t="shared" si="4"/>
        <v>6</v>
      </c>
      <c r="V38" s="603">
        <f t="shared" si="5"/>
        <v>1</v>
      </c>
      <c r="W38" s="604">
        <f t="shared" si="6"/>
        <v>0</v>
      </c>
      <c r="X38" s="682">
        <f t="shared" si="7"/>
        <v>0</v>
      </c>
    </row>
    <row r="39" spans="1:24" s="2" customFormat="1" x14ac:dyDescent="0.2">
      <c r="A39" s="24">
        <f t="shared" si="1"/>
        <v>30</v>
      </c>
      <c r="B39" s="143">
        <v>30</v>
      </c>
      <c r="C39" s="364"/>
      <c r="D39" s="18" t="s">
        <v>60</v>
      </c>
      <c r="E39" s="683">
        <v>30.000011001019999</v>
      </c>
      <c r="F39" s="25">
        <f t="shared" si="2"/>
        <v>30.000011001019999</v>
      </c>
      <c r="G39" s="144">
        <f t="shared" si="3"/>
        <v>1.1001020000000002E-5</v>
      </c>
      <c r="H39" s="25">
        <f t="array" ref="H39">(IF(COUNT(I39,K39,N39,Q39,R39,S39)&lt;4,SUM(I39,K39,N39,Q39,R39,S39),SUM(LARGE((I39,K39,N39,Q39,R39,S39),{1;2;3;4}))))+(IF(COUNT(J39,L39,M39,O39,P39,T39)&lt;4,SUM(J39,L39,M39,O39,P39,T39),SUM(LARGE((J39,L39,M39,O39,P39,T39),{1;2;3;4}))))</f>
        <v>30</v>
      </c>
      <c r="I39" s="185">
        <v>9</v>
      </c>
      <c r="J39" s="631" t="s">
        <v>677</v>
      </c>
      <c r="K39" s="631" t="s">
        <v>677</v>
      </c>
      <c r="L39" s="631" t="s">
        <v>677</v>
      </c>
      <c r="M39" s="185"/>
      <c r="N39" s="361">
        <v>4</v>
      </c>
      <c r="O39" s="185">
        <v>2</v>
      </c>
      <c r="P39" s="361">
        <v>2</v>
      </c>
      <c r="Q39" s="631" t="s">
        <v>677</v>
      </c>
      <c r="R39" s="361">
        <v>1</v>
      </c>
      <c r="S39" s="361">
        <v>12</v>
      </c>
      <c r="T39" s="185"/>
      <c r="U39" s="602">
        <f t="shared" si="4"/>
        <v>6</v>
      </c>
      <c r="V39" s="603">
        <f t="shared" si="5"/>
        <v>1</v>
      </c>
      <c r="W39" s="604">
        <f t="shared" si="6"/>
        <v>0</v>
      </c>
      <c r="X39" s="682">
        <f t="shared" si="7"/>
        <v>0</v>
      </c>
    </row>
    <row r="40" spans="1:24" s="2" customFormat="1" x14ac:dyDescent="0.2">
      <c r="A40" s="24">
        <f t="shared" si="1"/>
        <v>32</v>
      </c>
      <c r="B40" s="143">
        <v>32</v>
      </c>
      <c r="C40" s="364"/>
      <c r="D40" s="18" t="s">
        <v>478</v>
      </c>
      <c r="E40" s="683">
        <v>29.001000999999999</v>
      </c>
      <c r="F40" s="25">
        <f t="shared" si="2"/>
        <v>29.001000999999999</v>
      </c>
      <c r="G40" s="144">
        <f t="shared" si="3"/>
        <v>1.0009999999999999E-3</v>
      </c>
      <c r="H40" s="25">
        <f t="array" ref="H40">(IF(COUNT(I40,K40,N40,Q40,R40,S40)&lt;4,SUM(I40,K40,N40,Q40,R40,S40),SUM(LARGE((I40,K40,N40,Q40,R40,S40),{1;2;3;4}))))+(IF(COUNT(J40,L40,M40,O40,P40,T40)&lt;4,SUM(J40,L40,M40,O40,P40,T40),SUM(LARGE((J40,L40,M40,O40,P40,T40),{1;2;3;4}))))</f>
        <v>29</v>
      </c>
      <c r="I40" s="631" t="s">
        <v>677</v>
      </c>
      <c r="J40" s="631" t="s">
        <v>677</v>
      </c>
      <c r="K40" s="631" t="s">
        <v>677</v>
      </c>
      <c r="L40" s="631" t="s">
        <v>677</v>
      </c>
      <c r="M40" s="185"/>
      <c r="N40" s="361">
        <v>20</v>
      </c>
      <c r="O40" s="185">
        <v>9</v>
      </c>
      <c r="P40" s="185"/>
      <c r="Q40" s="185"/>
      <c r="R40" s="185"/>
      <c r="S40" s="185"/>
      <c r="T40" s="185"/>
      <c r="U40" s="602">
        <f t="shared" si="4"/>
        <v>2</v>
      </c>
      <c r="V40" s="603">
        <f t="shared" si="5"/>
        <v>1</v>
      </c>
      <c r="W40" s="604">
        <f t="shared" si="6"/>
        <v>1</v>
      </c>
      <c r="X40" s="682">
        <f t="shared" si="7"/>
        <v>0</v>
      </c>
    </row>
    <row r="41" spans="1:24" s="2" customFormat="1" x14ac:dyDescent="0.2">
      <c r="A41" s="24">
        <f t="shared" ref="A41:A72" si="8">IF((F41=0),"",RANK(F41,F$9:F$122,0))</f>
        <v>33</v>
      </c>
      <c r="B41" s="143">
        <v>33</v>
      </c>
      <c r="C41" s="364"/>
      <c r="D41" s="18" t="s">
        <v>521</v>
      </c>
      <c r="E41" s="683">
        <v>29.000109999999999</v>
      </c>
      <c r="F41" s="25">
        <f t="shared" ref="F41:F72" si="9">G41+H41</f>
        <v>29.000109999999999</v>
      </c>
      <c r="G41" s="144">
        <f t="shared" ref="G41:G72" si="10">COUNTIF(I41:T41,25)/100+COUNTIF(I41:T41,20)/1000+COUNTIF(I41:T41,16)/10000+COUNTIF(I41:T41,12)/100000+COUNTIF(I41:T41,9)/1000000+COUNTIF(I41:T41,7)/10000000+COUNTIF(I41:T41,5)/100000000+COUNTIF(I41:T41,4)/1000000000+COUNTIF(I41:T41,3)/10000000000+COUNTIF(I41:T41,2)/100000000000</f>
        <v>1.1E-4</v>
      </c>
      <c r="H41" s="25">
        <f t="array" ref="H41">(IF(COUNT(I41,K41,N41,Q41,R41,S41)&lt;4,SUM(I41,K41,N41,Q41,R41,S41),SUM(LARGE((I41,K41,N41,Q41,R41,S41),{1;2;3;4}))))+(IF(COUNT(J41,L41,M41,O41,P41,T41)&lt;4,SUM(J41,L41,M41,O41,P41,T41),SUM(LARGE((J41,L41,M41,O41,P41,T41),{1;2;3;4}))))</f>
        <v>29</v>
      </c>
      <c r="I41" s="631" t="s">
        <v>677</v>
      </c>
      <c r="J41" s="631" t="s">
        <v>677</v>
      </c>
      <c r="K41" s="631" t="s">
        <v>677</v>
      </c>
      <c r="L41" s="631" t="s">
        <v>677</v>
      </c>
      <c r="M41" s="185"/>
      <c r="N41" s="185"/>
      <c r="O41" s="185"/>
      <c r="P41" s="361">
        <v>12</v>
      </c>
      <c r="Q41" s="185">
        <v>16</v>
      </c>
      <c r="R41" s="361">
        <v>1</v>
      </c>
      <c r="S41" s="185"/>
      <c r="T41" s="185"/>
      <c r="U41" s="602">
        <f t="shared" ref="U41:U72" si="11">COUNTIF(I41:T41,"&gt;0")</f>
        <v>3</v>
      </c>
      <c r="V41" s="603">
        <f t="shared" ref="V41:V72" si="12">COUNTIF(I41,"&gt;=12")+COUNTIF(K41,"&gt;=12")+COUNTIF(N41,"&gt;=12")+COUNTIF(Q41:S41,"&gt;=12")+COUNTIF(J41,"&gt;=16")+COUNTIF(L41:M41,"&gt;=16")+COUNTIF(O41:P41,"&gt;=16")+COUNTIF(T41,"&gt;=16")</f>
        <v>1</v>
      </c>
      <c r="W41" s="604">
        <f t="shared" ref="W41:W72" si="13">COUNTIF(I41,"=20")+COUNTIF(K41,"=20")+COUNTIF(N41,"=20")+COUNTIF(Q41:S41,"=20")+COUNTIF(I41:T41,"=25")</f>
        <v>0</v>
      </c>
      <c r="X41" s="682">
        <f t="shared" ref="X41:X72" si="14">COUNTIF(I41:T41,"=25")</f>
        <v>0</v>
      </c>
    </row>
    <row r="42" spans="1:24" s="2" customFormat="1" x14ac:dyDescent="0.2">
      <c r="A42" s="24">
        <f t="shared" si="8"/>
        <v>34</v>
      </c>
      <c r="B42" s="143">
        <v>34</v>
      </c>
      <c r="C42" s="364"/>
      <c r="D42" s="27" t="s">
        <v>433</v>
      </c>
      <c r="E42" s="164">
        <v>27.000101000010002</v>
      </c>
      <c r="F42" s="25">
        <f t="shared" si="9"/>
        <v>27.000101000010002</v>
      </c>
      <c r="G42" s="144">
        <f t="shared" si="10"/>
        <v>1.0100001E-4</v>
      </c>
      <c r="H42" s="25">
        <f t="array" ref="H42">(IF(COUNT(I42,K42,N42,Q42,R42,S42)&lt;4,SUM(I42,K42,N42,Q42,R42,S42),SUM(LARGE((I42,K42,N42,Q42,R42,S42),{1;2;3;4}))))+(IF(COUNT(J42,L42,M42,O42,P42,T42)&lt;4,SUM(J42,L42,M42,O42,P42,T42),SUM(LARGE((J42,L42,M42,O42,P42,T42),{1;2;3;4}))))</f>
        <v>27</v>
      </c>
      <c r="I42" s="631" t="s">
        <v>677</v>
      </c>
      <c r="J42" s="631" t="s">
        <v>677</v>
      </c>
      <c r="K42" s="631" t="s">
        <v>677</v>
      </c>
      <c r="L42" s="185">
        <v>16</v>
      </c>
      <c r="M42" s="361">
        <v>2</v>
      </c>
      <c r="N42" s="185"/>
      <c r="O42" s="631" t="s">
        <v>677</v>
      </c>
      <c r="P42" s="185"/>
      <c r="Q42" s="185"/>
      <c r="R42" s="185"/>
      <c r="S42" s="185"/>
      <c r="T42" s="361">
        <v>9</v>
      </c>
      <c r="U42" s="602">
        <f t="shared" si="11"/>
        <v>3</v>
      </c>
      <c r="V42" s="603">
        <f t="shared" si="12"/>
        <v>1</v>
      </c>
      <c r="W42" s="604">
        <f t="shared" si="13"/>
        <v>0</v>
      </c>
      <c r="X42" s="682">
        <f t="shared" si="14"/>
        <v>0</v>
      </c>
    </row>
    <row r="43" spans="1:24" s="2" customFormat="1" x14ac:dyDescent="0.2">
      <c r="A43" s="24">
        <f t="shared" si="8"/>
        <v>35</v>
      </c>
      <c r="B43" s="143">
        <v>35</v>
      </c>
      <c r="C43" s="364"/>
      <c r="D43" s="186" t="s">
        <v>43</v>
      </c>
      <c r="E43" s="164">
        <v>27.000010001220001</v>
      </c>
      <c r="F43" s="25">
        <f t="shared" si="9"/>
        <v>27.000010001220001</v>
      </c>
      <c r="G43" s="144">
        <f t="shared" si="10"/>
        <v>1.0001220000000001E-5</v>
      </c>
      <c r="H43" s="25">
        <f t="array" ref="H43">(IF(COUNT(I43,K43,N43,Q43,R43,S43)&lt;4,SUM(I43,K43,N43,Q43,R43,S43),SUM(LARGE((I43,K43,N43,Q43,R43,S43),{1;2;3;4}))))+(IF(COUNT(J43,L43,M43,O43,P43,T43)&lt;4,SUM(J43,L43,M43,O43,P43,T43),SUM(LARGE((J43,L43,M43,O43,P43,T43),{1;2;3;4}))))</f>
        <v>27</v>
      </c>
      <c r="I43" s="185">
        <v>3</v>
      </c>
      <c r="J43" s="631" t="s">
        <v>677</v>
      </c>
      <c r="K43" s="631">
        <v>1</v>
      </c>
      <c r="L43" s="185">
        <v>12</v>
      </c>
      <c r="M43" s="631" t="s">
        <v>677</v>
      </c>
      <c r="N43" s="361">
        <v>1</v>
      </c>
      <c r="O43" s="185">
        <v>2</v>
      </c>
      <c r="P43" s="185"/>
      <c r="Q43" s="631" t="s">
        <v>677</v>
      </c>
      <c r="R43" s="361">
        <v>4</v>
      </c>
      <c r="S43" s="361">
        <v>3</v>
      </c>
      <c r="T43" s="361">
        <v>2</v>
      </c>
      <c r="U43" s="602">
        <f t="shared" si="11"/>
        <v>8</v>
      </c>
      <c r="V43" s="603">
        <f t="shared" si="12"/>
        <v>0</v>
      </c>
      <c r="W43" s="604">
        <f t="shared" si="13"/>
        <v>0</v>
      </c>
      <c r="X43" s="682">
        <f t="shared" si="14"/>
        <v>0</v>
      </c>
    </row>
    <row r="44" spans="1:24" s="2" customFormat="1" x14ac:dyDescent="0.2">
      <c r="A44" s="24">
        <f t="shared" si="8"/>
        <v>36</v>
      </c>
      <c r="B44" s="143">
        <v>36</v>
      </c>
      <c r="C44" s="364"/>
      <c r="D44" s="18" t="s">
        <v>526</v>
      </c>
      <c r="E44" s="683">
        <v>27.000003</v>
      </c>
      <c r="F44" s="25">
        <f t="shared" si="9"/>
        <v>27.000003</v>
      </c>
      <c r="G44" s="144">
        <f t="shared" si="10"/>
        <v>3.0000000000000001E-6</v>
      </c>
      <c r="H44" s="25">
        <f t="array" ref="H44">(IF(COUNT(I44,K44,N44,Q44,R44,S44)&lt;4,SUM(I44,K44,N44,Q44,R44,S44),SUM(LARGE((I44,K44,N44,Q44,R44,S44),{1;2;3;4}))))+(IF(COUNT(J44,L44,M44,O44,P44,T44)&lt;4,SUM(J44,L44,M44,O44,P44,T44),SUM(LARGE((J44,L44,M44,O44,P44,T44),{1;2;3;4}))))</f>
        <v>27</v>
      </c>
      <c r="I44" s="631" t="s">
        <v>677</v>
      </c>
      <c r="J44" s="631" t="s">
        <v>677</v>
      </c>
      <c r="K44" s="631" t="s">
        <v>677</v>
      </c>
      <c r="L44" s="631" t="s">
        <v>677</v>
      </c>
      <c r="M44" s="185"/>
      <c r="N44" s="185"/>
      <c r="O44" s="185"/>
      <c r="P44" s="361"/>
      <c r="Q44" s="361">
        <v>9</v>
      </c>
      <c r="R44" s="361">
        <v>9</v>
      </c>
      <c r="S44" s="361">
        <v>9</v>
      </c>
      <c r="T44" s="185"/>
      <c r="U44" s="602">
        <f t="shared" si="11"/>
        <v>3</v>
      </c>
      <c r="V44" s="603">
        <f t="shared" si="12"/>
        <v>0</v>
      </c>
      <c r="W44" s="604">
        <f t="shared" si="13"/>
        <v>0</v>
      </c>
      <c r="X44" s="682">
        <f t="shared" si="14"/>
        <v>0</v>
      </c>
    </row>
    <row r="45" spans="1:24" s="2" customFormat="1" x14ac:dyDescent="0.2">
      <c r="A45" s="24">
        <f t="shared" si="8"/>
        <v>37</v>
      </c>
      <c r="B45" s="143">
        <v>37</v>
      </c>
      <c r="C45" s="364"/>
      <c r="D45" s="186" t="s">
        <v>175</v>
      </c>
      <c r="E45" s="164">
        <v>26.01</v>
      </c>
      <c r="F45" s="25">
        <f t="shared" si="9"/>
        <v>26.01</v>
      </c>
      <c r="G45" s="144">
        <f t="shared" si="10"/>
        <v>0.01</v>
      </c>
      <c r="H45" s="25">
        <f t="array" ref="H45">(IF(COUNT(I45,K45,N45,Q45,R45,S45)&lt;4,SUM(I45,K45,N45,Q45,R45,S45),SUM(LARGE((I45,K45,N45,Q45,R45,S45),{1;2;3;4}))))+(IF(COUNT(J45,L45,M45,O45,P45,T45)&lt;4,SUM(J45,L45,M45,O45,P45,T45),SUM(LARGE((J45,L45,M45,O45,P45,T45),{1;2;3;4}))))</f>
        <v>26</v>
      </c>
      <c r="I45" s="185">
        <v>1</v>
      </c>
      <c r="J45" s="631" t="s">
        <v>677</v>
      </c>
      <c r="K45" s="631" t="s">
        <v>677</v>
      </c>
      <c r="L45" s="631" t="s">
        <v>677</v>
      </c>
      <c r="M45" s="185"/>
      <c r="N45" s="631" t="s">
        <v>677</v>
      </c>
      <c r="O45" s="185">
        <v>25</v>
      </c>
      <c r="P45" s="185"/>
      <c r="Q45" s="185"/>
      <c r="R45" s="185"/>
      <c r="S45" s="185"/>
      <c r="T45" s="185"/>
      <c r="U45" s="602">
        <f t="shared" si="11"/>
        <v>2</v>
      </c>
      <c r="V45" s="603">
        <f t="shared" si="12"/>
        <v>1</v>
      </c>
      <c r="W45" s="604">
        <f t="shared" si="13"/>
        <v>1</v>
      </c>
      <c r="X45" s="682">
        <f t="shared" si="14"/>
        <v>1</v>
      </c>
    </row>
    <row r="46" spans="1:24" s="2" customFormat="1" x14ac:dyDescent="0.2">
      <c r="A46" s="24">
        <f t="shared" si="8"/>
        <v>38</v>
      </c>
      <c r="B46" s="143">
        <v>38</v>
      </c>
      <c r="C46" s="364"/>
      <c r="D46" s="18" t="s">
        <v>42</v>
      </c>
      <c r="E46" s="683">
        <v>24.000001100119999</v>
      </c>
      <c r="F46" s="25">
        <f t="shared" si="9"/>
        <v>24.000001100119999</v>
      </c>
      <c r="G46" s="144">
        <f t="shared" si="10"/>
        <v>1.10012E-6</v>
      </c>
      <c r="H46" s="25">
        <f t="array" ref="H46">(IF(COUNT(I46,K46,N46,Q46,R46,S46)&lt;4,SUM(I46,K46,N46,Q46,R46,S46),SUM(LARGE((I46,K46,N46,Q46,R46,S46),{1;2;3;4}))))+(IF(COUNT(J46,L46,M46,O46,P46,T46)&lt;4,SUM(J46,L46,M46,O46,P46,T46),SUM(LARGE((J46,L46,M46,O46,P46,T46),{1;2;3;4}))))</f>
        <v>24</v>
      </c>
      <c r="I46" s="185">
        <v>3</v>
      </c>
      <c r="J46" s="185">
        <v>2</v>
      </c>
      <c r="K46" s="185">
        <v>9</v>
      </c>
      <c r="L46" s="631" t="s">
        <v>677</v>
      </c>
      <c r="M46" s="631" t="s">
        <v>677</v>
      </c>
      <c r="N46" s="361">
        <v>7</v>
      </c>
      <c r="O46" s="185"/>
      <c r="P46" s="361">
        <v>2</v>
      </c>
      <c r="Q46" s="631">
        <v>1</v>
      </c>
      <c r="R46" s="185">
        <v>1</v>
      </c>
      <c r="S46" s="631" t="s">
        <v>677</v>
      </c>
      <c r="T46" s="185"/>
      <c r="U46" s="602">
        <f t="shared" si="11"/>
        <v>7</v>
      </c>
      <c r="V46" s="603">
        <f t="shared" si="12"/>
        <v>0</v>
      </c>
      <c r="W46" s="604">
        <f t="shared" si="13"/>
        <v>0</v>
      </c>
      <c r="X46" s="682">
        <f t="shared" si="14"/>
        <v>0</v>
      </c>
    </row>
    <row r="47" spans="1:24" s="2" customFormat="1" x14ac:dyDescent="0.2">
      <c r="A47" s="24">
        <f t="shared" si="8"/>
        <v>39</v>
      </c>
      <c r="B47" s="143">
        <v>39</v>
      </c>
      <c r="C47" s="364"/>
      <c r="D47" s="584" t="s">
        <v>520</v>
      </c>
      <c r="E47" s="164">
        <v>22.001000000009999</v>
      </c>
      <c r="F47" s="25">
        <f t="shared" si="9"/>
        <v>22.001000000009999</v>
      </c>
      <c r="G47" s="144">
        <f t="shared" si="10"/>
        <v>1.00000001E-3</v>
      </c>
      <c r="H47" s="25">
        <f t="array" ref="H47">(IF(COUNT(I47,K47,N47,Q47,R47,S47)&lt;4,SUM(I47,K47,N47,Q47,R47,S47),SUM(LARGE((I47,K47,N47,Q47,R47,S47),{1;2;3;4}))))+(IF(COUNT(J47,L47,M47,O47,P47,T47)&lt;4,SUM(J47,L47,M47,O47,P47,T47),SUM(LARGE((J47,L47,M47,O47,P47,T47),{1;2;3;4}))))</f>
        <v>22</v>
      </c>
      <c r="I47" s="631" t="s">
        <v>677</v>
      </c>
      <c r="J47" s="631" t="s">
        <v>677</v>
      </c>
      <c r="K47" s="631" t="s">
        <v>677</v>
      </c>
      <c r="L47" s="631" t="s">
        <v>677</v>
      </c>
      <c r="M47" s="185"/>
      <c r="N47" s="185"/>
      <c r="O47" s="185"/>
      <c r="P47" s="361">
        <v>20</v>
      </c>
      <c r="Q47" s="185"/>
      <c r="R47" s="185"/>
      <c r="S47" s="185"/>
      <c r="T47" s="361">
        <v>2</v>
      </c>
      <c r="U47" s="602">
        <f t="shared" si="11"/>
        <v>2</v>
      </c>
      <c r="V47" s="603">
        <f t="shared" si="12"/>
        <v>1</v>
      </c>
      <c r="W47" s="604">
        <f t="shared" si="13"/>
        <v>0</v>
      </c>
      <c r="X47" s="682">
        <f t="shared" si="14"/>
        <v>0</v>
      </c>
    </row>
    <row r="48" spans="1:24" s="2" customFormat="1" x14ac:dyDescent="0.2">
      <c r="A48" s="24">
        <f t="shared" si="8"/>
        <v>40</v>
      </c>
      <c r="B48" s="143">
        <v>40</v>
      </c>
      <c r="C48" s="364"/>
      <c r="D48" s="27" t="s">
        <v>36</v>
      </c>
      <c r="E48" s="164">
        <v>22.00000021</v>
      </c>
      <c r="F48" s="25">
        <f t="shared" si="9"/>
        <v>22.00000021</v>
      </c>
      <c r="G48" s="144">
        <f t="shared" si="10"/>
        <v>2.1E-7</v>
      </c>
      <c r="H48" s="25">
        <f t="array" ref="H48">(IF(COUNT(I48,K48,N48,Q48,R48,S48)&lt;4,SUM(I48,K48,N48,Q48,R48,S48),SUM(LARGE((I48,K48,N48,Q48,R48,S48),{1;2;3;4}))))+(IF(COUNT(J48,L48,M48,O48,P48,T48)&lt;4,SUM(J48,L48,M48,O48,P48,T48),SUM(LARGE((J48,L48,M48,O48,P48,T48),{1;2;3;4}))))</f>
        <v>22</v>
      </c>
      <c r="I48" s="185">
        <v>1</v>
      </c>
      <c r="J48" s="185">
        <v>7</v>
      </c>
      <c r="K48" s="185">
        <v>5</v>
      </c>
      <c r="L48" s="631" t="s">
        <v>677</v>
      </c>
      <c r="M48" s="631" t="s">
        <v>677</v>
      </c>
      <c r="N48" s="361">
        <v>1</v>
      </c>
      <c r="O48" s="185">
        <v>7</v>
      </c>
      <c r="P48" s="185"/>
      <c r="Q48" s="631" t="s">
        <v>677</v>
      </c>
      <c r="R48" s="361">
        <v>1</v>
      </c>
      <c r="S48" s="631" t="s">
        <v>677</v>
      </c>
      <c r="T48" s="185"/>
      <c r="U48" s="602">
        <f t="shared" si="11"/>
        <v>6</v>
      </c>
      <c r="V48" s="603">
        <f t="shared" si="12"/>
        <v>0</v>
      </c>
      <c r="W48" s="604">
        <f t="shared" si="13"/>
        <v>0</v>
      </c>
      <c r="X48" s="682">
        <f t="shared" si="14"/>
        <v>0</v>
      </c>
    </row>
    <row r="49" spans="1:24" s="2" customFormat="1" x14ac:dyDescent="0.2">
      <c r="A49" s="24">
        <f t="shared" si="8"/>
        <v>41</v>
      </c>
      <c r="B49" s="143">
        <v>41</v>
      </c>
      <c r="C49" s="364"/>
      <c r="D49" s="18" t="s">
        <v>32</v>
      </c>
      <c r="E49" s="683">
        <v>22.000000013019999</v>
      </c>
      <c r="F49" s="25">
        <f t="shared" si="9"/>
        <v>22.000000013019999</v>
      </c>
      <c r="G49" s="144">
        <f t="shared" si="10"/>
        <v>1.302E-8</v>
      </c>
      <c r="H49" s="25">
        <f t="array" ref="H49">(IF(COUNT(I49,K49,N49,Q49,R49,S49)&lt;4,SUM(I49,K49,N49,Q49,R49,S49),SUM(LARGE((I49,K49,N49,Q49,R49,S49),{1;2;3;4}))))+(IF(COUNT(J49,L49,M49,O49,P49,T49)&lt;4,SUM(J49,L49,M49,O49,P49,T49),SUM(LARGE((J49,L49,M49,O49,P49,T49),{1;2;3;4}))))</f>
        <v>22</v>
      </c>
      <c r="I49" s="185">
        <v>4</v>
      </c>
      <c r="J49" s="185">
        <v>5</v>
      </c>
      <c r="K49" s="185">
        <v>4</v>
      </c>
      <c r="L49" s="631" t="s">
        <v>677</v>
      </c>
      <c r="M49" s="631" t="s">
        <v>677</v>
      </c>
      <c r="N49" s="361">
        <v>1</v>
      </c>
      <c r="O49" s="185">
        <v>2</v>
      </c>
      <c r="P49" s="185"/>
      <c r="Q49" s="361">
        <v>4</v>
      </c>
      <c r="R49" s="631" t="s">
        <v>677</v>
      </c>
      <c r="S49" s="631" t="s">
        <v>677</v>
      </c>
      <c r="T49" s="361">
        <v>2</v>
      </c>
      <c r="U49" s="602">
        <f t="shared" si="11"/>
        <v>7</v>
      </c>
      <c r="V49" s="603">
        <f t="shared" si="12"/>
        <v>0</v>
      </c>
      <c r="W49" s="604">
        <f t="shared" si="13"/>
        <v>0</v>
      </c>
      <c r="X49" s="682">
        <f t="shared" si="14"/>
        <v>0</v>
      </c>
    </row>
    <row r="50" spans="1:24" s="2" customFormat="1" x14ac:dyDescent="0.2">
      <c r="A50" s="24">
        <f t="shared" si="8"/>
        <v>42</v>
      </c>
      <c r="B50" s="143">
        <v>42</v>
      </c>
      <c r="C50" s="364"/>
      <c r="D50" s="186" t="s">
        <v>51</v>
      </c>
      <c r="E50" s="164">
        <v>21.000000210010001</v>
      </c>
      <c r="F50" s="25">
        <f t="shared" si="9"/>
        <v>21.000000210010001</v>
      </c>
      <c r="G50" s="144">
        <f t="shared" si="10"/>
        <v>2.1001000000000001E-7</v>
      </c>
      <c r="H50" s="25">
        <f t="array" ref="H50">(IF(COUNT(I50,K50,N50,Q50,R50,S50)&lt;4,SUM(I50,K50,N50,Q50,R50,S50),SUM(LARGE((I50,K50,N50,Q50,R50,S50),{1;2;3;4}))))+(IF(COUNT(J50,L50,M50,O50,P50,T50)&lt;4,SUM(J50,L50,M50,O50,P50,T50),SUM(LARGE((J50,L50,M50,O50,P50,T50),{1;2;3;4}))))</f>
        <v>21</v>
      </c>
      <c r="I50" s="185">
        <v>5</v>
      </c>
      <c r="J50" s="185">
        <v>7</v>
      </c>
      <c r="K50" s="631" t="s">
        <v>677</v>
      </c>
      <c r="L50" s="631" t="s">
        <v>677</v>
      </c>
      <c r="M50" s="631" t="s">
        <v>677</v>
      </c>
      <c r="N50" s="631" t="s">
        <v>677</v>
      </c>
      <c r="O50" s="185">
        <v>2</v>
      </c>
      <c r="P50" s="185"/>
      <c r="Q50" s="361">
        <v>7</v>
      </c>
      <c r="R50" s="185"/>
      <c r="S50" s="185"/>
      <c r="T50" s="185"/>
      <c r="U50" s="602">
        <f t="shared" si="11"/>
        <v>4</v>
      </c>
      <c r="V50" s="603">
        <f t="shared" si="12"/>
        <v>0</v>
      </c>
      <c r="W50" s="604">
        <f t="shared" si="13"/>
        <v>0</v>
      </c>
      <c r="X50" s="682">
        <f t="shared" si="14"/>
        <v>0</v>
      </c>
    </row>
    <row r="51" spans="1:24" s="2" customFormat="1" x14ac:dyDescent="0.2">
      <c r="A51" s="24">
        <f t="shared" si="8"/>
        <v>43</v>
      </c>
      <c r="B51" s="143">
        <v>43</v>
      </c>
      <c r="C51" s="364">
        <v>3</v>
      </c>
      <c r="D51" s="636" t="s">
        <v>695</v>
      </c>
      <c r="E51" s="164">
        <v>20.001000000000001</v>
      </c>
      <c r="F51" s="25">
        <f t="shared" si="9"/>
        <v>20.001000000000001</v>
      </c>
      <c r="G51" s="144">
        <f t="shared" si="10"/>
        <v>1E-3</v>
      </c>
      <c r="H51" s="25">
        <f t="array" ref="H51">(IF(COUNT(I51,K51,N51,Q51,R51,S51)&lt;4,SUM(I51,K51,N51,Q51,R51,S51),SUM(LARGE((I51,K51,N51,Q51,R51,S51),{1;2;3;4}))))+(IF(COUNT(J51,L51,M51,O51,P51,P51,T51)&lt;4,SUM(J51,L51,M51,O51,P51,P51,T51),SUM(LARGE((J51,L51,M51,O51,P51,P51,T51),{1;2;3;4}))))</f>
        <v>20</v>
      </c>
      <c r="I51" s="631" t="s">
        <v>677</v>
      </c>
      <c r="J51" s="631" t="s">
        <v>677</v>
      </c>
      <c r="K51" s="631" t="s">
        <v>677</v>
      </c>
      <c r="L51" s="631" t="s">
        <v>677</v>
      </c>
      <c r="M51" s="185"/>
      <c r="N51" s="185"/>
      <c r="O51" s="185"/>
      <c r="P51" s="185"/>
      <c r="Q51" s="185"/>
      <c r="R51" s="185"/>
      <c r="S51" s="185"/>
      <c r="T51" s="361">
        <v>20</v>
      </c>
      <c r="U51" s="602">
        <f t="shared" si="11"/>
        <v>1</v>
      </c>
      <c r="V51" s="603">
        <f t="shared" si="12"/>
        <v>1</v>
      </c>
      <c r="W51" s="604">
        <f t="shared" si="13"/>
        <v>0</v>
      </c>
      <c r="X51" s="682">
        <f t="shared" si="14"/>
        <v>0</v>
      </c>
    </row>
    <row r="52" spans="1:24" s="2" customFormat="1" x14ac:dyDescent="0.2">
      <c r="A52" s="24">
        <f t="shared" si="8"/>
        <v>43</v>
      </c>
      <c r="B52" s="143">
        <v>43</v>
      </c>
      <c r="C52" s="364"/>
      <c r="D52" s="186" t="s">
        <v>696</v>
      </c>
      <c r="E52" s="164">
        <v>20.001000000000001</v>
      </c>
      <c r="F52" s="25">
        <f t="shared" si="9"/>
        <v>20.001000000000001</v>
      </c>
      <c r="G52" s="144">
        <f t="shared" si="10"/>
        <v>1E-3</v>
      </c>
      <c r="H52" s="25">
        <f t="array" ref="H52">(IF(COUNT(I52,K52,N52,Q52,R52,S52)&lt;4,SUM(I52,K52,N52,Q52,R52,S52),SUM(LARGE((I52,K52,N52,Q52,R52,S52),{1;2;3;4}))))+(IF(COUNT(J52,L52,M52,O52,P52,P52,T52)&lt;4,SUM(J52,L52,M52,O52,P52,P52,T52),SUM(LARGE((J52,L52,M52,O52,P52,P52,T52),{1;2;3;4}))))</f>
        <v>20</v>
      </c>
      <c r="I52" s="631" t="s">
        <v>677</v>
      </c>
      <c r="J52" s="631" t="s">
        <v>677</v>
      </c>
      <c r="K52" s="631" t="s">
        <v>677</v>
      </c>
      <c r="L52" s="631" t="s">
        <v>677</v>
      </c>
      <c r="M52" s="185"/>
      <c r="N52" s="185"/>
      <c r="O52" s="185"/>
      <c r="P52" s="185"/>
      <c r="Q52" s="185"/>
      <c r="R52" s="185"/>
      <c r="S52" s="185"/>
      <c r="T52" s="361">
        <v>20</v>
      </c>
      <c r="U52" s="602">
        <f t="shared" si="11"/>
        <v>1</v>
      </c>
      <c r="V52" s="603">
        <f t="shared" si="12"/>
        <v>1</v>
      </c>
      <c r="W52" s="604">
        <f t="shared" si="13"/>
        <v>0</v>
      </c>
      <c r="X52" s="682">
        <f t="shared" si="14"/>
        <v>0</v>
      </c>
    </row>
    <row r="53" spans="1:24" s="2" customFormat="1" x14ac:dyDescent="0.2">
      <c r="A53" s="24">
        <f t="shared" si="8"/>
        <v>45</v>
      </c>
      <c r="B53" s="143">
        <v>45</v>
      </c>
      <c r="C53" s="364"/>
      <c r="D53" s="362" t="s">
        <v>479</v>
      </c>
      <c r="E53" s="164">
        <v>20.000100001</v>
      </c>
      <c r="F53" s="25">
        <f t="shared" si="9"/>
        <v>20.000100001</v>
      </c>
      <c r="G53" s="144">
        <f t="shared" si="10"/>
        <v>1.0000100000000001E-4</v>
      </c>
      <c r="H53" s="25">
        <f t="array" ref="H53">(IF(COUNT(I53,K53,N53,Q53,R53,S53)&lt;4,SUM(I53,K53,N53,Q53,R53,S53),SUM(LARGE((I53,K53,N53,Q53,R53,S53),{1;2;3;4}))))+(IF(COUNT(J53,L53,M53,O53,P53,T53)&lt;4,SUM(J53,L53,M53,O53,P53,T53),SUM(LARGE((J53,L53,M53,O53,P53,T53),{1;2;3;4}))))</f>
        <v>20</v>
      </c>
      <c r="I53" s="631" t="s">
        <v>677</v>
      </c>
      <c r="J53" s="631" t="s">
        <v>677</v>
      </c>
      <c r="K53" s="631" t="s">
        <v>677</v>
      </c>
      <c r="L53" s="631" t="s">
        <v>677</v>
      </c>
      <c r="M53" s="185"/>
      <c r="N53" s="361">
        <v>16</v>
      </c>
      <c r="O53" s="185"/>
      <c r="P53" s="185"/>
      <c r="Q53" s="185"/>
      <c r="R53" s="185"/>
      <c r="S53" s="185"/>
      <c r="T53" s="361">
        <v>4</v>
      </c>
      <c r="U53" s="602">
        <f t="shared" si="11"/>
        <v>2</v>
      </c>
      <c r="V53" s="603">
        <f t="shared" si="12"/>
        <v>1</v>
      </c>
      <c r="W53" s="604">
        <f t="shared" si="13"/>
        <v>0</v>
      </c>
      <c r="X53" s="682">
        <f t="shared" si="14"/>
        <v>0</v>
      </c>
    </row>
    <row r="54" spans="1:24" s="2" customFormat="1" x14ac:dyDescent="0.2">
      <c r="A54" s="24">
        <f t="shared" si="8"/>
        <v>46</v>
      </c>
      <c r="B54" s="143">
        <v>46</v>
      </c>
      <c r="C54" s="364"/>
      <c r="D54" s="186" t="s">
        <v>24</v>
      </c>
      <c r="E54" s="164">
        <v>20.000010000029999</v>
      </c>
      <c r="F54" s="25">
        <f t="shared" si="9"/>
        <v>20.000010000029999</v>
      </c>
      <c r="G54" s="144">
        <f t="shared" si="10"/>
        <v>1.0000030000000001E-5</v>
      </c>
      <c r="H54" s="25">
        <f t="array" ref="H54">(IF(COUNT(I54,K54,N54,Q54,R54,S54)&lt;4,SUM(I54,K54,N54,Q54,R54,S54),SUM(LARGE((I54,K54,N54,Q54,R54,S54),{1;2;3;4}))))+(IF(COUNT(J54,L54,M54,O54,P54,T54)&lt;4,SUM(J54,L54,M54,O54,P54,T54),SUM(LARGE((J54,L54,M54,O54,P54,T54),{1;2;3;4}))))</f>
        <v>20</v>
      </c>
      <c r="I54" s="185">
        <v>1</v>
      </c>
      <c r="J54" s="631" t="s">
        <v>677</v>
      </c>
      <c r="K54" s="631" t="s">
        <v>677</v>
      </c>
      <c r="L54" s="631" t="s">
        <v>677</v>
      </c>
      <c r="M54" s="185"/>
      <c r="N54" s="361">
        <v>12</v>
      </c>
      <c r="O54" s="185">
        <v>2</v>
      </c>
      <c r="P54" s="361">
        <v>2</v>
      </c>
      <c r="Q54" s="361">
        <v>1</v>
      </c>
      <c r="R54" s="631" t="s">
        <v>677</v>
      </c>
      <c r="S54" s="185"/>
      <c r="T54" s="361">
        <v>2</v>
      </c>
      <c r="U54" s="602">
        <f t="shared" si="11"/>
        <v>6</v>
      </c>
      <c r="V54" s="603">
        <f t="shared" si="12"/>
        <v>1</v>
      </c>
      <c r="W54" s="604">
        <f t="shared" si="13"/>
        <v>0</v>
      </c>
      <c r="X54" s="682">
        <f t="shared" si="14"/>
        <v>0</v>
      </c>
    </row>
    <row r="55" spans="1:24" s="2" customFormat="1" x14ac:dyDescent="0.2">
      <c r="A55" s="24">
        <f t="shared" si="8"/>
        <v>46</v>
      </c>
      <c r="B55" s="143">
        <v>46</v>
      </c>
      <c r="C55" s="364"/>
      <c r="D55" s="27" t="s">
        <v>29</v>
      </c>
      <c r="E55" s="164">
        <v>20.000010000029999</v>
      </c>
      <c r="F55" s="25">
        <f t="shared" si="9"/>
        <v>20.000010000029999</v>
      </c>
      <c r="G55" s="144">
        <f t="shared" si="10"/>
        <v>1.0000030000000001E-5</v>
      </c>
      <c r="H55" s="25">
        <f t="array" ref="H55">(IF(COUNT(I55,K55,N55,Q55,R55,S55)&lt;4,SUM(I55,K55,N55,Q55,R55,S55),SUM(LARGE((I55,K55,N55,Q55,R55,S55),{1;2;3;4}))))+(IF(COUNT(J55,L55,M55,O55,P55,T55)&lt;4,SUM(J55,L55,M55,O55,P55,T55),SUM(LARGE((J55,L55,M55,O55,P55,T55),{1;2;3;4}))))</f>
        <v>20</v>
      </c>
      <c r="I55" s="185">
        <v>1</v>
      </c>
      <c r="J55" s="631" t="s">
        <v>677</v>
      </c>
      <c r="K55" s="631" t="s">
        <v>677</v>
      </c>
      <c r="L55" s="631" t="s">
        <v>677</v>
      </c>
      <c r="M55" s="185"/>
      <c r="N55" s="361">
        <v>12</v>
      </c>
      <c r="O55" s="185">
        <v>2</v>
      </c>
      <c r="P55" s="361">
        <v>2</v>
      </c>
      <c r="Q55" s="361">
        <v>1</v>
      </c>
      <c r="R55" s="631" t="s">
        <v>677</v>
      </c>
      <c r="S55" s="185"/>
      <c r="T55" s="361">
        <v>2</v>
      </c>
      <c r="U55" s="602">
        <f t="shared" si="11"/>
        <v>6</v>
      </c>
      <c r="V55" s="603">
        <f t="shared" si="12"/>
        <v>1</v>
      </c>
      <c r="W55" s="604">
        <f t="shared" si="13"/>
        <v>0</v>
      </c>
      <c r="X55" s="682">
        <f t="shared" si="14"/>
        <v>0</v>
      </c>
    </row>
    <row r="56" spans="1:24" s="2" customFormat="1" x14ac:dyDescent="0.2">
      <c r="A56" s="24">
        <f t="shared" si="8"/>
        <v>48</v>
      </c>
      <c r="B56" s="143">
        <v>48</v>
      </c>
      <c r="C56" s="364"/>
      <c r="D56" s="188" t="s">
        <v>260</v>
      </c>
      <c r="E56" s="164">
        <v>18.000001999999999</v>
      </c>
      <c r="F56" s="25">
        <f t="shared" si="9"/>
        <v>18.000001999999999</v>
      </c>
      <c r="G56" s="144">
        <f t="shared" si="10"/>
        <v>1.9999999999999999E-6</v>
      </c>
      <c r="H56" s="25">
        <f t="array" ref="H56">(IF(COUNT(I56,K56,N56,Q56,R56,S56)&lt;4,SUM(I56,K56,N56,Q56,R56,S56),SUM(LARGE((I56,K56,N56,Q56,R56,S56),{1;2;3;4}))))+(IF(COUNT(J56,L56,M56,O56,P56,T56)&lt;4,SUM(J56,L56,M56,O56,P56,T56),SUM(LARGE((J56,L56,M56,O56,P56,T56),{1;2;3;4}))))</f>
        <v>18</v>
      </c>
      <c r="I56" s="631" t="s">
        <v>677</v>
      </c>
      <c r="J56" s="185">
        <v>9</v>
      </c>
      <c r="K56" s="631" t="s">
        <v>677</v>
      </c>
      <c r="L56" s="631" t="s">
        <v>677</v>
      </c>
      <c r="M56" s="631" t="s">
        <v>677</v>
      </c>
      <c r="N56" s="185"/>
      <c r="O56" s="185"/>
      <c r="P56" s="185"/>
      <c r="Q56" s="185"/>
      <c r="R56" s="185"/>
      <c r="S56" s="185"/>
      <c r="T56" s="361">
        <v>9</v>
      </c>
      <c r="U56" s="602">
        <f t="shared" si="11"/>
        <v>2</v>
      </c>
      <c r="V56" s="603">
        <f t="shared" si="12"/>
        <v>0</v>
      </c>
      <c r="W56" s="604">
        <f t="shared" si="13"/>
        <v>0</v>
      </c>
      <c r="X56" s="682">
        <f t="shared" si="14"/>
        <v>0</v>
      </c>
    </row>
    <row r="57" spans="1:24" s="2" customFormat="1" x14ac:dyDescent="0.2">
      <c r="A57" s="24">
        <f t="shared" si="8"/>
        <v>49</v>
      </c>
      <c r="B57" s="143">
        <v>49</v>
      </c>
      <c r="C57" s="364"/>
      <c r="D57" s="18" t="s">
        <v>254</v>
      </c>
      <c r="E57" s="683">
        <v>18.00000100003</v>
      </c>
      <c r="F57" s="25">
        <f t="shared" si="9"/>
        <v>18.00000100003</v>
      </c>
      <c r="G57" s="144">
        <f t="shared" si="10"/>
        <v>1.0000299999999999E-6</v>
      </c>
      <c r="H57" s="25">
        <f t="array" ref="H57">(IF(COUNT(I57,K57,N57,Q57,R57,S57)&lt;4,SUM(I57,K57,N57,Q57,R57,S57),SUM(LARGE((I57,K57,N57,Q57,R57,S57),{1;2;3;4}))))+(IF(COUNT(J57,L57,M57,O57,P57,T57)&lt;4,SUM(J57,L57,M57,O57,P57,T57),SUM(LARGE((J57,L57,M57,O57,P57,T57),{1;2;3;4}))))</f>
        <v>18</v>
      </c>
      <c r="I57" s="631">
        <v>1</v>
      </c>
      <c r="J57" s="185">
        <v>2</v>
      </c>
      <c r="K57" s="185">
        <v>9</v>
      </c>
      <c r="L57" s="631" t="s">
        <v>677</v>
      </c>
      <c r="M57" s="631" t="s">
        <v>677</v>
      </c>
      <c r="N57" s="361">
        <v>1</v>
      </c>
      <c r="O57" s="185">
        <v>2</v>
      </c>
      <c r="P57" s="361">
        <v>2</v>
      </c>
      <c r="Q57" s="361">
        <v>1</v>
      </c>
      <c r="R57" s="361">
        <v>1</v>
      </c>
      <c r="S57" s="631" t="s">
        <v>677</v>
      </c>
      <c r="T57" s="185"/>
      <c r="U57" s="602">
        <f t="shared" si="11"/>
        <v>8</v>
      </c>
      <c r="V57" s="603">
        <f t="shared" si="12"/>
        <v>0</v>
      </c>
      <c r="W57" s="604">
        <f t="shared" si="13"/>
        <v>0</v>
      </c>
      <c r="X57" s="682">
        <f t="shared" si="14"/>
        <v>0</v>
      </c>
    </row>
    <row r="58" spans="1:24" s="2" customFormat="1" x14ac:dyDescent="0.2">
      <c r="A58" s="24">
        <f t="shared" si="8"/>
        <v>49</v>
      </c>
      <c r="B58" s="143">
        <v>49</v>
      </c>
      <c r="C58" s="364"/>
      <c r="D58" s="26" t="s">
        <v>253</v>
      </c>
      <c r="E58" s="683">
        <v>18.00000100003</v>
      </c>
      <c r="F58" s="25">
        <f t="shared" si="9"/>
        <v>18.00000100003</v>
      </c>
      <c r="G58" s="144">
        <f t="shared" si="10"/>
        <v>1.0000299999999999E-6</v>
      </c>
      <c r="H58" s="25">
        <f t="array" ref="H58">(IF(COUNT(I58,K58,N58,Q58,R58,S58)&lt;4,SUM(I58,K58,N58,Q58,R58,S58),SUM(LARGE((I58,K58,N58,Q58,R58,S58),{1;2;3;4}))))+(IF(COUNT(J58,L58,M58,O58,P58,T58)&lt;4,SUM(J58,L58,M58,O58,P58,T58),SUM(LARGE((J58,L58,M58,O58,P58,T58),{1;2;3;4}))))</f>
        <v>18</v>
      </c>
      <c r="I58" s="185">
        <v>1</v>
      </c>
      <c r="J58" s="185">
        <v>2</v>
      </c>
      <c r="K58" s="185">
        <v>9</v>
      </c>
      <c r="L58" s="631" t="s">
        <v>677</v>
      </c>
      <c r="M58" s="631" t="s">
        <v>677</v>
      </c>
      <c r="N58" s="361">
        <v>1</v>
      </c>
      <c r="O58" s="185">
        <v>2</v>
      </c>
      <c r="P58" s="361">
        <v>2</v>
      </c>
      <c r="Q58" s="631" t="s">
        <v>677</v>
      </c>
      <c r="R58" s="361">
        <v>1</v>
      </c>
      <c r="S58" s="631" t="s">
        <v>677</v>
      </c>
      <c r="T58" s="185"/>
      <c r="U58" s="602">
        <f t="shared" si="11"/>
        <v>7</v>
      </c>
      <c r="V58" s="603">
        <f t="shared" si="12"/>
        <v>0</v>
      </c>
      <c r="W58" s="604">
        <f t="shared" si="13"/>
        <v>0</v>
      </c>
      <c r="X58" s="682">
        <f t="shared" si="14"/>
        <v>0</v>
      </c>
    </row>
    <row r="59" spans="1:24" s="2" customFormat="1" x14ac:dyDescent="0.2">
      <c r="A59" s="24">
        <f t="shared" si="8"/>
        <v>51</v>
      </c>
      <c r="B59" s="143">
        <v>51</v>
      </c>
      <c r="C59" s="364"/>
      <c r="D59" s="18" t="s">
        <v>31</v>
      </c>
      <c r="E59" s="683">
        <v>15.000000011019999</v>
      </c>
      <c r="F59" s="25">
        <f t="shared" si="9"/>
        <v>15.000000011019999</v>
      </c>
      <c r="G59" s="144">
        <f t="shared" si="10"/>
        <v>1.102E-8</v>
      </c>
      <c r="H59" s="25">
        <f t="array" ref="H59">(IF(COUNT(I59,K59,N59,Q59,R59,S59)&lt;4,SUM(I59,K59,N59,Q59,R59,S59),SUM(LARGE((I59,K59,N59,Q59,R59,S59),{1;2;3;4}))))+(IF(COUNT(J59,L59,M59,O59,P59,T59)&lt;4,SUM(J59,L59,M59,O59,P59,T59),SUM(LARGE((J59,L59,M59,O59,P59,T59),{1;2;3;4}))))</f>
        <v>15</v>
      </c>
      <c r="I59" s="631" t="s">
        <v>677</v>
      </c>
      <c r="J59" s="185">
        <v>5</v>
      </c>
      <c r="K59" s="631" t="s">
        <v>677</v>
      </c>
      <c r="L59" s="631" t="s">
        <v>677</v>
      </c>
      <c r="M59" s="631" t="s">
        <v>677</v>
      </c>
      <c r="N59" s="361">
        <v>1</v>
      </c>
      <c r="O59" s="185"/>
      <c r="P59" s="361">
        <v>2</v>
      </c>
      <c r="Q59" s="361">
        <v>4</v>
      </c>
      <c r="R59" s="361">
        <v>1</v>
      </c>
      <c r="S59" s="185"/>
      <c r="T59" s="361">
        <v>2</v>
      </c>
      <c r="U59" s="602">
        <f t="shared" si="11"/>
        <v>6</v>
      </c>
      <c r="V59" s="603">
        <f t="shared" si="12"/>
        <v>0</v>
      </c>
      <c r="W59" s="604">
        <f t="shared" si="13"/>
        <v>0</v>
      </c>
      <c r="X59" s="682">
        <f t="shared" si="14"/>
        <v>0</v>
      </c>
    </row>
    <row r="60" spans="1:24" s="2" customFormat="1" x14ac:dyDescent="0.2">
      <c r="A60" s="24">
        <f t="shared" si="8"/>
        <v>52</v>
      </c>
      <c r="B60" s="143">
        <v>52</v>
      </c>
      <c r="C60" s="364"/>
      <c r="D60" s="187" t="s">
        <v>40</v>
      </c>
      <c r="E60" s="164">
        <v>15.000000010040001</v>
      </c>
      <c r="F60" s="25">
        <f t="shared" si="9"/>
        <v>15.000000010040001</v>
      </c>
      <c r="G60" s="144">
        <f t="shared" si="10"/>
        <v>1.0040000000000001E-8</v>
      </c>
      <c r="H60" s="25">
        <f t="array" ref="H60">(IF(COUNT(I60,K60,N60,Q60,R60,S60)&lt;4,SUM(I60,K60,N60,Q60,R60,S60),SUM(LARGE((I60,K60,N60,Q60,R60,S60),{1;2;3;4}))))+(IF(COUNT(J60,L60,M60,O60,P60,T60)&lt;4,SUM(J60,L60,M60,O60,P60,T60),SUM(LARGE((J60,L60,M60,O60,P60,T60),{1;2;3;4}))))</f>
        <v>15</v>
      </c>
      <c r="I60" s="185">
        <v>1</v>
      </c>
      <c r="J60" s="185">
        <v>2</v>
      </c>
      <c r="K60" s="631" t="s">
        <v>677</v>
      </c>
      <c r="L60" s="185">
        <v>2</v>
      </c>
      <c r="M60" s="361">
        <v>2</v>
      </c>
      <c r="N60" s="361">
        <v>1</v>
      </c>
      <c r="O60" s="631" t="s">
        <v>677</v>
      </c>
      <c r="P60" s="631" t="s">
        <v>677</v>
      </c>
      <c r="Q60" s="631" t="s">
        <v>677</v>
      </c>
      <c r="R60" s="361">
        <v>5</v>
      </c>
      <c r="S60" s="185"/>
      <c r="T60" s="361">
        <v>2</v>
      </c>
      <c r="U60" s="602">
        <f t="shared" si="11"/>
        <v>7</v>
      </c>
      <c r="V60" s="603">
        <f t="shared" si="12"/>
        <v>0</v>
      </c>
      <c r="W60" s="604">
        <f t="shared" si="13"/>
        <v>0</v>
      </c>
      <c r="X60" s="682">
        <f t="shared" si="14"/>
        <v>0</v>
      </c>
    </row>
    <row r="61" spans="1:24" s="2" customFormat="1" x14ac:dyDescent="0.2">
      <c r="A61" s="24">
        <f t="shared" si="8"/>
        <v>52</v>
      </c>
      <c r="B61" s="143">
        <v>52</v>
      </c>
      <c r="C61" s="364"/>
      <c r="D61" s="186" t="s">
        <v>47</v>
      </c>
      <c r="E61" s="164">
        <v>15.000000010040001</v>
      </c>
      <c r="F61" s="25">
        <f t="shared" si="9"/>
        <v>15.000000010040001</v>
      </c>
      <c r="G61" s="144">
        <f t="shared" si="10"/>
        <v>1.0040000000000001E-8</v>
      </c>
      <c r="H61" s="25">
        <f t="array" ref="H61">(IF(COUNT(I61,K61,N61,Q61,R61,S61)&lt;4,SUM(I61,K61,N61,Q61,R61,S61),SUM(LARGE((I61,K61,N61,Q61,R61,S61),{1;2;3;4}))))+(IF(COUNT(J61,L61,M61,O61,P61,T61)&lt;4,SUM(J61,L61,M61,O61,P61,T61),SUM(LARGE((J61,L61,M61,O61,P61,T61),{1;2;3;4}))))</f>
        <v>15</v>
      </c>
      <c r="I61" s="185">
        <v>1</v>
      </c>
      <c r="J61" s="631">
        <v>2</v>
      </c>
      <c r="K61" s="185">
        <v>1</v>
      </c>
      <c r="L61" s="185">
        <v>2</v>
      </c>
      <c r="M61" s="361">
        <v>2</v>
      </c>
      <c r="N61" s="361">
        <v>1</v>
      </c>
      <c r="O61" s="185">
        <v>2</v>
      </c>
      <c r="P61" s="631" t="s">
        <v>677</v>
      </c>
      <c r="Q61" s="631" t="s">
        <v>677</v>
      </c>
      <c r="R61" s="361">
        <v>1</v>
      </c>
      <c r="S61" s="631" t="s">
        <v>677</v>
      </c>
      <c r="T61" s="361">
        <v>5</v>
      </c>
      <c r="U61" s="602">
        <f t="shared" si="11"/>
        <v>9</v>
      </c>
      <c r="V61" s="603">
        <f t="shared" si="12"/>
        <v>0</v>
      </c>
      <c r="W61" s="604">
        <f t="shared" si="13"/>
        <v>0</v>
      </c>
      <c r="X61" s="682">
        <f t="shared" si="14"/>
        <v>0</v>
      </c>
    </row>
    <row r="62" spans="1:24" s="2" customFormat="1" x14ac:dyDescent="0.2">
      <c r="A62" s="24">
        <f t="shared" si="8"/>
        <v>52</v>
      </c>
      <c r="B62" s="143">
        <v>52</v>
      </c>
      <c r="C62" s="364"/>
      <c r="D62" s="186" t="s">
        <v>50</v>
      </c>
      <c r="E62" s="164">
        <v>15.000000010040001</v>
      </c>
      <c r="F62" s="25">
        <f t="shared" si="9"/>
        <v>15.000000010040001</v>
      </c>
      <c r="G62" s="144">
        <f t="shared" si="10"/>
        <v>1.0040000000000001E-8</v>
      </c>
      <c r="H62" s="25">
        <f t="array" ref="H62">(IF(COUNT(I62,K62,N62,Q62,R62,S62)&lt;4,SUM(I62,K62,N62,Q62,R62,S62),SUM(LARGE((I62,K62,N62,Q62,R62,S62),{1;2;3;4}))))+(IF(COUNT(J62,L62,M62,O62,P62,T62)&lt;4,SUM(J62,L62,M62,O62,P62,T62),SUM(LARGE((J62,L62,M62,O62,P62,T62),{1;2;3;4}))))</f>
        <v>15</v>
      </c>
      <c r="I62" s="185">
        <v>1</v>
      </c>
      <c r="J62" s="631">
        <v>2</v>
      </c>
      <c r="K62" s="185">
        <v>1</v>
      </c>
      <c r="L62" s="185">
        <v>2</v>
      </c>
      <c r="M62" s="361">
        <v>2</v>
      </c>
      <c r="N62" s="361">
        <v>1</v>
      </c>
      <c r="O62" s="185">
        <v>2</v>
      </c>
      <c r="P62" s="631" t="s">
        <v>677</v>
      </c>
      <c r="Q62" s="631" t="s">
        <v>677</v>
      </c>
      <c r="R62" s="361">
        <v>1</v>
      </c>
      <c r="S62" s="631" t="s">
        <v>677</v>
      </c>
      <c r="T62" s="361">
        <v>5</v>
      </c>
      <c r="U62" s="602">
        <f t="shared" si="11"/>
        <v>9</v>
      </c>
      <c r="V62" s="603">
        <f t="shared" si="12"/>
        <v>0</v>
      </c>
      <c r="W62" s="604">
        <f t="shared" si="13"/>
        <v>0</v>
      </c>
      <c r="X62" s="682">
        <f t="shared" si="14"/>
        <v>0</v>
      </c>
    </row>
    <row r="63" spans="1:24" s="2" customFormat="1" x14ac:dyDescent="0.2">
      <c r="A63" s="24">
        <f t="shared" si="8"/>
        <v>55</v>
      </c>
      <c r="B63" s="143">
        <v>55</v>
      </c>
      <c r="C63" s="364"/>
      <c r="D63" s="362" t="s">
        <v>559</v>
      </c>
      <c r="E63" s="164">
        <v>14.000010000010001</v>
      </c>
      <c r="F63" s="25">
        <f t="shared" si="9"/>
        <v>14.000010000010001</v>
      </c>
      <c r="G63" s="144">
        <f t="shared" si="10"/>
        <v>1.0000010000000002E-5</v>
      </c>
      <c r="H63" s="25">
        <f t="array" ref="H63">(IF(COUNT(I63,K63,N63,Q63,R63,S63)&lt;4,SUM(I63,K63,N63,Q63,R63,S63),SUM(LARGE((I63,K63,N63,Q63,R63,S63),{1;2;3;4}))))+(IF(COUNT(J63,L63,M63,O63,P63,P63,T63)&lt;4,SUM(J63,L63,M63,O63,P63,P63,T63),SUM(LARGE((J63,L63,M63,O63,P63,P63,T63),{1;2;3;4}))))</f>
        <v>14</v>
      </c>
      <c r="I63" s="631" t="s">
        <v>677</v>
      </c>
      <c r="J63" s="631" t="s">
        <v>677</v>
      </c>
      <c r="K63" s="631" t="s">
        <v>677</v>
      </c>
      <c r="L63" s="631" t="s">
        <v>677</v>
      </c>
      <c r="M63" s="185"/>
      <c r="N63" s="185"/>
      <c r="O63" s="185"/>
      <c r="P63" s="185"/>
      <c r="Q63" s="185"/>
      <c r="R63" s="361">
        <v>12</v>
      </c>
      <c r="S63" s="185"/>
      <c r="T63" s="361">
        <v>2</v>
      </c>
      <c r="U63" s="602">
        <f t="shared" si="11"/>
        <v>2</v>
      </c>
      <c r="V63" s="603">
        <f t="shared" si="12"/>
        <v>1</v>
      </c>
      <c r="W63" s="604">
        <f t="shared" si="13"/>
        <v>0</v>
      </c>
      <c r="X63" s="682">
        <f t="shared" si="14"/>
        <v>0</v>
      </c>
    </row>
    <row r="64" spans="1:24" s="2" customFormat="1" x14ac:dyDescent="0.2">
      <c r="A64" s="24">
        <f t="shared" si="8"/>
        <v>55</v>
      </c>
      <c r="B64" s="143">
        <v>55</v>
      </c>
      <c r="C64" s="364"/>
      <c r="D64" s="362" t="s">
        <v>523</v>
      </c>
      <c r="E64" s="164">
        <v>14.000010000010001</v>
      </c>
      <c r="F64" s="25">
        <f t="shared" si="9"/>
        <v>14.000010000010001</v>
      </c>
      <c r="G64" s="144">
        <f t="shared" si="10"/>
        <v>1.0000010000000002E-5</v>
      </c>
      <c r="H64" s="25">
        <f t="array" ref="H64">(IF(COUNT(I64,K64,N64,Q64,R64,S64)&lt;4,SUM(I64,K64,N64,Q64,R64,S64),SUM(LARGE((I64,K64,N64,Q64,R64,S64),{1;2;3;4}))))+(IF(COUNT(J64,L64,M64,O64,P64,T64)&lt;4,SUM(J64,L64,M64,O64,P64,T64),SUM(LARGE((J64,L64,M64,O64,P64,T64),{1;2;3;4}))))</f>
        <v>14</v>
      </c>
      <c r="I64" s="631" t="s">
        <v>677</v>
      </c>
      <c r="J64" s="631" t="s">
        <v>677</v>
      </c>
      <c r="K64" s="631" t="s">
        <v>677</v>
      </c>
      <c r="L64" s="631" t="s">
        <v>677</v>
      </c>
      <c r="M64" s="185"/>
      <c r="N64" s="185"/>
      <c r="O64" s="185"/>
      <c r="P64" s="361">
        <v>2</v>
      </c>
      <c r="Q64" s="185"/>
      <c r="R64" s="185"/>
      <c r="S64" s="185"/>
      <c r="T64" s="361">
        <v>12</v>
      </c>
      <c r="U64" s="602">
        <f t="shared" si="11"/>
        <v>2</v>
      </c>
      <c r="V64" s="603">
        <f t="shared" si="12"/>
        <v>0</v>
      </c>
      <c r="W64" s="604">
        <f t="shared" si="13"/>
        <v>0</v>
      </c>
      <c r="X64" s="682">
        <f t="shared" si="14"/>
        <v>0</v>
      </c>
    </row>
    <row r="65" spans="1:24" s="2" customFormat="1" x14ac:dyDescent="0.2">
      <c r="A65" s="24">
        <f t="shared" si="8"/>
        <v>57</v>
      </c>
      <c r="B65" s="143">
        <v>57</v>
      </c>
      <c r="C65" s="364"/>
      <c r="D65" s="163" t="s">
        <v>251</v>
      </c>
      <c r="E65" s="164">
        <v>13.00000001003</v>
      </c>
      <c r="F65" s="25">
        <f t="shared" si="9"/>
        <v>13.00000001003</v>
      </c>
      <c r="G65" s="144">
        <f t="shared" si="10"/>
        <v>1.0029999999999999E-8</v>
      </c>
      <c r="H65" s="25">
        <f t="array" ref="H65">(IF(COUNT(I65,K65,N65,Q65,R65,S65)&lt;4,SUM(I65,K65,N65,Q65,R65,S65),SUM(LARGE((I65,K65,N65,Q65,R65,S65),{1;2;3;4}))))+(IF(COUNT(J65,L65,M65,O65,P65,T65)&lt;4,SUM(J65,L65,M65,O65,P65,T65),SUM(LARGE((J65,L65,M65,O65,P65,T65),{1;2;3;4}))))</f>
        <v>13</v>
      </c>
      <c r="I65" s="185">
        <v>1</v>
      </c>
      <c r="J65" s="185">
        <v>2</v>
      </c>
      <c r="K65" s="631" t="s">
        <v>677</v>
      </c>
      <c r="L65" s="185">
        <v>2</v>
      </c>
      <c r="M65" s="361">
        <v>2</v>
      </c>
      <c r="N65" s="361">
        <v>1</v>
      </c>
      <c r="O65" s="631" t="s">
        <v>677</v>
      </c>
      <c r="P65" s="631" t="s">
        <v>677</v>
      </c>
      <c r="Q65" s="631" t="s">
        <v>677</v>
      </c>
      <c r="R65" s="361">
        <v>5</v>
      </c>
      <c r="S65" s="185"/>
      <c r="T65" s="185"/>
      <c r="U65" s="602">
        <f t="shared" si="11"/>
        <v>6</v>
      </c>
      <c r="V65" s="603">
        <f t="shared" si="12"/>
        <v>0</v>
      </c>
      <c r="W65" s="604">
        <f t="shared" si="13"/>
        <v>0</v>
      </c>
      <c r="X65" s="682">
        <f t="shared" si="14"/>
        <v>0</v>
      </c>
    </row>
    <row r="66" spans="1:24" s="2" customFormat="1" x14ac:dyDescent="0.2">
      <c r="A66" s="24">
        <f t="shared" si="8"/>
        <v>58</v>
      </c>
      <c r="B66" s="143">
        <v>58</v>
      </c>
      <c r="C66" s="364"/>
      <c r="D66" s="186" t="s">
        <v>63</v>
      </c>
      <c r="E66" s="164">
        <v>13.00000000202</v>
      </c>
      <c r="F66" s="25">
        <f t="shared" si="9"/>
        <v>13.00000000202</v>
      </c>
      <c r="G66" s="144">
        <f t="shared" si="10"/>
        <v>2.0200000000000001E-9</v>
      </c>
      <c r="H66" s="25">
        <f t="array" ref="H66">(IF(COUNT(I66,K66,N66,Q66,R66,S66)&lt;4,SUM(I66,K66,N66,Q66,R66,S66),SUM(LARGE((I66,K66,N66,Q66,R66,S66),{1;2;3;4}))))+(IF(COUNT(J66,L66,M66,O66,P66,T66)&lt;4,SUM(J66,L66,M66,O66,P66,T66),SUM(LARGE((J66,L66,M66,O66,P66,T66),{1;2;3;4}))))</f>
        <v>13</v>
      </c>
      <c r="I66" s="631" t="s">
        <v>677</v>
      </c>
      <c r="J66" s="185">
        <v>4</v>
      </c>
      <c r="K66" s="631" t="s">
        <v>677</v>
      </c>
      <c r="L66" s="631" t="s">
        <v>677</v>
      </c>
      <c r="M66" s="631" t="s">
        <v>677</v>
      </c>
      <c r="N66" s="361">
        <v>1</v>
      </c>
      <c r="O66" s="185">
        <v>2</v>
      </c>
      <c r="P66" s="185"/>
      <c r="Q66" s="361">
        <v>4</v>
      </c>
      <c r="R66" s="185"/>
      <c r="S66" s="185"/>
      <c r="T66" s="361">
        <v>2</v>
      </c>
      <c r="U66" s="602">
        <f t="shared" si="11"/>
        <v>5</v>
      </c>
      <c r="V66" s="603">
        <f t="shared" si="12"/>
        <v>0</v>
      </c>
      <c r="W66" s="604">
        <f t="shared" si="13"/>
        <v>0</v>
      </c>
      <c r="X66" s="682">
        <f t="shared" si="14"/>
        <v>0</v>
      </c>
    </row>
    <row r="67" spans="1:24" s="2" customFormat="1" x14ac:dyDescent="0.2">
      <c r="A67" s="24">
        <f t="shared" si="8"/>
        <v>59</v>
      </c>
      <c r="B67" s="143">
        <v>59</v>
      </c>
      <c r="C67" s="364"/>
      <c r="D67" s="362" t="s">
        <v>693</v>
      </c>
      <c r="E67" s="164">
        <v>12.00001</v>
      </c>
      <c r="F67" s="25">
        <f t="shared" si="9"/>
        <v>12.00001</v>
      </c>
      <c r="G67" s="144">
        <f t="shared" si="10"/>
        <v>1.0000000000000001E-5</v>
      </c>
      <c r="H67" s="25">
        <f t="array" ref="H67">(IF(COUNT(I67,K67,N67,Q67,R67,S67)&lt;4,SUM(I67,K67,N67,Q67,R67,S67),SUM(LARGE((I67,K67,N67,Q67,R67,S67),{1;2;3;4}))))+(IF(COUNT(J67,L67,M67,O67,P67,P67,T67)&lt;4,SUM(J67,L67,M67,O67,P67,P67,T67),SUM(LARGE((J67,L67,M67,O67,P67,P67,T67),{1;2;3;4}))))</f>
        <v>12</v>
      </c>
      <c r="I67" s="631" t="s">
        <v>677</v>
      </c>
      <c r="J67" s="631" t="s">
        <v>677</v>
      </c>
      <c r="K67" s="631" t="s">
        <v>677</v>
      </c>
      <c r="L67" s="631" t="s">
        <v>677</v>
      </c>
      <c r="M67" s="185"/>
      <c r="N67" s="185"/>
      <c r="O67" s="185"/>
      <c r="P67" s="185"/>
      <c r="Q67" s="185"/>
      <c r="R67" s="185"/>
      <c r="S67" s="185"/>
      <c r="T67" s="361">
        <v>12</v>
      </c>
      <c r="U67" s="602">
        <f t="shared" si="11"/>
        <v>1</v>
      </c>
      <c r="V67" s="603">
        <f t="shared" si="12"/>
        <v>0</v>
      </c>
      <c r="W67" s="604">
        <f t="shared" si="13"/>
        <v>0</v>
      </c>
      <c r="X67" s="682">
        <f t="shared" si="14"/>
        <v>0</v>
      </c>
    </row>
    <row r="68" spans="1:24" s="2" customFormat="1" x14ac:dyDescent="0.2">
      <c r="A68" s="24">
        <f t="shared" si="8"/>
        <v>59</v>
      </c>
      <c r="B68" s="143">
        <v>59</v>
      </c>
      <c r="C68" s="364"/>
      <c r="D68" s="26" t="s">
        <v>525</v>
      </c>
      <c r="E68" s="683">
        <v>12.00001</v>
      </c>
      <c r="F68" s="25">
        <f t="shared" si="9"/>
        <v>12.00001</v>
      </c>
      <c r="G68" s="144">
        <f t="shared" si="10"/>
        <v>1.0000000000000001E-5</v>
      </c>
      <c r="H68" s="25">
        <f t="array" ref="H68">(IF(COUNT(I68,K68,N68,Q68,R68,S68)&lt;4,SUM(I68,K68,N68,Q68,R68,S68),SUM(LARGE((I68,K68,N68,Q68,R68,S68),{1;2;3;4}))))+(IF(COUNT(J68,L68,M68,O68,P68,T68)&lt;4,SUM(J68,L68,M68,O68,P68,T68),SUM(LARGE((J68,L68,M68,O68,P68,T68),{1;2;3;4}))))</f>
        <v>12</v>
      </c>
      <c r="I68" s="631" t="s">
        <v>677</v>
      </c>
      <c r="J68" s="631" t="s">
        <v>677</v>
      </c>
      <c r="K68" s="631" t="s">
        <v>677</v>
      </c>
      <c r="L68" s="631" t="s">
        <v>677</v>
      </c>
      <c r="M68" s="185"/>
      <c r="N68" s="185"/>
      <c r="O68" s="185"/>
      <c r="P68" s="361">
        <v>12</v>
      </c>
      <c r="Q68" s="361"/>
      <c r="R68" s="185"/>
      <c r="S68" s="185"/>
      <c r="T68" s="185"/>
      <c r="U68" s="602">
        <f t="shared" si="11"/>
        <v>1</v>
      </c>
      <c r="V68" s="603">
        <f t="shared" si="12"/>
        <v>0</v>
      </c>
      <c r="W68" s="604">
        <f t="shared" si="13"/>
        <v>0</v>
      </c>
      <c r="X68" s="682">
        <f t="shared" si="14"/>
        <v>0</v>
      </c>
    </row>
    <row r="69" spans="1:24" s="2" customFormat="1" x14ac:dyDescent="0.2">
      <c r="A69" s="24">
        <f t="shared" si="8"/>
        <v>59</v>
      </c>
      <c r="B69" s="143">
        <v>59</v>
      </c>
      <c r="C69" s="364"/>
      <c r="D69" s="186" t="s">
        <v>269</v>
      </c>
      <c r="E69" s="164">
        <v>12.00001</v>
      </c>
      <c r="F69" s="25">
        <f t="shared" si="9"/>
        <v>12.00001</v>
      </c>
      <c r="G69" s="144">
        <f t="shared" si="10"/>
        <v>1.0000000000000001E-5</v>
      </c>
      <c r="H69" s="25">
        <f t="array" ref="H69">(IF(COUNT(I69,K69,N69,Q69,R69,S69)&lt;4,SUM(I69,K69,N69,Q69,R69,S69),SUM(LARGE((I69,K69,N69,Q69,R69,S69),{1;2;3;4}))))+(IF(COUNT(J69,L69,M69,O69,P69,T69)&lt;4,SUM(J69,L69,M69,O69,P69,T69),SUM(LARGE((J69,L69,M69,O69,P69,T69),{1;2;3;4}))))</f>
        <v>12</v>
      </c>
      <c r="I69" s="631" t="s">
        <v>677</v>
      </c>
      <c r="J69" s="631" t="s">
        <v>677</v>
      </c>
      <c r="K69" s="185">
        <v>12</v>
      </c>
      <c r="L69" s="631" t="s">
        <v>677</v>
      </c>
      <c r="M69" s="185"/>
      <c r="N69" s="631" t="s">
        <v>677</v>
      </c>
      <c r="O69" s="185"/>
      <c r="P69" s="185"/>
      <c r="Q69" s="185"/>
      <c r="R69" s="185"/>
      <c r="S69" s="185"/>
      <c r="T69" s="185"/>
      <c r="U69" s="602">
        <f t="shared" si="11"/>
        <v>1</v>
      </c>
      <c r="V69" s="603">
        <f t="shared" si="12"/>
        <v>1</v>
      </c>
      <c r="W69" s="604">
        <f t="shared" si="13"/>
        <v>0</v>
      </c>
      <c r="X69" s="682">
        <f t="shared" si="14"/>
        <v>0</v>
      </c>
    </row>
    <row r="70" spans="1:24" s="2" customFormat="1" x14ac:dyDescent="0.2">
      <c r="A70" s="24">
        <f t="shared" si="8"/>
        <v>59</v>
      </c>
      <c r="B70" s="143">
        <v>59</v>
      </c>
      <c r="C70" s="364"/>
      <c r="D70" s="27" t="s">
        <v>694</v>
      </c>
      <c r="E70" s="164">
        <v>12.00001</v>
      </c>
      <c r="F70" s="25">
        <f t="shared" si="9"/>
        <v>12.00001</v>
      </c>
      <c r="G70" s="144">
        <f t="shared" si="10"/>
        <v>1.0000000000000001E-5</v>
      </c>
      <c r="H70" s="25">
        <f t="array" ref="H70">(IF(COUNT(I70,K70,N70,Q70,R70,S70)&lt;4,SUM(I70,K70,N70,Q70,R70,S70),SUM(LARGE((I70,K70,N70,Q70,R70,S70),{1;2;3;4}))))+(IF(COUNT(J70,L70,M70,O70,P70,P70,T70)&lt;4,SUM(J70,L70,M70,O70,P70,P70,T70),SUM(LARGE((J70,L70,M70,O70,P70,P70,T70),{1;2;3;4}))))</f>
        <v>12</v>
      </c>
      <c r="I70" s="631" t="s">
        <v>677</v>
      </c>
      <c r="J70" s="631" t="s">
        <v>677</v>
      </c>
      <c r="K70" s="631" t="s">
        <v>677</v>
      </c>
      <c r="L70" s="631" t="s">
        <v>677</v>
      </c>
      <c r="M70" s="185"/>
      <c r="N70" s="185"/>
      <c r="O70" s="185"/>
      <c r="P70" s="185"/>
      <c r="Q70" s="185"/>
      <c r="R70" s="185"/>
      <c r="S70" s="185"/>
      <c r="T70" s="361">
        <v>12</v>
      </c>
      <c r="U70" s="602">
        <f t="shared" si="11"/>
        <v>1</v>
      </c>
      <c r="V70" s="603">
        <f t="shared" si="12"/>
        <v>0</v>
      </c>
      <c r="W70" s="604">
        <f t="shared" si="13"/>
        <v>0</v>
      </c>
      <c r="X70" s="682">
        <f t="shared" si="14"/>
        <v>0</v>
      </c>
    </row>
    <row r="71" spans="1:24" s="2" customFormat="1" x14ac:dyDescent="0.2">
      <c r="A71" s="24">
        <f t="shared" si="8"/>
        <v>63</v>
      </c>
      <c r="B71" s="143">
        <v>63</v>
      </c>
      <c r="C71" s="364"/>
      <c r="D71" s="583" t="s">
        <v>507</v>
      </c>
      <c r="E71" s="164">
        <v>11.000000100999999</v>
      </c>
      <c r="F71" s="25">
        <f t="shared" si="9"/>
        <v>11.000000100999999</v>
      </c>
      <c r="G71" s="144">
        <f t="shared" si="10"/>
        <v>1.0099999999999999E-7</v>
      </c>
      <c r="H71" s="25">
        <f t="array" ref="H71">(IF(COUNT(I71,K71,N71,Q71,R71,S71)&lt;4,SUM(I71,K71,N71,Q71,R71,S71),SUM(LARGE((I71,K71,N71,Q71,R71,S71),{1;2;3;4}))))+(IF(COUNT(J71,L71,M71,O71,P71,T71)&lt;4,SUM(J71,L71,M71,O71,P71,T71),SUM(LARGE((J71,L71,M71,O71,P71,T71),{1;2;3;4}))))</f>
        <v>11</v>
      </c>
      <c r="I71" s="631" t="s">
        <v>677</v>
      </c>
      <c r="J71" s="631" t="s">
        <v>677</v>
      </c>
      <c r="K71" s="631" t="s">
        <v>677</v>
      </c>
      <c r="L71" s="631" t="s">
        <v>677</v>
      </c>
      <c r="M71" s="185"/>
      <c r="N71" s="185"/>
      <c r="O71" s="185">
        <v>4</v>
      </c>
      <c r="P71" s="185"/>
      <c r="Q71" s="185"/>
      <c r="R71" s="361">
        <v>7</v>
      </c>
      <c r="S71" s="185"/>
      <c r="T71" s="185"/>
      <c r="U71" s="602">
        <f t="shared" si="11"/>
        <v>2</v>
      </c>
      <c r="V71" s="603">
        <f t="shared" si="12"/>
        <v>0</v>
      </c>
      <c r="W71" s="604">
        <f t="shared" si="13"/>
        <v>0</v>
      </c>
      <c r="X71" s="682">
        <f t="shared" si="14"/>
        <v>0</v>
      </c>
    </row>
    <row r="72" spans="1:24" s="2" customFormat="1" x14ac:dyDescent="0.2">
      <c r="A72" s="24">
        <f t="shared" si="8"/>
        <v>64</v>
      </c>
      <c r="B72" s="143">
        <v>64</v>
      </c>
      <c r="C72" s="364">
        <v>4</v>
      </c>
      <c r="D72" s="363" t="s">
        <v>435</v>
      </c>
      <c r="E72" s="164">
        <v>11.000000001029999</v>
      </c>
      <c r="F72" s="25">
        <f t="shared" si="9"/>
        <v>11.000000001029999</v>
      </c>
      <c r="G72" s="144">
        <f t="shared" si="10"/>
        <v>1.03E-9</v>
      </c>
      <c r="H72" s="25">
        <f t="array" ref="H72">(IF(COUNT(I72,K72,N72,Q72,R72,S72)&lt;4,SUM(I72,K72,N72,Q72,R72,S72),SUM(LARGE((I72,K72,N72,Q72,R72,S72),{1;2;3;4}))))+(IF(COUNT(J72,L72,M72,O72,P72,T72)&lt;4,SUM(J72,L72,M72,O72,P72,T72),SUM(LARGE((J72,L72,M72,O72,P72,T72),{1;2;3;4}))))</f>
        <v>11</v>
      </c>
      <c r="I72" s="631" t="s">
        <v>677</v>
      </c>
      <c r="J72" s="631" t="s">
        <v>677</v>
      </c>
      <c r="K72" s="631" t="s">
        <v>677</v>
      </c>
      <c r="L72" s="185">
        <v>2</v>
      </c>
      <c r="M72" s="361">
        <v>4</v>
      </c>
      <c r="N72" s="185"/>
      <c r="O72" s="631" t="s">
        <v>677</v>
      </c>
      <c r="P72" s="361">
        <v>2</v>
      </c>
      <c r="Q72" s="361">
        <v>1</v>
      </c>
      <c r="R72" s="185"/>
      <c r="S72" s="185"/>
      <c r="T72" s="361">
        <v>2</v>
      </c>
      <c r="U72" s="602">
        <f t="shared" si="11"/>
        <v>5</v>
      </c>
      <c r="V72" s="603">
        <f t="shared" si="12"/>
        <v>0</v>
      </c>
      <c r="W72" s="604">
        <f t="shared" si="13"/>
        <v>0</v>
      </c>
      <c r="X72" s="682">
        <f t="shared" si="14"/>
        <v>0</v>
      </c>
    </row>
    <row r="73" spans="1:24" s="2" customFormat="1" x14ac:dyDescent="0.2">
      <c r="A73" s="24">
        <f t="shared" ref="A73:A104" si="15">IF((F73=0),"",RANK(F73,F$9:F$122,0))</f>
        <v>65</v>
      </c>
      <c r="B73" s="143">
        <v>65</v>
      </c>
      <c r="C73" s="364"/>
      <c r="D73" s="186" t="s">
        <v>255</v>
      </c>
      <c r="E73" s="164">
        <v>11.00000000004</v>
      </c>
      <c r="F73" s="25">
        <f t="shared" ref="F73:F104" si="16">G73+H73</f>
        <v>11.00000000004</v>
      </c>
      <c r="G73" s="144">
        <f t="shared" ref="G73:G104" si="17">COUNTIF(I73:T73,25)/100+COUNTIF(I73:T73,20)/1000+COUNTIF(I73:T73,16)/10000+COUNTIF(I73:T73,12)/100000+COUNTIF(I73:T73,9)/1000000+COUNTIF(I73:T73,7)/10000000+COUNTIF(I73:T73,5)/100000000+COUNTIF(I73:T73,4)/1000000000+COUNTIF(I73:T73,3)/10000000000+COUNTIF(I73:T73,2)/100000000000</f>
        <v>3.9999999999999998E-11</v>
      </c>
      <c r="H73" s="25">
        <f t="array" ref="H73">(IF(COUNT(I73,K73,N73,Q73,R73,S73)&lt;4,SUM(I73,K73,N73,Q73,R73,S73),SUM(LARGE((I73,K73,N73,Q73,R73,S73),{1;2;3;4}))))+(IF(COUNT(J73,L73,M73,O73,P73,T73)&lt;4,SUM(J73,L73,M73,O73,P73,T73),SUM(LARGE((J73,L73,M73,O73,P73,T73),{1;2;3;4}))))</f>
        <v>11</v>
      </c>
      <c r="I73" s="185">
        <v>1</v>
      </c>
      <c r="J73" s="631" t="s">
        <v>677</v>
      </c>
      <c r="K73" s="631" t="s">
        <v>677</v>
      </c>
      <c r="L73" s="185">
        <v>2</v>
      </c>
      <c r="M73" s="361">
        <v>2</v>
      </c>
      <c r="N73" s="361">
        <v>1</v>
      </c>
      <c r="O73" s="185">
        <v>2</v>
      </c>
      <c r="P73" s="631" t="s">
        <v>677</v>
      </c>
      <c r="Q73" s="631" t="s">
        <v>677</v>
      </c>
      <c r="R73" s="361">
        <v>1</v>
      </c>
      <c r="S73" s="185"/>
      <c r="T73" s="361">
        <v>2</v>
      </c>
      <c r="U73" s="602">
        <f t="shared" ref="U73:U104" si="18">COUNTIF(I73:T73,"&gt;0")</f>
        <v>7</v>
      </c>
      <c r="V73" s="603">
        <f t="shared" ref="V73:V104" si="19">COUNTIF(I73,"&gt;=12")+COUNTIF(K73,"&gt;=12")+COUNTIF(N73,"&gt;=12")+COUNTIF(Q73:S73,"&gt;=12")+COUNTIF(J73,"&gt;=16")+COUNTIF(L73:M73,"&gt;=16")+COUNTIF(O73:P73,"&gt;=16")+COUNTIF(T73,"&gt;=16")</f>
        <v>0</v>
      </c>
      <c r="W73" s="604">
        <f t="shared" ref="W73:W104" si="20">COUNTIF(I73,"=20")+COUNTIF(K73,"=20")+COUNTIF(N73,"=20")+COUNTIF(Q73:S73,"=20")+COUNTIF(I73:T73,"=25")</f>
        <v>0</v>
      </c>
      <c r="X73" s="682">
        <f t="shared" ref="X73:X104" si="21">COUNTIF(I73:T73,"=25")</f>
        <v>0</v>
      </c>
    </row>
    <row r="74" spans="1:24" s="2" customFormat="1" x14ac:dyDescent="0.2">
      <c r="A74" s="24">
        <f t="shared" si="15"/>
        <v>66</v>
      </c>
      <c r="B74" s="143">
        <v>66</v>
      </c>
      <c r="C74" s="364"/>
      <c r="D74" s="186" t="s">
        <v>48</v>
      </c>
      <c r="E74" s="164">
        <v>10.000000010020001</v>
      </c>
      <c r="F74" s="25">
        <f t="shared" si="16"/>
        <v>10.000000010020001</v>
      </c>
      <c r="G74" s="144">
        <f t="shared" si="17"/>
        <v>1.002E-8</v>
      </c>
      <c r="H74" s="25">
        <f t="array" ref="H74">(IF(COUNT(I74,K74,N74,Q74,R74,S74)&lt;4,SUM(I74,K74,N74,Q74,R74,S74),SUM(LARGE((I74,K74,N74,Q74,R74,S74),{1;2;3;4}))))+(IF(COUNT(J74,L74,M74,O74,P74,T74)&lt;4,SUM(J74,L74,M74,O74,P74,T74),SUM(LARGE((J74,L74,M74,O74,P74,T74),{1;2;3;4}))))</f>
        <v>10</v>
      </c>
      <c r="I74" s="185">
        <v>1</v>
      </c>
      <c r="J74" s="631" t="s">
        <v>677</v>
      </c>
      <c r="K74" s="631" t="s">
        <v>677</v>
      </c>
      <c r="L74" s="185">
        <v>2</v>
      </c>
      <c r="M74" s="631" t="s">
        <v>677</v>
      </c>
      <c r="N74" s="361">
        <v>5</v>
      </c>
      <c r="O74" s="185"/>
      <c r="P74" s="185"/>
      <c r="Q74" s="631" t="s">
        <v>677</v>
      </c>
      <c r="R74" s="185"/>
      <c r="S74" s="185"/>
      <c r="T74" s="361">
        <v>2</v>
      </c>
      <c r="U74" s="602">
        <f t="shared" si="18"/>
        <v>4</v>
      </c>
      <c r="V74" s="603">
        <f t="shared" si="19"/>
        <v>0</v>
      </c>
      <c r="W74" s="604">
        <f t="shared" si="20"/>
        <v>0</v>
      </c>
      <c r="X74" s="682">
        <f t="shared" si="21"/>
        <v>0</v>
      </c>
    </row>
    <row r="75" spans="1:24" s="2" customFormat="1" x14ac:dyDescent="0.2">
      <c r="A75" s="24">
        <f t="shared" si="15"/>
        <v>67</v>
      </c>
      <c r="B75" s="143">
        <v>67</v>
      </c>
      <c r="C75" s="364"/>
      <c r="D75" s="18" t="s">
        <v>527</v>
      </c>
      <c r="E75" s="683">
        <v>9.0000009999999993</v>
      </c>
      <c r="F75" s="25">
        <f t="shared" si="16"/>
        <v>9.0000009999999993</v>
      </c>
      <c r="G75" s="144">
        <f t="shared" si="17"/>
        <v>9.9999999999999995E-7</v>
      </c>
      <c r="H75" s="25">
        <f t="array" ref="H75">(IF(COUNT(I75,K75,N75,Q75,R75,S75)&lt;4,SUM(I75,K75,N75,Q75,R75,S75),SUM(LARGE((I75,K75,N75,Q75,R75,S75),{1;2;3;4}))))+(IF(COUNT(J75,L75,M75,O75,P75,T75)&lt;4,SUM(J75,L75,M75,O75,P75,T75),SUM(LARGE((J75,L75,M75,O75,P75,T75),{1;2;3;4}))))</f>
        <v>9</v>
      </c>
      <c r="I75" s="631" t="s">
        <v>677</v>
      </c>
      <c r="J75" s="631" t="s">
        <v>677</v>
      </c>
      <c r="K75" s="631" t="s">
        <v>677</v>
      </c>
      <c r="L75" s="631" t="s">
        <v>677</v>
      </c>
      <c r="M75" s="185"/>
      <c r="N75" s="185"/>
      <c r="O75" s="185"/>
      <c r="P75" s="361"/>
      <c r="Q75" s="361">
        <v>9</v>
      </c>
      <c r="R75" s="185"/>
      <c r="S75" s="185"/>
      <c r="T75" s="185"/>
      <c r="U75" s="602">
        <f t="shared" si="18"/>
        <v>1</v>
      </c>
      <c r="V75" s="603">
        <f t="shared" si="19"/>
        <v>0</v>
      </c>
      <c r="W75" s="604">
        <f t="shared" si="20"/>
        <v>0</v>
      </c>
      <c r="X75" s="682">
        <f t="shared" si="21"/>
        <v>0</v>
      </c>
    </row>
    <row r="76" spans="1:24" s="2" customFormat="1" x14ac:dyDescent="0.2">
      <c r="A76" s="24">
        <f t="shared" si="15"/>
        <v>67</v>
      </c>
      <c r="B76" s="143">
        <v>67</v>
      </c>
      <c r="C76" s="364"/>
      <c r="D76" s="27" t="s">
        <v>700</v>
      </c>
      <c r="E76" s="164">
        <v>9.0000009999999993</v>
      </c>
      <c r="F76" s="25">
        <f t="shared" si="16"/>
        <v>9.0000009999999993</v>
      </c>
      <c r="G76" s="144">
        <f t="shared" si="17"/>
        <v>9.9999999999999995E-7</v>
      </c>
      <c r="H76" s="25">
        <f t="array" ref="H76">(IF(COUNT(I76,K76,N76,Q76,R76,S76)&lt;4,SUM(I76,K76,N76,Q76,R76,S76),SUM(LARGE((I76,K76,N76,Q76,R76,S76),{1;2;3;4}))))+(IF(COUNT(J76,L76,M76,O76,P76,P76,T76)&lt;4,SUM(J76,L76,M76,O76,P76,P76,T76),SUM(LARGE((J76,L76,M76,O76,P76,P76,T76),{1;2;3;4}))))</f>
        <v>9</v>
      </c>
      <c r="I76" s="631" t="s">
        <v>677</v>
      </c>
      <c r="J76" s="631" t="s">
        <v>677</v>
      </c>
      <c r="K76" s="631" t="s">
        <v>677</v>
      </c>
      <c r="L76" s="631" t="s">
        <v>677</v>
      </c>
      <c r="M76" s="185"/>
      <c r="N76" s="185"/>
      <c r="O76" s="185"/>
      <c r="P76" s="185"/>
      <c r="Q76" s="185"/>
      <c r="R76" s="185"/>
      <c r="S76" s="185"/>
      <c r="T76" s="361">
        <v>9</v>
      </c>
      <c r="U76" s="602">
        <f t="shared" si="18"/>
        <v>1</v>
      </c>
      <c r="V76" s="603">
        <f t="shared" si="19"/>
        <v>0</v>
      </c>
      <c r="W76" s="604">
        <f t="shared" si="20"/>
        <v>0</v>
      </c>
      <c r="X76" s="682">
        <f t="shared" si="21"/>
        <v>0</v>
      </c>
    </row>
    <row r="77" spans="1:24" s="2" customFormat="1" x14ac:dyDescent="0.2">
      <c r="A77" s="24">
        <f t="shared" si="15"/>
        <v>69</v>
      </c>
      <c r="B77" s="143">
        <v>69</v>
      </c>
      <c r="C77" s="364"/>
      <c r="D77" s="186" t="s">
        <v>256</v>
      </c>
      <c r="E77" s="164">
        <v>9.0000001000100003</v>
      </c>
      <c r="F77" s="25">
        <f t="shared" si="16"/>
        <v>9.0000001000100003</v>
      </c>
      <c r="G77" s="144">
        <f t="shared" si="17"/>
        <v>1.0000999999999999E-7</v>
      </c>
      <c r="H77" s="25">
        <f t="array" ref="H77">(IF(COUNT(I77,K77,N77,Q77,R77,S77)&lt;4,SUM(I77,K77,N77,Q77,R77,S77),SUM(LARGE((I77,K77,N77,Q77,R77,S77),{1;2;3;4}))))+(IF(COUNT(J77,L77,M77,O77,P77,T77)&lt;4,SUM(J77,L77,M77,O77,P77,T77),SUM(LARGE((J77,L77,M77,O77,P77,T77),{1;2;3;4}))))</f>
        <v>9</v>
      </c>
      <c r="I77" s="631" t="s">
        <v>677</v>
      </c>
      <c r="J77" s="185">
        <v>7</v>
      </c>
      <c r="K77" s="631" t="s">
        <v>677</v>
      </c>
      <c r="L77" s="185">
        <v>2</v>
      </c>
      <c r="M77" s="631" t="s">
        <v>677</v>
      </c>
      <c r="N77" s="185"/>
      <c r="O77" s="631" t="s">
        <v>677</v>
      </c>
      <c r="P77" s="185"/>
      <c r="Q77" s="185"/>
      <c r="R77" s="185"/>
      <c r="S77" s="185"/>
      <c r="T77" s="185"/>
      <c r="U77" s="602">
        <f t="shared" si="18"/>
        <v>2</v>
      </c>
      <c r="V77" s="603">
        <f t="shared" si="19"/>
        <v>0</v>
      </c>
      <c r="W77" s="604">
        <f t="shared" si="20"/>
        <v>0</v>
      </c>
      <c r="X77" s="682">
        <f t="shared" si="21"/>
        <v>0</v>
      </c>
    </row>
    <row r="78" spans="1:24" s="2" customFormat="1" x14ac:dyDescent="0.2">
      <c r="A78" s="24">
        <f t="shared" si="15"/>
        <v>70</v>
      </c>
      <c r="B78" s="143">
        <v>70</v>
      </c>
      <c r="C78" s="364"/>
      <c r="D78" s="186" t="s">
        <v>56</v>
      </c>
      <c r="E78" s="164">
        <v>8.0000000001099991</v>
      </c>
      <c r="F78" s="25">
        <f t="shared" si="16"/>
        <v>8.0000000001099991</v>
      </c>
      <c r="G78" s="144">
        <f t="shared" si="17"/>
        <v>1.1000000000000001E-10</v>
      </c>
      <c r="H78" s="25">
        <f t="array" ref="H78">(IF(COUNT(I78,K78,N78,Q78,R78,S78)&lt;4,SUM(I78,K78,N78,Q78,R78,S78),SUM(LARGE((I78,K78,N78,Q78,R78,S78),{1;2;3;4}))))+(IF(COUNT(J78,L78,M78,O78,P78,T78)&lt;4,SUM(J78,L78,M78,O78,P78,T78),SUM(LARGE((J78,L78,M78,O78,P78,T78),{1;2;3;4}))))</f>
        <v>8</v>
      </c>
      <c r="I78" s="631">
        <v>1</v>
      </c>
      <c r="J78" s="185">
        <v>2</v>
      </c>
      <c r="K78" s="185">
        <v>1</v>
      </c>
      <c r="L78" s="631" t="s">
        <v>677</v>
      </c>
      <c r="M78" s="631" t="s">
        <v>677</v>
      </c>
      <c r="N78" s="361">
        <v>1</v>
      </c>
      <c r="O78" s="185"/>
      <c r="P78" s="185"/>
      <c r="Q78" s="361">
        <v>3</v>
      </c>
      <c r="R78" s="361">
        <v>1</v>
      </c>
      <c r="S78" s="631" t="s">
        <v>677</v>
      </c>
      <c r="T78" s="185"/>
      <c r="U78" s="602">
        <f t="shared" si="18"/>
        <v>6</v>
      </c>
      <c r="V78" s="603">
        <f t="shared" si="19"/>
        <v>0</v>
      </c>
      <c r="W78" s="604">
        <f t="shared" si="20"/>
        <v>0</v>
      </c>
      <c r="X78" s="682">
        <f t="shared" si="21"/>
        <v>0</v>
      </c>
    </row>
    <row r="79" spans="1:24" s="2" customFormat="1" x14ac:dyDescent="0.2">
      <c r="A79" s="24">
        <f t="shared" si="15"/>
        <v>70</v>
      </c>
      <c r="B79" s="143">
        <v>70</v>
      </c>
      <c r="C79" s="364"/>
      <c r="D79" s="186" t="s">
        <v>53</v>
      </c>
      <c r="E79" s="164">
        <v>8.0000000001099991</v>
      </c>
      <c r="F79" s="25">
        <f t="shared" si="16"/>
        <v>8.0000000001099991</v>
      </c>
      <c r="G79" s="144">
        <f t="shared" si="17"/>
        <v>1.1000000000000001E-10</v>
      </c>
      <c r="H79" s="25">
        <f t="array" ref="H79">(IF(COUNT(I79,K79,N79,Q79,R79,S79)&lt;4,SUM(I79,K79,N79,Q79,R79,S79),SUM(LARGE((I79,K79,N79,Q79,R79,S79),{1;2;3;4}))))+(IF(COUNT(J79,L79,M79,O79,P79,T79)&lt;4,SUM(J79,L79,M79,O79,P79,T79),SUM(LARGE((J79,L79,M79,O79,P79,T79),{1;2;3;4}))))</f>
        <v>8</v>
      </c>
      <c r="I79" s="631">
        <v>1</v>
      </c>
      <c r="J79" s="185">
        <v>2</v>
      </c>
      <c r="K79" s="185">
        <v>1</v>
      </c>
      <c r="L79" s="631" t="s">
        <v>677</v>
      </c>
      <c r="M79" s="631" t="s">
        <v>677</v>
      </c>
      <c r="N79" s="361">
        <v>1</v>
      </c>
      <c r="O79" s="185"/>
      <c r="P79" s="185"/>
      <c r="Q79" s="361">
        <v>3</v>
      </c>
      <c r="R79" s="361">
        <v>1</v>
      </c>
      <c r="S79" s="631" t="s">
        <v>677</v>
      </c>
      <c r="T79" s="185"/>
      <c r="U79" s="602">
        <f t="shared" si="18"/>
        <v>6</v>
      </c>
      <c r="V79" s="603">
        <f t="shared" si="19"/>
        <v>0</v>
      </c>
      <c r="W79" s="604">
        <f t="shared" si="20"/>
        <v>0</v>
      </c>
      <c r="X79" s="682">
        <f t="shared" si="21"/>
        <v>0</v>
      </c>
    </row>
    <row r="80" spans="1:24" s="2" customFormat="1" x14ac:dyDescent="0.2">
      <c r="A80" s="24">
        <f t="shared" si="15"/>
        <v>72</v>
      </c>
      <c r="B80" s="143">
        <v>72</v>
      </c>
      <c r="C80" s="364"/>
      <c r="D80" s="27" t="s">
        <v>265</v>
      </c>
      <c r="E80" s="684">
        <v>7.0000000010100001</v>
      </c>
      <c r="F80" s="25">
        <f t="shared" si="16"/>
        <v>7.0000000010100001</v>
      </c>
      <c r="G80" s="144">
        <f t="shared" si="17"/>
        <v>1.01E-9</v>
      </c>
      <c r="H80" s="25">
        <f t="array" ref="H80">(IF(COUNT(I80,K80,N80,Q80,R80,S80)&lt;4,SUM(I80,K80,N80,Q80,R80,S80),SUM(LARGE((I80,K80,N80,Q80,R80,S80),{1;2;3;4}))))+(IF(COUNT(J80,L80,M80,O80,P80,T80)&lt;4,SUM(J80,L80,M80,O80,P80,T80),SUM(LARGE((J80,L80,M80,O80,P80,T80),{1;2;3;4}))))</f>
        <v>7</v>
      </c>
      <c r="I80" s="631" t="s">
        <v>677</v>
      </c>
      <c r="J80" s="185">
        <v>2</v>
      </c>
      <c r="K80" s="631" t="s">
        <v>677</v>
      </c>
      <c r="L80" s="631" t="s">
        <v>677</v>
      </c>
      <c r="M80" s="631" t="s">
        <v>677</v>
      </c>
      <c r="N80" s="185"/>
      <c r="O80" s="185"/>
      <c r="P80" s="361">
        <v>4</v>
      </c>
      <c r="Q80" s="361">
        <v>1</v>
      </c>
      <c r="R80" s="185"/>
      <c r="S80" s="185"/>
      <c r="T80" s="185"/>
      <c r="U80" s="602">
        <f t="shared" si="18"/>
        <v>3</v>
      </c>
      <c r="V80" s="603">
        <f t="shared" si="19"/>
        <v>0</v>
      </c>
      <c r="W80" s="604">
        <f t="shared" si="20"/>
        <v>0</v>
      </c>
      <c r="X80" s="682">
        <f t="shared" si="21"/>
        <v>0</v>
      </c>
    </row>
    <row r="81" spans="1:24" s="2" customFormat="1" x14ac:dyDescent="0.2">
      <c r="A81" s="24">
        <f t="shared" si="15"/>
        <v>72</v>
      </c>
      <c r="B81" s="143">
        <v>72</v>
      </c>
      <c r="C81" s="364"/>
      <c r="D81" s="362" t="s">
        <v>483</v>
      </c>
      <c r="E81" s="164">
        <v>7.0000000010100001</v>
      </c>
      <c r="F81" s="25">
        <f t="shared" si="16"/>
        <v>7.0000000010100001</v>
      </c>
      <c r="G81" s="144">
        <f t="shared" si="17"/>
        <v>1.01E-9</v>
      </c>
      <c r="H81" s="25">
        <f t="array" ref="H81">(IF(COUNT(I81,K81,N81,Q81,R81,S81)&lt;4,SUM(I81,K81,N81,Q81,R81,S81),SUM(LARGE((I81,K81,N81,Q81,R81,S81),{1;2;3;4}))))+(IF(COUNT(J81,L81,M81,O81,P81,T81)&lt;4,SUM(J81,L81,M81,O81,P81,T81),SUM(LARGE((J81,L81,M81,O81,P81,T81),{1;2;3;4}))))</f>
        <v>7</v>
      </c>
      <c r="I81" s="631" t="s">
        <v>677</v>
      </c>
      <c r="J81" s="631" t="s">
        <v>677</v>
      </c>
      <c r="K81" s="631" t="s">
        <v>677</v>
      </c>
      <c r="L81" s="631" t="s">
        <v>677</v>
      </c>
      <c r="M81" s="185"/>
      <c r="N81" s="361">
        <v>1</v>
      </c>
      <c r="O81" s="185"/>
      <c r="P81" s="185"/>
      <c r="Q81" s="185"/>
      <c r="R81" s="185"/>
      <c r="S81" s="361">
        <v>4</v>
      </c>
      <c r="T81" s="361">
        <v>2</v>
      </c>
      <c r="U81" s="602">
        <f t="shared" si="18"/>
        <v>3</v>
      </c>
      <c r="V81" s="603">
        <f t="shared" si="19"/>
        <v>0</v>
      </c>
      <c r="W81" s="604">
        <f t="shared" si="20"/>
        <v>0</v>
      </c>
      <c r="X81" s="682">
        <f t="shared" si="21"/>
        <v>0</v>
      </c>
    </row>
    <row r="82" spans="1:24" s="2" customFormat="1" x14ac:dyDescent="0.2">
      <c r="A82" s="24">
        <f t="shared" si="15"/>
        <v>72</v>
      </c>
      <c r="B82" s="143">
        <v>72</v>
      </c>
      <c r="C82" s="364"/>
      <c r="D82" s="362" t="s">
        <v>264</v>
      </c>
      <c r="E82" s="684">
        <v>7.0000000010100001</v>
      </c>
      <c r="F82" s="25">
        <f t="shared" si="16"/>
        <v>7.0000000010100001</v>
      </c>
      <c r="G82" s="144">
        <f t="shared" si="17"/>
        <v>1.01E-9</v>
      </c>
      <c r="H82" s="25">
        <f t="array" ref="H82">(IF(COUNT(I82,K82,N82,Q82,R82,S82)&lt;4,SUM(I82,K82,N82,Q82,R82,S82),SUM(LARGE((I82,K82,N82,Q82,R82,S82),{1;2;3;4}))))+(IF(COUNT(J82,L82,M82,O82,P82,T82)&lt;4,SUM(J82,L82,M82,O82,P82,T82),SUM(LARGE((J82,L82,M82,O82,P82,T82),{1;2;3;4}))))</f>
        <v>7</v>
      </c>
      <c r="I82" s="631" t="s">
        <v>677</v>
      </c>
      <c r="J82" s="185">
        <v>2</v>
      </c>
      <c r="K82" s="631" t="s">
        <v>677</v>
      </c>
      <c r="L82" s="631" t="s">
        <v>677</v>
      </c>
      <c r="M82" s="631" t="s">
        <v>677</v>
      </c>
      <c r="N82" s="185"/>
      <c r="O82" s="185"/>
      <c r="P82" s="361">
        <v>4</v>
      </c>
      <c r="Q82" s="361">
        <v>1</v>
      </c>
      <c r="R82" s="185"/>
      <c r="S82" s="185"/>
      <c r="T82" s="185"/>
      <c r="U82" s="602">
        <f t="shared" si="18"/>
        <v>3</v>
      </c>
      <c r="V82" s="603">
        <f t="shared" si="19"/>
        <v>0</v>
      </c>
      <c r="W82" s="604">
        <f t="shared" si="20"/>
        <v>0</v>
      </c>
      <c r="X82" s="682">
        <f t="shared" si="21"/>
        <v>0</v>
      </c>
    </row>
    <row r="83" spans="1:24" s="2" customFormat="1" ht="12.75" customHeight="1" x14ac:dyDescent="0.2">
      <c r="A83" s="24">
        <f t="shared" si="15"/>
        <v>75</v>
      </c>
      <c r="B83" s="143">
        <v>75</v>
      </c>
      <c r="C83" s="364"/>
      <c r="D83" s="362" t="s">
        <v>434</v>
      </c>
      <c r="E83" s="164">
        <v>6.00000000003</v>
      </c>
      <c r="F83" s="25">
        <f t="shared" si="16"/>
        <v>6.00000000003</v>
      </c>
      <c r="G83" s="144">
        <f t="shared" si="17"/>
        <v>3E-11</v>
      </c>
      <c r="H83" s="25">
        <f t="array" ref="H83">(IF(COUNT(I83,K83,N83,Q83,R83,S83)&lt;4,SUM(I83,K83,N83,Q83,R83,S83),SUM(LARGE((I83,K83,N83,Q83,R83,S83),{1;2;3;4}))))+(IF(COUNT(J83,L83,M83,O83,P83,T83)&lt;4,SUM(J83,L83,M83,O83,P83,T83),SUM(LARGE((J83,L83,M83,O83,P83,T83),{1;2;3;4}))))</f>
        <v>6</v>
      </c>
      <c r="I83" s="631" t="s">
        <v>677</v>
      </c>
      <c r="J83" s="631" t="s">
        <v>677</v>
      </c>
      <c r="K83" s="631" t="s">
        <v>677</v>
      </c>
      <c r="L83" s="185">
        <v>2</v>
      </c>
      <c r="M83" s="361">
        <v>2</v>
      </c>
      <c r="N83" s="185"/>
      <c r="O83" s="631" t="s">
        <v>677</v>
      </c>
      <c r="P83" s="185"/>
      <c r="Q83" s="185"/>
      <c r="R83" s="185"/>
      <c r="S83" s="185"/>
      <c r="T83" s="361">
        <v>2</v>
      </c>
      <c r="U83" s="602">
        <f t="shared" si="18"/>
        <v>3</v>
      </c>
      <c r="V83" s="603">
        <f t="shared" si="19"/>
        <v>0</v>
      </c>
      <c r="W83" s="604">
        <f t="shared" si="20"/>
        <v>0</v>
      </c>
      <c r="X83" s="682">
        <f t="shared" si="21"/>
        <v>0</v>
      </c>
    </row>
    <row r="84" spans="1:24" s="2" customFormat="1" ht="12.75" customHeight="1" x14ac:dyDescent="0.2">
      <c r="A84" s="24">
        <f t="shared" si="15"/>
        <v>76</v>
      </c>
      <c r="B84" s="143">
        <v>76</v>
      </c>
      <c r="C84" s="364"/>
      <c r="D84" s="186" t="s">
        <v>249</v>
      </c>
      <c r="E84" s="164">
        <v>5.0000000099999999</v>
      </c>
      <c r="F84" s="25">
        <f t="shared" si="16"/>
        <v>5.0000000099999999</v>
      </c>
      <c r="G84" s="144">
        <f t="shared" si="17"/>
        <v>1E-8</v>
      </c>
      <c r="H84" s="25">
        <f t="array" ref="H84">(IF(COUNT(I84,K84,N84,Q84,R84,S84)&lt;4,SUM(I84,K84,N84,Q84,R84,S84),SUM(LARGE((I84,K84,N84,Q84,R84,S84),{1;2;3;4}))))+(IF(COUNT(J84,L84,M84,O84,P84,T84)&lt;4,SUM(J84,L84,M84,O84,P84,T84),SUM(LARGE((J84,L84,M84,O84,P84,T84),{1;2;3;4}))))</f>
        <v>5</v>
      </c>
      <c r="I84" s="185">
        <v>5</v>
      </c>
      <c r="J84" s="631" t="s">
        <v>677</v>
      </c>
      <c r="K84" s="631" t="s">
        <v>677</v>
      </c>
      <c r="L84" s="631" t="s">
        <v>677</v>
      </c>
      <c r="M84" s="185"/>
      <c r="N84" s="631" t="s">
        <v>677</v>
      </c>
      <c r="O84" s="185"/>
      <c r="P84" s="185"/>
      <c r="Q84" s="185"/>
      <c r="R84" s="185"/>
      <c r="S84" s="185"/>
      <c r="T84" s="185"/>
      <c r="U84" s="602">
        <f t="shared" si="18"/>
        <v>1</v>
      </c>
      <c r="V84" s="603">
        <f t="shared" si="19"/>
        <v>0</v>
      </c>
      <c r="W84" s="604">
        <f t="shared" si="20"/>
        <v>0</v>
      </c>
      <c r="X84" s="682">
        <f t="shared" si="21"/>
        <v>0</v>
      </c>
    </row>
    <row r="85" spans="1:24" s="2" customFormat="1" ht="12.75" customHeight="1" x14ac:dyDescent="0.2">
      <c r="A85" s="24">
        <f t="shared" si="15"/>
        <v>76</v>
      </c>
      <c r="B85" s="143">
        <v>76</v>
      </c>
      <c r="C85" s="364"/>
      <c r="D85" s="26" t="s">
        <v>64</v>
      </c>
      <c r="E85" s="683">
        <v>5.0000000099999999</v>
      </c>
      <c r="F85" s="25">
        <f t="shared" si="16"/>
        <v>5.0000000099999999</v>
      </c>
      <c r="G85" s="144">
        <f t="shared" si="17"/>
        <v>1E-8</v>
      </c>
      <c r="H85" s="25">
        <f t="array" ref="H85">(IF(COUNT(I85,K85,N85,Q85,R85,S85)&lt;4,SUM(I85,K85,N85,Q85,R85,S85),SUM(LARGE((I85,K85,N85,Q85,R85,S85),{1;2;3;4}))))+(IF(COUNT(J85,L85,M85,O85,P85,T85)&lt;4,SUM(J85,L85,M85,O85,P85,T85),SUM(LARGE((J85,L85,M85,O85,P85,T85),{1;2;3;4}))))</f>
        <v>5</v>
      </c>
      <c r="I85" s="631" t="s">
        <v>677</v>
      </c>
      <c r="J85" s="185">
        <v>5</v>
      </c>
      <c r="K85" s="631" t="s">
        <v>677</v>
      </c>
      <c r="L85" s="631" t="s">
        <v>677</v>
      </c>
      <c r="M85" s="631" t="s">
        <v>677</v>
      </c>
      <c r="N85" s="185"/>
      <c r="O85" s="185"/>
      <c r="P85" s="185"/>
      <c r="Q85" s="185"/>
      <c r="R85" s="185"/>
      <c r="S85" s="185"/>
      <c r="T85" s="185"/>
      <c r="U85" s="602">
        <f t="shared" si="18"/>
        <v>1</v>
      </c>
      <c r="V85" s="603">
        <f t="shared" si="19"/>
        <v>0</v>
      </c>
      <c r="W85" s="604">
        <f t="shared" si="20"/>
        <v>0</v>
      </c>
      <c r="X85" s="682">
        <f t="shared" si="21"/>
        <v>0</v>
      </c>
    </row>
    <row r="86" spans="1:24" s="2" customFormat="1" ht="12.75" customHeight="1" x14ac:dyDescent="0.2">
      <c r="A86" s="24">
        <f t="shared" si="15"/>
        <v>76</v>
      </c>
      <c r="B86" s="143">
        <v>76</v>
      </c>
      <c r="C86" s="364"/>
      <c r="D86" s="186" t="s">
        <v>268</v>
      </c>
      <c r="E86" s="164">
        <v>5.0000000099999999</v>
      </c>
      <c r="F86" s="25">
        <f t="shared" si="16"/>
        <v>5.0000000099999999</v>
      </c>
      <c r="G86" s="144">
        <f t="shared" si="17"/>
        <v>1E-8</v>
      </c>
      <c r="H86" s="25">
        <f t="array" ref="H86">(IF(COUNT(I86,K86,N86,Q86,R86,S86)&lt;4,SUM(I86,K86,N86,Q86,R86,S86),SUM(LARGE((I86,K86,N86,Q86,R86,S86),{1;2;3;4}))))+(IF(COUNT(J86,L86,M86,O86,P86,T86)&lt;4,SUM(J86,L86,M86,O86,P86,T86),SUM(LARGE((J86,L86,M86,O86,P86,T86),{1;2;3;4}))))</f>
        <v>5</v>
      </c>
      <c r="I86" s="631" t="s">
        <v>677</v>
      </c>
      <c r="J86" s="631" t="s">
        <v>677</v>
      </c>
      <c r="K86" s="185">
        <v>5</v>
      </c>
      <c r="L86" s="631" t="s">
        <v>677</v>
      </c>
      <c r="M86" s="185"/>
      <c r="N86" s="631" t="s">
        <v>677</v>
      </c>
      <c r="O86" s="185"/>
      <c r="P86" s="185"/>
      <c r="Q86" s="185"/>
      <c r="R86" s="185"/>
      <c r="S86" s="185"/>
      <c r="T86" s="185"/>
      <c r="U86" s="602">
        <f t="shared" si="18"/>
        <v>1</v>
      </c>
      <c r="V86" s="603">
        <f t="shared" si="19"/>
        <v>0</v>
      </c>
      <c r="W86" s="604">
        <f t="shared" si="20"/>
        <v>0</v>
      </c>
      <c r="X86" s="682">
        <f t="shared" si="21"/>
        <v>0</v>
      </c>
    </row>
    <row r="87" spans="1:24" s="2" customFormat="1" ht="12.75" customHeight="1" x14ac:dyDescent="0.2">
      <c r="A87" s="24">
        <f t="shared" si="15"/>
        <v>79</v>
      </c>
      <c r="B87" s="143">
        <v>79</v>
      </c>
      <c r="C87" s="364"/>
      <c r="D87" s="27" t="s">
        <v>263</v>
      </c>
      <c r="E87" s="164">
        <v>5.0000000010000001</v>
      </c>
      <c r="F87" s="25">
        <f t="shared" si="16"/>
        <v>5.0000000010000001</v>
      </c>
      <c r="G87" s="144">
        <f t="shared" si="17"/>
        <v>1.0000000000000001E-9</v>
      </c>
      <c r="H87" s="25">
        <f t="array" ref="H87">(IF(COUNT(I87,K87,N87,Q87,R87,S87)&lt;4,SUM(I87,K87,N87,Q87,R87,S87),SUM(LARGE((I87,K87,N87,Q87,R87,S87),{1;2;3;4}))))+(IF(COUNT(J87,L87,M87,O87,P87,T87)&lt;4,SUM(J87,L87,M87,O87,P87,T87),SUM(LARGE((J87,L87,M87,O87,P87,T87),{1;2;3;4}))))</f>
        <v>5</v>
      </c>
      <c r="I87" s="631" t="s">
        <v>677</v>
      </c>
      <c r="J87" s="185">
        <v>4</v>
      </c>
      <c r="K87" s="631" t="s">
        <v>677</v>
      </c>
      <c r="L87" s="631" t="s">
        <v>677</v>
      </c>
      <c r="M87" s="631" t="s">
        <v>677</v>
      </c>
      <c r="N87" s="361">
        <v>1</v>
      </c>
      <c r="O87" s="185"/>
      <c r="P87" s="185"/>
      <c r="Q87" s="185"/>
      <c r="R87" s="185"/>
      <c r="S87" s="185"/>
      <c r="T87" s="185"/>
      <c r="U87" s="602">
        <f t="shared" si="18"/>
        <v>2</v>
      </c>
      <c r="V87" s="603">
        <f t="shared" si="19"/>
        <v>0</v>
      </c>
      <c r="W87" s="604">
        <f t="shared" si="20"/>
        <v>0</v>
      </c>
      <c r="X87" s="682">
        <f t="shared" si="21"/>
        <v>0</v>
      </c>
    </row>
    <row r="88" spans="1:24" s="2" customFormat="1" ht="12.75" customHeight="1" x14ac:dyDescent="0.2">
      <c r="A88" s="24">
        <f t="shared" si="15"/>
        <v>79</v>
      </c>
      <c r="B88" s="143">
        <v>79</v>
      </c>
      <c r="C88" s="364"/>
      <c r="D88" s="362" t="s">
        <v>482</v>
      </c>
      <c r="E88" s="164">
        <v>5.0000000010000001</v>
      </c>
      <c r="F88" s="25">
        <f t="shared" si="16"/>
        <v>5.0000000010000001</v>
      </c>
      <c r="G88" s="144">
        <f t="shared" si="17"/>
        <v>1.0000000000000001E-9</v>
      </c>
      <c r="H88" s="25">
        <f t="array" ref="H88">(IF(COUNT(I88,K88,N88,Q88,R88,S88)&lt;4,SUM(I88,K88,N88,Q88,R88,S88),SUM(LARGE((I88,K88,N88,Q88,R88,S88),{1;2;3;4}))))+(IF(COUNT(J88,L88,M88,O88,P88,T88)&lt;4,SUM(J88,L88,M88,O88,P88,T88),SUM(LARGE((J88,L88,M88,O88,P88,T88),{1;2;3;4}))))</f>
        <v>5</v>
      </c>
      <c r="I88" s="631" t="s">
        <v>677</v>
      </c>
      <c r="J88" s="631" t="s">
        <v>677</v>
      </c>
      <c r="K88" s="631" t="s">
        <v>677</v>
      </c>
      <c r="L88" s="631" t="s">
        <v>677</v>
      </c>
      <c r="M88" s="185"/>
      <c r="N88" s="361">
        <v>1</v>
      </c>
      <c r="O88" s="185"/>
      <c r="P88" s="185"/>
      <c r="Q88" s="185"/>
      <c r="R88" s="185"/>
      <c r="S88" s="361">
        <v>4</v>
      </c>
      <c r="T88" s="185"/>
      <c r="U88" s="602">
        <f t="shared" si="18"/>
        <v>2</v>
      </c>
      <c r="V88" s="603">
        <f t="shared" si="19"/>
        <v>0</v>
      </c>
      <c r="W88" s="604">
        <f t="shared" si="20"/>
        <v>0</v>
      </c>
      <c r="X88" s="682">
        <f t="shared" si="21"/>
        <v>0</v>
      </c>
    </row>
    <row r="89" spans="1:24" s="2" customFormat="1" ht="12.75" customHeight="1" x14ac:dyDescent="0.2">
      <c r="A89" s="24">
        <f t="shared" si="15"/>
        <v>81</v>
      </c>
      <c r="B89" s="143">
        <v>81</v>
      </c>
      <c r="C89" s="364"/>
      <c r="D89" s="186" t="s">
        <v>262</v>
      </c>
      <c r="E89" s="164">
        <v>4.0000000010000001</v>
      </c>
      <c r="F89" s="25">
        <f t="shared" si="16"/>
        <v>4.0000000010000001</v>
      </c>
      <c r="G89" s="144">
        <f t="shared" si="17"/>
        <v>1.0000000000000001E-9</v>
      </c>
      <c r="H89" s="25">
        <f t="array" ref="H89">(IF(COUNT(I89,K89,N89,Q89,R89,S89)&lt;4,SUM(I89,K89,N89,Q89,R89,S89),SUM(LARGE((I89,K89,N89,Q89,R89,S89),{1;2;3;4}))))+(IF(COUNT(J89,L89,M89,O89,P89,T89)&lt;4,SUM(J89,L89,M89,O89,P89,T89),SUM(LARGE((J89,L89,M89,O89,P89,T89),{1;2;3;4}))))</f>
        <v>4</v>
      </c>
      <c r="I89" s="631" t="s">
        <v>677</v>
      </c>
      <c r="J89" s="185">
        <v>4</v>
      </c>
      <c r="K89" s="631" t="s">
        <v>677</v>
      </c>
      <c r="L89" s="631" t="s">
        <v>677</v>
      </c>
      <c r="M89" s="631" t="s">
        <v>677</v>
      </c>
      <c r="N89" s="185"/>
      <c r="O89" s="185"/>
      <c r="P89" s="185"/>
      <c r="Q89" s="185"/>
      <c r="R89" s="185"/>
      <c r="S89" s="185"/>
      <c r="T89" s="185"/>
      <c r="U89" s="602">
        <f t="shared" si="18"/>
        <v>1</v>
      </c>
      <c r="V89" s="603">
        <f t="shared" si="19"/>
        <v>0</v>
      </c>
      <c r="W89" s="604">
        <f t="shared" si="20"/>
        <v>0</v>
      </c>
      <c r="X89" s="682">
        <f t="shared" si="21"/>
        <v>0</v>
      </c>
    </row>
    <row r="90" spans="1:24" s="2" customFormat="1" ht="12.75" customHeight="1" x14ac:dyDescent="0.2">
      <c r="A90" s="24">
        <f t="shared" si="15"/>
        <v>82</v>
      </c>
      <c r="B90" s="143">
        <v>82</v>
      </c>
      <c r="C90" s="364"/>
      <c r="D90" s="362" t="s">
        <v>480</v>
      </c>
      <c r="E90" s="164">
        <v>4.0000000001</v>
      </c>
      <c r="F90" s="25">
        <f t="shared" si="16"/>
        <v>4.0000000001</v>
      </c>
      <c r="G90" s="144">
        <f t="shared" si="17"/>
        <v>1E-10</v>
      </c>
      <c r="H90" s="25">
        <f t="array" ref="H90">(IF(COUNT(I90,K90,N90,Q90,R90,S90)&lt;4,SUM(I90,K90,N90,Q90,R90,S90),SUM(LARGE((I90,K90,N90,Q90,R90,S90),{1;2;3;4}))))+(IF(COUNT(J90,L90,M90,O90,P90,T90)&lt;4,SUM(J90,L90,M90,O90,P90,T90),SUM(LARGE((J90,L90,M90,O90,P90,T90),{1;2;3;4}))))</f>
        <v>4</v>
      </c>
      <c r="I90" s="631" t="s">
        <v>677</v>
      </c>
      <c r="J90" s="631" t="s">
        <v>677</v>
      </c>
      <c r="K90" s="631" t="s">
        <v>677</v>
      </c>
      <c r="L90" s="631" t="s">
        <v>677</v>
      </c>
      <c r="M90" s="185"/>
      <c r="N90" s="361">
        <v>1</v>
      </c>
      <c r="O90" s="185"/>
      <c r="P90" s="185"/>
      <c r="Q90" s="361">
        <v>3</v>
      </c>
      <c r="R90" s="185"/>
      <c r="S90" s="185"/>
      <c r="T90" s="185"/>
      <c r="U90" s="602">
        <f t="shared" si="18"/>
        <v>2</v>
      </c>
      <c r="V90" s="603">
        <f t="shared" si="19"/>
        <v>0</v>
      </c>
      <c r="W90" s="604">
        <f t="shared" si="20"/>
        <v>0</v>
      </c>
      <c r="X90" s="682">
        <f t="shared" si="21"/>
        <v>0</v>
      </c>
    </row>
    <row r="91" spans="1:24" s="2" customFormat="1" ht="12.75" customHeight="1" x14ac:dyDescent="0.2">
      <c r="A91" s="24">
        <f t="shared" si="15"/>
        <v>83</v>
      </c>
      <c r="B91" s="143">
        <v>83</v>
      </c>
      <c r="C91" s="364"/>
      <c r="D91" s="27" t="s">
        <v>62</v>
      </c>
      <c r="E91" s="164">
        <v>4.00000000001</v>
      </c>
      <c r="F91" s="25">
        <f t="shared" si="16"/>
        <v>4.00000000001</v>
      </c>
      <c r="G91" s="144">
        <f t="shared" si="17"/>
        <v>9.9999999999999994E-12</v>
      </c>
      <c r="H91" s="25">
        <f t="array" ref="H91">(IF(COUNT(I91,K91,N91,Q91,R91,S91)&lt;4,SUM(I91,K91,N91,Q91,R91,S91),SUM(LARGE((I91,K91,N91,Q91,R91,S91),{1;2;3;4}))))+(IF(COUNT(J91,L91,M91,O91,P91,T91)&lt;4,SUM(J91,L91,M91,O91,P91,T91),SUM(LARGE((J91,L91,M91,O91,P91,T91),{1;2;3;4}))))</f>
        <v>4</v>
      </c>
      <c r="I91" s="631" t="s">
        <v>677</v>
      </c>
      <c r="J91" s="185">
        <v>2</v>
      </c>
      <c r="K91" s="185">
        <v>1</v>
      </c>
      <c r="L91" s="631" t="s">
        <v>677</v>
      </c>
      <c r="M91" s="631" t="s">
        <v>677</v>
      </c>
      <c r="N91" s="361">
        <v>1</v>
      </c>
      <c r="O91" s="185"/>
      <c r="P91" s="185"/>
      <c r="Q91" s="631" t="s">
        <v>677</v>
      </c>
      <c r="R91" s="185"/>
      <c r="S91" s="185"/>
      <c r="T91" s="185"/>
      <c r="U91" s="602">
        <f t="shared" si="18"/>
        <v>3</v>
      </c>
      <c r="V91" s="603">
        <f t="shared" si="19"/>
        <v>0</v>
      </c>
      <c r="W91" s="604">
        <f t="shared" si="20"/>
        <v>0</v>
      </c>
      <c r="X91" s="682">
        <f t="shared" si="21"/>
        <v>0</v>
      </c>
    </row>
    <row r="92" spans="1:24" s="2" customFormat="1" ht="12.75" customHeight="1" x14ac:dyDescent="0.2">
      <c r="A92" s="24">
        <f t="shared" si="15"/>
        <v>83</v>
      </c>
      <c r="B92" s="143">
        <v>83</v>
      </c>
      <c r="C92" s="364"/>
      <c r="D92" s="362" t="s">
        <v>436</v>
      </c>
      <c r="E92" s="164">
        <v>4.00000000001</v>
      </c>
      <c r="F92" s="25">
        <f t="shared" si="16"/>
        <v>4.00000000001</v>
      </c>
      <c r="G92" s="144">
        <f t="shared" si="17"/>
        <v>9.9999999999999994E-12</v>
      </c>
      <c r="H92" s="25">
        <f t="array" ref="H92">(IF(COUNT(I92,K92,N92,Q92,R92,S92)&lt;4,SUM(I92,K92,N92,Q92,R92,S92),SUM(LARGE((I92,K92,N92,Q92,R92,S92),{1;2;3;4}))))+(IF(COUNT(J92,L92,M92,O92,P92,T92)&lt;4,SUM(J92,L92,M92,O92,P92,T92),SUM(LARGE((J92,L92,M92,O92,P92,T92),{1;2;3;4}))))</f>
        <v>4</v>
      </c>
      <c r="I92" s="631" t="s">
        <v>677</v>
      </c>
      <c r="J92" s="631" t="s">
        <v>677</v>
      </c>
      <c r="K92" s="631" t="s">
        <v>677</v>
      </c>
      <c r="L92" s="631" t="s">
        <v>677</v>
      </c>
      <c r="M92" s="361">
        <v>2</v>
      </c>
      <c r="N92" s="361">
        <v>1</v>
      </c>
      <c r="O92" s="185"/>
      <c r="P92" s="185"/>
      <c r="Q92" s="185"/>
      <c r="R92" s="361">
        <v>1</v>
      </c>
      <c r="S92" s="185"/>
      <c r="T92" s="185"/>
      <c r="U92" s="602">
        <f t="shared" si="18"/>
        <v>3</v>
      </c>
      <c r="V92" s="603">
        <f t="shared" si="19"/>
        <v>0</v>
      </c>
      <c r="W92" s="604">
        <f t="shared" si="20"/>
        <v>0</v>
      </c>
      <c r="X92" s="682">
        <f t="shared" si="21"/>
        <v>0</v>
      </c>
    </row>
    <row r="93" spans="1:24" s="2" customFormat="1" ht="12.75" customHeight="1" x14ac:dyDescent="0.2">
      <c r="A93" s="24">
        <f t="shared" si="15"/>
        <v>83</v>
      </c>
      <c r="B93" s="143">
        <v>83</v>
      </c>
      <c r="C93" s="364"/>
      <c r="D93" s="27" t="s">
        <v>257</v>
      </c>
      <c r="E93" s="164">
        <v>4.00000000001</v>
      </c>
      <c r="F93" s="25">
        <f t="shared" si="16"/>
        <v>4.00000000001</v>
      </c>
      <c r="G93" s="144">
        <f t="shared" si="17"/>
        <v>9.9999999999999994E-12</v>
      </c>
      <c r="H93" s="25">
        <f t="array" ref="H93">(IF(COUNT(I93,K93,N93,Q93,R93,S93)&lt;4,SUM(I93,K93,N93,Q93,R93,S93),SUM(LARGE((I93,K93,N93,Q93,R93,S93),{1;2;3;4}))))+(IF(COUNT(J93,L93,M93,O93,P93,T93)&lt;4,SUM(J93,L93,M93,O93,P93,T93),SUM(LARGE((J93,L93,M93,O93,P93,T93),{1;2;3;4}))))</f>
        <v>4</v>
      </c>
      <c r="I93" s="631" t="s">
        <v>677</v>
      </c>
      <c r="J93" s="185">
        <v>2</v>
      </c>
      <c r="K93" s="631" t="s">
        <v>677</v>
      </c>
      <c r="L93" s="631" t="s">
        <v>677</v>
      </c>
      <c r="M93" s="631" t="s">
        <v>677</v>
      </c>
      <c r="N93" s="361">
        <v>1</v>
      </c>
      <c r="O93" s="185"/>
      <c r="P93" s="185"/>
      <c r="Q93" s="185"/>
      <c r="R93" s="361">
        <v>1</v>
      </c>
      <c r="S93" s="185"/>
      <c r="T93" s="185"/>
      <c r="U93" s="602">
        <f t="shared" si="18"/>
        <v>3</v>
      </c>
      <c r="V93" s="603">
        <f t="shared" si="19"/>
        <v>0</v>
      </c>
      <c r="W93" s="604">
        <f t="shared" si="20"/>
        <v>0</v>
      </c>
      <c r="X93" s="682">
        <f t="shared" si="21"/>
        <v>0</v>
      </c>
    </row>
    <row r="94" spans="1:24" s="2" customFormat="1" ht="12.75" customHeight="1" x14ac:dyDescent="0.2">
      <c r="A94" s="24">
        <f t="shared" si="15"/>
        <v>86</v>
      </c>
      <c r="B94" s="143">
        <v>86</v>
      </c>
      <c r="C94" s="364"/>
      <c r="D94" s="186" t="s">
        <v>271</v>
      </c>
      <c r="E94" s="164">
        <v>3.0000000001</v>
      </c>
      <c r="F94" s="25">
        <f t="shared" si="16"/>
        <v>3.0000000001</v>
      </c>
      <c r="G94" s="144">
        <f t="shared" si="17"/>
        <v>1E-10</v>
      </c>
      <c r="H94" s="25">
        <f t="array" ref="H94">(IF(COUNT(I94,K94,N94,Q94,R94,S94)&lt;4,SUM(I94,K94,N94,Q94,R94,S94),SUM(LARGE((I94,K94,N94,Q94,R94,S94),{1;2;3;4}))))+(IF(COUNT(J94,L94,M94,O94,P94,T94)&lt;4,SUM(J94,L94,M94,O94,P94,T94),SUM(LARGE((J94,L94,M94,O94,P94,T94),{1;2;3;4}))))</f>
        <v>3</v>
      </c>
      <c r="I94" s="631" t="s">
        <v>677</v>
      </c>
      <c r="J94" s="631" t="s">
        <v>677</v>
      </c>
      <c r="K94" s="185">
        <v>3</v>
      </c>
      <c r="L94" s="631" t="s">
        <v>677</v>
      </c>
      <c r="M94" s="185"/>
      <c r="N94" s="631" t="s">
        <v>677</v>
      </c>
      <c r="O94" s="185"/>
      <c r="P94" s="185"/>
      <c r="Q94" s="185"/>
      <c r="R94" s="185"/>
      <c r="S94" s="185"/>
      <c r="T94" s="185"/>
      <c r="U94" s="602">
        <f t="shared" si="18"/>
        <v>1</v>
      </c>
      <c r="V94" s="603">
        <f t="shared" si="19"/>
        <v>0</v>
      </c>
      <c r="W94" s="604">
        <f t="shared" si="20"/>
        <v>0</v>
      </c>
      <c r="X94" s="682">
        <f t="shared" si="21"/>
        <v>0</v>
      </c>
    </row>
    <row r="95" spans="1:24" s="2" customFormat="1" ht="12.75" customHeight="1" x14ac:dyDescent="0.2">
      <c r="A95" s="24">
        <f t="shared" si="15"/>
        <v>87</v>
      </c>
      <c r="B95" s="143">
        <v>87</v>
      </c>
      <c r="C95" s="364"/>
      <c r="D95" s="186" t="s">
        <v>65</v>
      </c>
      <c r="E95" s="164">
        <v>3.00000000001</v>
      </c>
      <c r="F95" s="25">
        <f t="shared" si="16"/>
        <v>3.00000000001</v>
      </c>
      <c r="G95" s="144">
        <f t="shared" si="17"/>
        <v>9.9999999999999994E-12</v>
      </c>
      <c r="H95" s="25">
        <f t="array" ref="H95">(IF(COUNT(I95,K95,N95,Q95,R95,S95)&lt;4,SUM(I95,K95,N95,Q95,R95,S95),SUM(LARGE((I95,K95,N95,Q95,R95,S95),{1;2;3;4}))))+(IF(COUNT(J95,L95,M95,O95,P95,T95)&lt;4,SUM(J95,L95,M95,O95,P95,T95),SUM(LARGE((J95,L95,M95,O95,P95,T95),{1;2;3;4}))))</f>
        <v>3</v>
      </c>
      <c r="I95" s="185">
        <v>1</v>
      </c>
      <c r="J95" s="185">
        <v>2</v>
      </c>
      <c r="K95" s="631" t="s">
        <v>677</v>
      </c>
      <c r="L95" s="631" t="s">
        <v>469</v>
      </c>
      <c r="M95" s="631" t="s">
        <v>677</v>
      </c>
      <c r="N95" s="631" t="s">
        <v>677</v>
      </c>
      <c r="O95" s="185"/>
      <c r="P95" s="185"/>
      <c r="Q95" s="185"/>
      <c r="R95" s="185"/>
      <c r="S95" s="185"/>
      <c r="T95" s="185"/>
      <c r="U95" s="602">
        <f t="shared" si="18"/>
        <v>2</v>
      </c>
      <c r="V95" s="603">
        <f t="shared" si="19"/>
        <v>0</v>
      </c>
      <c r="W95" s="604">
        <f t="shared" si="20"/>
        <v>0</v>
      </c>
      <c r="X95" s="682">
        <f t="shared" si="21"/>
        <v>0</v>
      </c>
    </row>
    <row r="96" spans="1:24" s="2" customFormat="1" ht="12.75" customHeight="1" x14ac:dyDescent="0.2">
      <c r="A96" s="24">
        <f t="shared" si="15"/>
        <v>87</v>
      </c>
      <c r="B96" s="143">
        <v>87</v>
      </c>
      <c r="C96" s="364">
        <v>5</v>
      </c>
      <c r="D96" s="363" t="s">
        <v>437</v>
      </c>
      <c r="E96" s="164">
        <v>3.00000000001</v>
      </c>
      <c r="F96" s="25">
        <f t="shared" si="16"/>
        <v>3.00000000001</v>
      </c>
      <c r="G96" s="144">
        <f t="shared" si="17"/>
        <v>9.9999999999999994E-12</v>
      </c>
      <c r="H96" s="25">
        <f t="array" ref="H96">(IF(COUNT(I96,K96,N96,Q96,R96,S96)&lt;4,SUM(I96,K96,N96,Q96,R96,S96),SUM(LARGE((I96,K96,N96,Q96,R96,S96),{1;2;3;4}))))+(IF(COUNT(J96,L96,M96,O96,P96,T96)&lt;4,SUM(J96,L96,M96,O96,P96,T96),SUM(LARGE((J96,L96,M96,O96,P96,T96),{1;2;3;4}))))</f>
        <v>3</v>
      </c>
      <c r="I96" s="631" t="s">
        <v>677</v>
      </c>
      <c r="J96" s="631" t="s">
        <v>677</v>
      </c>
      <c r="K96" s="631" t="s">
        <v>677</v>
      </c>
      <c r="L96" s="631" t="s">
        <v>677</v>
      </c>
      <c r="M96" s="361">
        <v>2</v>
      </c>
      <c r="N96" s="361">
        <v>1</v>
      </c>
      <c r="O96" s="185"/>
      <c r="P96" s="185"/>
      <c r="Q96" s="185"/>
      <c r="R96" s="185"/>
      <c r="S96" s="185"/>
      <c r="T96" s="185"/>
      <c r="U96" s="602">
        <f t="shared" si="18"/>
        <v>2</v>
      </c>
      <c r="V96" s="603">
        <f t="shared" si="19"/>
        <v>0</v>
      </c>
      <c r="W96" s="604">
        <f t="shared" si="20"/>
        <v>0</v>
      </c>
      <c r="X96" s="682">
        <f t="shared" si="21"/>
        <v>0</v>
      </c>
    </row>
    <row r="97" spans="1:24" s="2" customFormat="1" ht="12.75" customHeight="1" x14ac:dyDescent="0.2">
      <c r="A97" s="24">
        <f t="shared" si="15"/>
        <v>87</v>
      </c>
      <c r="B97" s="143">
        <v>87</v>
      </c>
      <c r="C97" s="364"/>
      <c r="D97" s="27" t="s">
        <v>252</v>
      </c>
      <c r="E97" s="164">
        <v>3.00000000001</v>
      </c>
      <c r="F97" s="25">
        <f t="shared" si="16"/>
        <v>3.00000000001</v>
      </c>
      <c r="G97" s="144">
        <f t="shared" si="17"/>
        <v>9.9999999999999994E-12</v>
      </c>
      <c r="H97" s="25">
        <f t="array" ref="H97">(IF(COUNT(I97,K97,N97,Q97,R97,S97)&lt;4,SUM(I97,K97,N97,Q97,R97,S97),SUM(LARGE((I97,K97,N97,Q97,R97,S97),{1;2;3;4}))))+(IF(COUNT(J97,L97,M97,O97,P97,T97)&lt;4,SUM(J97,L97,M97,O97,P97,T97),SUM(LARGE((J97,L97,M97,O97,P97,T97),{1;2;3;4}))))</f>
        <v>3</v>
      </c>
      <c r="I97" s="185">
        <v>1</v>
      </c>
      <c r="J97" s="185">
        <v>2</v>
      </c>
      <c r="K97" s="631" t="s">
        <v>677</v>
      </c>
      <c r="L97" s="631" t="s">
        <v>677</v>
      </c>
      <c r="M97" s="631" t="s">
        <v>677</v>
      </c>
      <c r="N97" s="631" t="s">
        <v>677</v>
      </c>
      <c r="O97" s="185"/>
      <c r="P97" s="185"/>
      <c r="Q97" s="185"/>
      <c r="R97" s="185"/>
      <c r="S97" s="185"/>
      <c r="T97" s="185"/>
      <c r="U97" s="602">
        <f t="shared" si="18"/>
        <v>2</v>
      </c>
      <c r="V97" s="603">
        <f t="shared" si="19"/>
        <v>0</v>
      </c>
      <c r="W97" s="604">
        <f t="shared" si="20"/>
        <v>0</v>
      </c>
      <c r="X97" s="682">
        <f t="shared" si="21"/>
        <v>0</v>
      </c>
    </row>
    <row r="98" spans="1:24" s="2" customFormat="1" ht="12.75" customHeight="1" x14ac:dyDescent="0.2">
      <c r="A98" s="24">
        <f t="shared" si="15"/>
        <v>90</v>
      </c>
      <c r="B98" s="143">
        <v>90</v>
      </c>
      <c r="C98" s="364"/>
      <c r="D98" s="26" t="s">
        <v>524</v>
      </c>
      <c r="E98" s="683">
        <v>2.00000000001</v>
      </c>
      <c r="F98" s="25">
        <f t="shared" si="16"/>
        <v>2.00000000001</v>
      </c>
      <c r="G98" s="144">
        <f t="shared" si="17"/>
        <v>9.9999999999999994E-12</v>
      </c>
      <c r="H98" s="25">
        <f t="array" ref="H98">(IF(COUNT(I98,K98,N98,Q98,R98,S98)&lt;4,SUM(I98,K98,N98,Q98,R98,S98),SUM(LARGE((I98,K98,N98,Q98,R98,S98),{1;2;3;4}))))+(IF(COUNT(J98,L98,M98,O98,P98,T98)&lt;4,SUM(J98,L98,M98,O98,P98,T98),SUM(LARGE((J98,L98,M98,O98,P98,T98),{1;2;3;4}))))</f>
        <v>2</v>
      </c>
      <c r="I98" s="631" t="s">
        <v>677</v>
      </c>
      <c r="J98" s="631" t="s">
        <v>677</v>
      </c>
      <c r="K98" s="631" t="s">
        <v>677</v>
      </c>
      <c r="L98" s="631" t="s">
        <v>677</v>
      </c>
      <c r="M98" s="185"/>
      <c r="N98" s="185"/>
      <c r="O98" s="185"/>
      <c r="P98" s="361">
        <v>2</v>
      </c>
      <c r="Q98" s="185"/>
      <c r="R98" s="185"/>
      <c r="S98" s="185"/>
      <c r="T98" s="185"/>
      <c r="U98" s="602">
        <f t="shared" si="18"/>
        <v>1</v>
      </c>
      <c r="V98" s="603">
        <f t="shared" si="19"/>
        <v>0</v>
      </c>
      <c r="W98" s="604">
        <f t="shared" si="20"/>
        <v>0</v>
      </c>
      <c r="X98" s="682">
        <f t="shared" si="21"/>
        <v>0</v>
      </c>
    </row>
    <row r="99" spans="1:24" s="2" customFormat="1" ht="12.75" customHeight="1" x14ac:dyDescent="0.2">
      <c r="A99" s="24">
        <f t="shared" si="15"/>
        <v>90</v>
      </c>
      <c r="B99" s="143">
        <v>90</v>
      </c>
      <c r="C99" s="364"/>
      <c r="D99" s="724" t="s">
        <v>732</v>
      </c>
      <c r="E99" s="684">
        <v>2.00000000001</v>
      </c>
      <c r="F99" s="25">
        <f t="shared" si="16"/>
        <v>2.00000000001</v>
      </c>
      <c r="G99" s="144">
        <f t="shared" si="17"/>
        <v>9.9999999999999994E-12</v>
      </c>
      <c r="H99" s="25">
        <f t="array" ref="H99">(IF(COUNT(I99,K99,N99,Q99,R99,S99)&lt;4,SUM(I99,K99,N99,Q99,R99,S99),SUM(LARGE((I99,K99,N99,Q99,R99,S99),{1;2;3;4}))))+(IF(COUNT(J99,L99,M99,O99,P99,T99)&lt;4,SUM(J99,L99,M99,O99,P99,T99),SUM(LARGE((J99,L99,M99,O99,P99,T99),{1;2;3;4}))))</f>
        <v>2</v>
      </c>
      <c r="I99" s="631" t="s">
        <v>677</v>
      </c>
      <c r="J99" s="185">
        <v>2</v>
      </c>
      <c r="K99" s="631" t="s">
        <v>677</v>
      </c>
      <c r="L99" s="631" t="s">
        <v>677</v>
      </c>
      <c r="M99" s="631" t="s">
        <v>677</v>
      </c>
      <c r="N99" s="185"/>
      <c r="O99" s="185"/>
      <c r="P99" s="185"/>
      <c r="Q99" s="361"/>
      <c r="R99" s="185"/>
      <c r="S99" s="185"/>
      <c r="T99" s="185"/>
      <c r="U99" s="602">
        <f t="shared" si="18"/>
        <v>1</v>
      </c>
      <c r="V99" s="603">
        <f t="shared" si="19"/>
        <v>0</v>
      </c>
      <c r="W99" s="604">
        <f t="shared" si="20"/>
        <v>0</v>
      </c>
      <c r="X99" s="682">
        <f t="shared" si="21"/>
        <v>0</v>
      </c>
    </row>
    <row r="100" spans="1:24" s="2" customFormat="1" ht="12.75" customHeight="1" x14ac:dyDescent="0.2">
      <c r="A100" s="24">
        <f t="shared" si="15"/>
        <v>90</v>
      </c>
      <c r="B100" s="143">
        <v>90</v>
      </c>
      <c r="C100" s="364"/>
      <c r="D100" s="362" t="s">
        <v>690</v>
      </c>
      <c r="E100" s="164">
        <v>2.00000000001</v>
      </c>
      <c r="F100" s="25">
        <f t="shared" si="16"/>
        <v>2.00000000001</v>
      </c>
      <c r="G100" s="144">
        <f t="shared" si="17"/>
        <v>9.9999999999999994E-12</v>
      </c>
      <c r="H100" s="25">
        <f t="array" ref="H100">(IF(COUNT(I100,K100,N100,Q100,R100,S100)&lt;4,SUM(I100,K100,N100,Q100,R100,S100),SUM(LARGE((I100,K100,N100,Q100,R100,S100),{1;2;3;4}))))+(IF(COUNT(J100,L100,M100,O100,P100,P100,T100)&lt;4,SUM(J100,L100,M100,O100,P100,P100,T100),SUM(LARGE((J100,L100,M100,O100,P100,P100,T100),{1;2;3;4}))))</f>
        <v>2</v>
      </c>
      <c r="I100" s="631" t="s">
        <v>677</v>
      </c>
      <c r="J100" s="631" t="s">
        <v>677</v>
      </c>
      <c r="K100" s="631" t="s">
        <v>677</v>
      </c>
      <c r="L100" s="631" t="s">
        <v>677</v>
      </c>
      <c r="M100" s="185"/>
      <c r="N100" s="185"/>
      <c r="O100" s="185"/>
      <c r="P100" s="185"/>
      <c r="Q100" s="185"/>
      <c r="R100" s="185"/>
      <c r="S100" s="185"/>
      <c r="T100" s="361">
        <v>2</v>
      </c>
      <c r="U100" s="602">
        <f t="shared" si="18"/>
        <v>1</v>
      </c>
      <c r="V100" s="603">
        <f t="shared" si="19"/>
        <v>0</v>
      </c>
      <c r="W100" s="604">
        <f t="shared" si="20"/>
        <v>0</v>
      </c>
      <c r="X100" s="682">
        <f t="shared" si="21"/>
        <v>0</v>
      </c>
    </row>
    <row r="101" spans="1:24" s="2" customFormat="1" ht="12.75" customHeight="1" x14ac:dyDescent="0.2">
      <c r="A101" s="24">
        <f t="shared" si="15"/>
        <v>90</v>
      </c>
      <c r="B101" s="143">
        <v>90</v>
      </c>
      <c r="C101" s="364"/>
      <c r="D101" s="27" t="s">
        <v>701</v>
      </c>
      <c r="E101" s="164">
        <v>2.00000000001</v>
      </c>
      <c r="F101" s="25">
        <f t="shared" si="16"/>
        <v>2.00000000001</v>
      </c>
      <c r="G101" s="144">
        <f t="shared" si="17"/>
        <v>9.9999999999999994E-12</v>
      </c>
      <c r="H101" s="25">
        <f t="array" ref="H101">(IF(COUNT(I101,K101,N101,Q101,R101,S101)&lt;4,SUM(I101,K101,N101,Q101,R101,S101),SUM(LARGE((I101,K101,N101,Q101,R101,S101),{1;2;3;4}))))+(IF(COUNT(J101,L101,M101,O101,P101,P101,T101)&lt;4,SUM(J101,L101,M101,O101,P101,P101,T101),SUM(LARGE((J101,L101,M101,O101,P101,P101,T101),{1;2;3;4}))))</f>
        <v>2</v>
      </c>
      <c r="I101" s="631" t="s">
        <v>677</v>
      </c>
      <c r="J101" s="631" t="s">
        <v>677</v>
      </c>
      <c r="K101" s="631" t="s">
        <v>677</v>
      </c>
      <c r="L101" s="631" t="s">
        <v>677</v>
      </c>
      <c r="M101" s="185"/>
      <c r="N101" s="185"/>
      <c r="O101" s="185"/>
      <c r="P101" s="185"/>
      <c r="Q101" s="185"/>
      <c r="R101" s="185"/>
      <c r="S101" s="185"/>
      <c r="T101" s="361">
        <v>2</v>
      </c>
      <c r="U101" s="602">
        <f t="shared" si="18"/>
        <v>1</v>
      </c>
      <c r="V101" s="603">
        <f t="shared" si="19"/>
        <v>0</v>
      </c>
      <c r="W101" s="604">
        <f t="shared" si="20"/>
        <v>0</v>
      </c>
      <c r="X101" s="682">
        <f t="shared" si="21"/>
        <v>0</v>
      </c>
    </row>
    <row r="102" spans="1:24" s="2" customFormat="1" ht="12.75" customHeight="1" x14ac:dyDescent="0.2">
      <c r="A102" s="24">
        <f t="shared" si="15"/>
        <v>90</v>
      </c>
      <c r="B102" s="143">
        <v>90</v>
      </c>
      <c r="C102" s="364"/>
      <c r="D102" s="362" t="s">
        <v>692</v>
      </c>
      <c r="E102" s="164">
        <v>2.00000000001</v>
      </c>
      <c r="F102" s="25">
        <f t="shared" si="16"/>
        <v>2.00000000001</v>
      </c>
      <c r="G102" s="144">
        <f t="shared" si="17"/>
        <v>9.9999999999999994E-12</v>
      </c>
      <c r="H102" s="25">
        <f t="array" ref="H102">(IF(COUNT(I102,K102,N102,Q102,R102,S102)&lt;4,SUM(I102,K102,N102,Q102,R102,S102),SUM(LARGE((I102,K102,N102,Q102,R102,S102),{1;2;3;4}))))+(IF(COUNT(J102,L102,M102,O102,P102,P102,T102)&lt;4,SUM(J102,L102,M102,O102,P102,P102,T102),SUM(LARGE((J102,L102,M102,O102,P102,P102,T102),{1;2;3;4}))))</f>
        <v>2</v>
      </c>
      <c r="I102" s="631" t="s">
        <v>677</v>
      </c>
      <c r="J102" s="631" t="s">
        <v>677</v>
      </c>
      <c r="K102" s="631" t="s">
        <v>677</v>
      </c>
      <c r="L102" s="631" t="s">
        <v>677</v>
      </c>
      <c r="M102" s="185"/>
      <c r="N102" s="185"/>
      <c r="O102" s="185"/>
      <c r="P102" s="185"/>
      <c r="Q102" s="185"/>
      <c r="R102" s="185"/>
      <c r="S102" s="185"/>
      <c r="T102" s="361">
        <v>2</v>
      </c>
      <c r="U102" s="602">
        <f t="shared" si="18"/>
        <v>1</v>
      </c>
      <c r="V102" s="603">
        <f t="shared" si="19"/>
        <v>0</v>
      </c>
      <c r="W102" s="604">
        <f t="shared" si="20"/>
        <v>0</v>
      </c>
      <c r="X102" s="682">
        <f t="shared" si="21"/>
        <v>0</v>
      </c>
    </row>
    <row r="103" spans="1:24" s="2" customFormat="1" ht="12.75" customHeight="1" x14ac:dyDescent="0.2">
      <c r="A103" s="24">
        <f t="shared" si="15"/>
        <v>90</v>
      </c>
      <c r="B103" s="143">
        <v>90</v>
      </c>
      <c r="C103" s="364"/>
      <c r="D103" s="178" t="s">
        <v>258</v>
      </c>
      <c r="E103" s="164">
        <v>2.00000000001</v>
      </c>
      <c r="F103" s="25">
        <f t="shared" si="16"/>
        <v>2.00000000001</v>
      </c>
      <c r="G103" s="144">
        <f t="shared" si="17"/>
        <v>9.9999999999999994E-12</v>
      </c>
      <c r="H103" s="25">
        <f t="array" ref="H103">(IF(COUNT(I103,K103,N103,Q103,R103,S103)&lt;4,SUM(I103,K103,N103,Q103,R103,S103),SUM(LARGE((I103,K103,N103,Q103,R103,S103),{1;2;3;4}))))+(IF(COUNT(J103,L103,M103,O103,P103,T103)&lt;4,SUM(J103,L103,M103,O103,P103,T103),SUM(LARGE((J103,L103,M103,O103,P103,T103),{1;2;3;4}))))</f>
        <v>2</v>
      </c>
      <c r="I103" s="631" t="s">
        <v>677</v>
      </c>
      <c r="J103" s="185">
        <v>2</v>
      </c>
      <c r="K103" s="631" t="s">
        <v>677</v>
      </c>
      <c r="L103" s="631" t="s">
        <v>677</v>
      </c>
      <c r="M103" s="631" t="s">
        <v>677</v>
      </c>
      <c r="N103" s="185"/>
      <c r="O103" s="185"/>
      <c r="P103" s="185"/>
      <c r="Q103" s="185"/>
      <c r="R103" s="185"/>
      <c r="S103" s="185"/>
      <c r="T103" s="185"/>
      <c r="U103" s="602">
        <f t="shared" si="18"/>
        <v>1</v>
      </c>
      <c r="V103" s="603">
        <f t="shared" si="19"/>
        <v>0</v>
      </c>
      <c r="W103" s="604">
        <f t="shared" si="20"/>
        <v>0</v>
      </c>
      <c r="X103" s="682">
        <f t="shared" si="21"/>
        <v>0</v>
      </c>
    </row>
    <row r="104" spans="1:24" s="2" customFormat="1" ht="12.75" customHeight="1" x14ac:dyDescent="0.2">
      <c r="A104" s="24">
        <f t="shared" si="15"/>
        <v>90</v>
      </c>
      <c r="B104" s="143">
        <v>90</v>
      </c>
      <c r="C104" s="364"/>
      <c r="D104" s="186" t="s">
        <v>697</v>
      </c>
      <c r="E104" s="164">
        <v>2.00000000001</v>
      </c>
      <c r="F104" s="25">
        <f t="shared" si="16"/>
        <v>2.00000000001</v>
      </c>
      <c r="G104" s="144">
        <f t="shared" si="17"/>
        <v>9.9999999999999994E-12</v>
      </c>
      <c r="H104" s="25">
        <f t="array" ref="H104">(IF(COUNT(I104,K104,N104,Q104,R104,S104)&lt;4,SUM(I104,K104,N104,Q104,R104,S104),SUM(LARGE((I104,K104,N104,Q104,R104,S104),{1;2;3;4}))))+(IF(COUNT(J104,L104,M104,O104,P104,P104,T104)&lt;4,SUM(J104,L104,M104,O104,P104,P104,T104),SUM(LARGE((J104,L104,M104,O104,P104,P104,T104),{1;2;3;4}))))</f>
        <v>2</v>
      </c>
      <c r="I104" s="631" t="s">
        <v>677</v>
      </c>
      <c r="J104" s="631" t="s">
        <v>677</v>
      </c>
      <c r="K104" s="631" t="s">
        <v>677</v>
      </c>
      <c r="L104" s="631" t="s">
        <v>677</v>
      </c>
      <c r="M104" s="185"/>
      <c r="N104" s="185"/>
      <c r="O104" s="185"/>
      <c r="P104" s="185"/>
      <c r="Q104" s="185"/>
      <c r="R104" s="185"/>
      <c r="S104" s="185"/>
      <c r="T104" s="361">
        <v>2</v>
      </c>
      <c r="U104" s="602">
        <f t="shared" si="18"/>
        <v>1</v>
      </c>
      <c r="V104" s="603">
        <f t="shared" si="19"/>
        <v>0</v>
      </c>
      <c r="W104" s="604">
        <f t="shared" si="20"/>
        <v>0</v>
      </c>
      <c r="X104" s="682">
        <f t="shared" si="21"/>
        <v>0</v>
      </c>
    </row>
    <row r="105" spans="1:24" s="2" customFormat="1" ht="12.75" customHeight="1" x14ac:dyDescent="0.2">
      <c r="A105" s="24">
        <f t="shared" ref="A105:A122" si="22">IF((F105=0),"",RANK(F105,F$9:F$122,0))</f>
        <v>90</v>
      </c>
      <c r="B105" s="143">
        <v>90</v>
      </c>
      <c r="C105" s="364"/>
      <c r="D105" s="598" t="s">
        <v>532</v>
      </c>
      <c r="E105" s="683">
        <v>2.00000000001</v>
      </c>
      <c r="F105" s="25">
        <f t="shared" ref="F105:F122" si="23">G105+H105</f>
        <v>2.00000000001</v>
      </c>
      <c r="G105" s="144">
        <f t="shared" ref="G105:G122" si="24">COUNTIF(I105:T105,25)/100+COUNTIF(I105:T105,20)/1000+COUNTIF(I105:T105,16)/10000+COUNTIF(I105:T105,12)/100000+COUNTIF(I105:T105,9)/1000000+COUNTIF(I105:T105,7)/10000000+COUNTIF(I105:T105,5)/100000000+COUNTIF(I105:T105,4)/1000000000+COUNTIF(I105:T105,3)/10000000000+COUNTIF(I105:T105,2)/100000000000</f>
        <v>9.9999999999999994E-12</v>
      </c>
      <c r="H105" s="25">
        <f t="array" ref="H105">(IF(COUNT(I105,K105,N105,Q105,R105,S105)&lt;4,SUM(I105,K105,N105,Q105,R105,S105),SUM(LARGE((I105,K105,N105,Q105,R105,S105),{1;2;3;4}))))+(IF(COUNT(J105,L105,M105,O105,P105,T105)&lt;4,SUM(J105,L105,M105,O105,P105,T105),SUM(LARGE((J105,L105,M105,O105,P105,T105),{1;2;3;4}))))</f>
        <v>2</v>
      </c>
      <c r="I105" s="631" t="s">
        <v>677</v>
      </c>
      <c r="J105" s="631" t="s">
        <v>677</v>
      </c>
      <c r="K105" s="631" t="s">
        <v>677</v>
      </c>
      <c r="L105" s="631" t="s">
        <v>677</v>
      </c>
      <c r="M105" s="185"/>
      <c r="N105" s="185"/>
      <c r="O105" s="185"/>
      <c r="P105" s="361">
        <v>2</v>
      </c>
      <c r="Q105" s="185"/>
      <c r="R105" s="185"/>
      <c r="S105" s="185"/>
      <c r="T105" s="185"/>
      <c r="U105" s="602">
        <f t="shared" ref="U105:U122" si="25">COUNTIF(I105:T105,"&gt;0")</f>
        <v>1</v>
      </c>
      <c r="V105" s="603">
        <f t="shared" ref="V105:V122" si="26">COUNTIF(I105,"&gt;=12")+COUNTIF(K105,"&gt;=12")+COUNTIF(N105,"&gt;=12")+COUNTIF(Q105:S105,"&gt;=12")+COUNTIF(J105,"&gt;=16")+COUNTIF(L105:M105,"&gt;=16")+COUNTIF(O105:P105,"&gt;=16")+COUNTIF(T105,"&gt;=16")</f>
        <v>0</v>
      </c>
      <c r="W105" s="604">
        <f t="shared" ref="W105:W122" si="27">COUNTIF(I105,"=20")+COUNTIF(K105,"=20")+COUNTIF(N105,"=20")+COUNTIF(Q105:S105,"=20")+COUNTIF(I105:T105,"=25")</f>
        <v>0</v>
      </c>
      <c r="X105" s="682">
        <f t="shared" ref="X105:X122" si="28">COUNTIF(I105:T105,"=25")</f>
        <v>0</v>
      </c>
    </row>
    <row r="106" spans="1:24" s="2" customFormat="1" ht="12.75" customHeight="1" x14ac:dyDescent="0.2">
      <c r="A106" s="24">
        <f t="shared" si="22"/>
        <v>90</v>
      </c>
      <c r="B106" s="143">
        <v>90</v>
      </c>
      <c r="C106" s="364">
        <v>6</v>
      </c>
      <c r="D106" s="180" t="s">
        <v>259</v>
      </c>
      <c r="E106" s="164">
        <v>2.00000000001</v>
      </c>
      <c r="F106" s="25">
        <f t="shared" si="23"/>
        <v>2.00000000001</v>
      </c>
      <c r="G106" s="144">
        <f t="shared" si="24"/>
        <v>9.9999999999999994E-12</v>
      </c>
      <c r="H106" s="25">
        <f t="array" ref="H106">(IF(COUNT(I106,K106,N106,Q106,R106,S106)&lt;4,SUM(I106,K106,N106,Q106,R106,S106),SUM(LARGE((I106,K106,N106,Q106,R106,S106),{1;2;3;4}))))+(IF(COUNT(J106,L106,M106,O106,P106,T106)&lt;4,SUM(J106,L106,M106,O106,P106,T106),SUM(LARGE((J106,L106,M106,O106,P106,T106),{1;2;3;4}))))</f>
        <v>2</v>
      </c>
      <c r="I106" s="631" t="s">
        <v>677</v>
      </c>
      <c r="J106" s="185">
        <v>2</v>
      </c>
      <c r="K106" s="631" t="s">
        <v>677</v>
      </c>
      <c r="L106" s="631" t="s">
        <v>677</v>
      </c>
      <c r="M106" s="631" t="s">
        <v>677</v>
      </c>
      <c r="N106" s="185"/>
      <c r="O106" s="185"/>
      <c r="P106" s="185"/>
      <c r="Q106" s="185"/>
      <c r="R106" s="185"/>
      <c r="S106" s="185"/>
      <c r="T106" s="185"/>
      <c r="U106" s="602">
        <f t="shared" si="25"/>
        <v>1</v>
      </c>
      <c r="V106" s="603">
        <f t="shared" si="26"/>
        <v>0</v>
      </c>
      <c r="W106" s="604">
        <f t="shared" si="27"/>
        <v>0</v>
      </c>
      <c r="X106" s="682">
        <f t="shared" si="28"/>
        <v>0</v>
      </c>
    </row>
    <row r="107" spans="1:24" s="2" customFormat="1" ht="12.75" customHeight="1" x14ac:dyDescent="0.2">
      <c r="A107" s="24">
        <f t="shared" si="22"/>
        <v>90</v>
      </c>
      <c r="B107" s="143">
        <v>90</v>
      </c>
      <c r="C107" s="364"/>
      <c r="D107" s="186" t="s">
        <v>699</v>
      </c>
      <c r="E107" s="164">
        <v>2.00000000001</v>
      </c>
      <c r="F107" s="25">
        <f t="shared" si="23"/>
        <v>2.00000000001</v>
      </c>
      <c r="G107" s="144">
        <f t="shared" si="24"/>
        <v>9.9999999999999994E-12</v>
      </c>
      <c r="H107" s="25">
        <f t="array" ref="H107">(IF(COUNT(I107,K107,N107,Q107,R107,S107)&lt;4,SUM(I107,K107,N107,Q107,R107,S107),SUM(LARGE((I107,K107,N107,Q107,R107,S107),{1;2;3;4}))))+(IF(COUNT(J107,L107,M107,O107,P107,P107,T107)&lt;4,SUM(J107,L107,M107,O107,P107,P107,T107),SUM(LARGE((J107,L107,M107,O107,P107,P107,T107),{1;2;3;4}))))</f>
        <v>2</v>
      </c>
      <c r="I107" s="631" t="s">
        <v>677</v>
      </c>
      <c r="J107" s="631" t="s">
        <v>677</v>
      </c>
      <c r="K107" s="631" t="s">
        <v>677</v>
      </c>
      <c r="L107" s="631" t="s">
        <v>677</v>
      </c>
      <c r="M107" s="185"/>
      <c r="N107" s="185"/>
      <c r="O107" s="185"/>
      <c r="P107" s="185"/>
      <c r="Q107" s="185"/>
      <c r="R107" s="185"/>
      <c r="S107" s="185"/>
      <c r="T107" s="361">
        <v>2</v>
      </c>
      <c r="U107" s="602">
        <f t="shared" si="25"/>
        <v>1</v>
      </c>
      <c r="V107" s="603">
        <f t="shared" si="26"/>
        <v>0</v>
      </c>
      <c r="W107" s="604">
        <f t="shared" si="27"/>
        <v>0</v>
      </c>
      <c r="X107" s="682">
        <f t="shared" si="28"/>
        <v>0</v>
      </c>
    </row>
    <row r="108" spans="1:24" s="2" customFormat="1" ht="12.75" customHeight="1" x14ac:dyDescent="0.2">
      <c r="A108" s="24">
        <f t="shared" si="22"/>
        <v>90</v>
      </c>
      <c r="B108" s="143">
        <v>90</v>
      </c>
      <c r="C108" s="364"/>
      <c r="D108" s="27" t="s">
        <v>698</v>
      </c>
      <c r="E108" s="164">
        <v>2.00000000001</v>
      </c>
      <c r="F108" s="25">
        <f t="shared" si="23"/>
        <v>2.00000000001</v>
      </c>
      <c r="G108" s="144">
        <f t="shared" si="24"/>
        <v>9.9999999999999994E-12</v>
      </c>
      <c r="H108" s="25">
        <f t="array" ref="H108">(IF(COUNT(I108,K108,N108,Q108,R108,S108)&lt;4,SUM(I108,K108,N108,Q108,R108,S108),SUM(LARGE((I108,K108,N108,Q108,R108,S108),{1;2;3;4}))))+(IF(COUNT(J108,L108,M108,O108,P108,P108,T108)&lt;4,SUM(J108,L108,M108,O108,P108,P108,T108),SUM(LARGE((J108,L108,M108,O108,P108,P108,T108),{1;2;3;4}))))</f>
        <v>2</v>
      </c>
      <c r="I108" s="631" t="s">
        <v>677</v>
      </c>
      <c r="J108" s="631" t="s">
        <v>677</v>
      </c>
      <c r="K108" s="631" t="s">
        <v>677</v>
      </c>
      <c r="L108" s="631" t="s">
        <v>677</v>
      </c>
      <c r="M108" s="185"/>
      <c r="N108" s="185"/>
      <c r="O108" s="185"/>
      <c r="P108" s="185"/>
      <c r="Q108" s="185"/>
      <c r="R108" s="185"/>
      <c r="S108" s="185"/>
      <c r="T108" s="361">
        <v>2</v>
      </c>
      <c r="U108" s="602">
        <f t="shared" si="25"/>
        <v>1</v>
      </c>
      <c r="V108" s="603">
        <f t="shared" si="26"/>
        <v>0</v>
      </c>
      <c r="W108" s="604">
        <f t="shared" si="27"/>
        <v>0</v>
      </c>
      <c r="X108" s="682">
        <f t="shared" si="28"/>
        <v>0</v>
      </c>
    </row>
    <row r="109" spans="1:24" s="2" customFormat="1" ht="12.75" customHeight="1" x14ac:dyDescent="0.2">
      <c r="A109" s="24">
        <f t="shared" si="22"/>
        <v>90</v>
      </c>
      <c r="B109" s="143">
        <v>90</v>
      </c>
      <c r="C109" s="364"/>
      <c r="D109" s="27" t="s">
        <v>522</v>
      </c>
      <c r="E109" s="164">
        <v>2.00000000001</v>
      </c>
      <c r="F109" s="25">
        <f t="shared" si="23"/>
        <v>2.00000000001</v>
      </c>
      <c r="G109" s="144">
        <f t="shared" si="24"/>
        <v>9.9999999999999994E-12</v>
      </c>
      <c r="H109" s="25">
        <f t="array" ref="H109">(IF(COUNT(I109,K109,N109,Q109,R109,S109)&lt;4,SUM(I109,K109,N109,Q109,R109,S109),SUM(LARGE((I109,K109,N109,Q109,R109,S109),{1;2;3;4}))))+(IF(COUNT(J109,L109,M109,O109,P109,T109)&lt;4,SUM(J109,L109,M109,O109,P109,T109),SUM(LARGE((J109,L109,M109,O109,P109,T109),{1;2;3;4}))))</f>
        <v>2</v>
      </c>
      <c r="I109" s="631" t="s">
        <v>677</v>
      </c>
      <c r="J109" s="631" t="s">
        <v>677</v>
      </c>
      <c r="K109" s="631" t="s">
        <v>677</v>
      </c>
      <c r="L109" s="631" t="s">
        <v>677</v>
      </c>
      <c r="M109" s="185"/>
      <c r="N109" s="185"/>
      <c r="O109" s="185"/>
      <c r="P109" s="361">
        <v>2</v>
      </c>
      <c r="Q109" s="185"/>
      <c r="R109" s="185"/>
      <c r="S109" s="185"/>
      <c r="T109" s="185"/>
      <c r="U109" s="602">
        <f t="shared" si="25"/>
        <v>1</v>
      </c>
      <c r="V109" s="603">
        <f t="shared" si="26"/>
        <v>0</v>
      </c>
      <c r="W109" s="604">
        <f t="shared" si="27"/>
        <v>0</v>
      </c>
      <c r="X109" s="682">
        <f t="shared" si="28"/>
        <v>0</v>
      </c>
    </row>
    <row r="110" spans="1:24" s="2" customFormat="1" ht="12.75" customHeight="1" x14ac:dyDescent="0.2">
      <c r="A110" s="24">
        <f t="shared" si="22"/>
        <v>90</v>
      </c>
      <c r="B110" s="143">
        <v>90</v>
      </c>
      <c r="C110" s="364"/>
      <c r="D110" s="362" t="s">
        <v>702</v>
      </c>
      <c r="E110" s="164">
        <v>2.00000000001</v>
      </c>
      <c r="F110" s="25">
        <f t="shared" si="23"/>
        <v>2.00000000001</v>
      </c>
      <c r="G110" s="144">
        <f t="shared" si="24"/>
        <v>9.9999999999999994E-12</v>
      </c>
      <c r="H110" s="25">
        <f t="array" ref="H110">(IF(COUNT(I110,K110,N110,Q110,R110,S110)&lt;4,SUM(I110,K110,N110,Q110,R110,S110),SUM(LARGE((I110,K110,N110,Q110,R110,S110),{1;2;3;4}))))+(IF(COUNT(J110,L110,M110,O110,P110,P110,T110)&lt;4,SUM(J110,L110,M110,O110,P110,P110,T110),SUM(LARGE((J110,L110,M110,O110,P110,P110,T110),{1;2;3;4}))))</f>
        <v>2</v>
      </c>
      <c r="I110" s="631" t="s">
        <v>677</v>
      </c>
      <c r="J110" s="631" t="s">
        <v>677</v>
      </c>
      <c r="K110" s="631" t="s">
        <v>677</v>
      </c>
      <c r="L110" s="631" t="s">
        <v>677</v>
      </c>
      <c r="M110" s="185"/>
      <c r="N110" s="185"/>
      <c r="O110" s="185"/>
      <c r="P110" s="185"/>
      <c r="Q110" s="185"/>
      <c r="R110" s="185"/>
      <c r="S110" s="185"/>
      <c r="T110" s="361">
        <v>2</v>
      </c>
      <c r="U110" s="602">
        <f t="shared" si="25"/>
        <v>1</v>
      </c>
      <c r="V110" s="603">
        <f t="shared" si="26"/>
        <v>0</v>
      </c>
      <c r="W110" s="604">
        <f t="shared" si="27"/>
        <v>0</v>
      </c>
      <c r="X110" s="682">
        <f t="shared" si="28"/>
        <v>0</v>
      </c>
    </row>
    <row r="111" spans="1:24" s="2" customFormat="1" ht="12.75" customHeight="1" x14ac:dyDescent="0.2">
      <c r="A111" s="24">
        <f t="shared" si="22"/>
        <v>90</v>
      </c>
      <c r="B111" s="143">
        <v>90</v>
      </c>
      <c r="C111" s="364"/>
      <c r="D111" s="362" t="s">
        <v>691</v>
      </c>
      <c r="E111" s="164">
        <v>2.00000000001</v>
      </c>
      <c r="F111" s="25">
        <f t="shared" si="23"/>
        <v>2.00000000001</v>
      </c>
      <c r="G111" s="144">
        <f t="shared" si="24"/>
        <v>9.9999999999999994E-12</v>
      </c>
      <c r="H111" s="25">
        <f t="array" ref="H111">(IF(COUNT(I111,K111,N111,Q111,R111,S111)&lt;4,SUM(I111,K111,N111,Q111,R111,S111),SUM(LARGE((I111,K111,N111,Q111,R111,S111),{1;2;3;4}))))+(IF(COUNT(J111,L111,M111,O111,P111,P111,T111)&lt;4,SUM(J111,L111,M111,O111,P111,P111,T111),SUM(LARGE((J111,L111,M111,O111,P111,P111,T111),{1;2;3;4}))))</f>
        <v>2</v>
      </c>
      <c r="I111" s="631" t="s">
        <v>677</v>
      </c>
      <c r="J111" s="631" t="s">
        <v>677</v>
      </c>
      <c r="K111" s="631" t="s">
        <v>677</v>
      </c>
      <c r="L111" s="631" t="s">
        <v>677</v>
      </c>
      <c r="M111" s="185"/>
      <c r="N111" s="185"/>
      <c r="O111" s="185"/>
      <c r="P111" s="185"/>
      <c r="Q111" s="185"/>
      <c r="R111" s="185"/>
      <c r="S111" s="185"/>
      <c r="T111" s="361">
        <v>2</v>
      </c>
      <c r="U111" s="602">
        <f t="shared" si="25"/>
        <v>1</v>
      </c>
      <c r="V111" s="603">
        <f t="shared" si="26"/>
        <v>0</v>
      </c>
      <c r="W111" s="604">
        <f t="shared" si="27"/>
        <v>0</v>
      </c>
      <c r="X111" s="682">
        <f t="shared" si="28"/>
        <v>0</v>
      </c>
    </row>
    <row r="112" spans="1:24" s="2" customFormat="1" ht="12.75" customHeight="1" x14ac:dyDescent="0.2">
      <c r="A112" s="24">
        <f t="shared" si="22"/>
        <v>104</v>
      </c>
      <c r="B112" s="143">
        <v>104</v>
      </c>
      <c r="C112" s="364"/>
      <c r="D112" s="18" t="s">
        <v>530</v>
      </c>
      <c r="E112" s="683">
        <v>2</v>
      </c>
      <c r="F112" s="25">
        <f t="shared" si="23"/>
        <v>2</v>
      </c>
      <c r="G112" s="144">
        <f t="shared" si="24"/>
        <v>0</v>
      </c>
      <c r="H112" s="25">
        <f t="array" ref="H112">(IF(COUNT(I112,K112,N112,Q112,R112,S112)&lt;4,SUM(I112,K112,N112,Q112,R112,S112),SUM(LARGE((I112,K112,N112,Q112,R112,S112),{1;2;3;4}))))+(IF(COUNT(J112,L112,M112,O112,P112,T112)&lt;4,SUM(J112,L112,M112,O112,P112,T112),SUM(LARGE((J112,L112,M112,O112,P112,T112),{1;2;3;4}))))</f>
        <v>2</v>
      </c>
      <c r="I112" s="631" t="s">
        <v>677</v>
      </c>
      <c r="J112" s="631" t="s">
        <v>677</v>
      </c>
      <c r="K112" s="631" t="s">
        <v>677</v>
      </c>
      <c r="L112" s="631" t="s">
        <v>677</v>
      </c>
      <c r="M112" s="185"/>
      <c r="N112" s="185"/>
      <c r="O112" s="185"/>
      <c r="P112" s="185"/>
      <c r="Q112" s="361">
        <v>1</v>
      </c>
      <c r="R112" s="361">
        <v>1</v>
      </c>
      <c r="S112" s="185"/>
      <c r="T112" s="185"/>
      <c r="U112" s="602">
        <f t="shared" si="25"/>
        <v>2</v>
      </c>
      <c r="V112" s="603">
        <f t="shared" si="26"/>
        <v>0</v>
      </c>
      <c r="W112" s="604">
        <f t="shared" si="27"/>
        <v>0</v>
      </c>
      <c r="X112" s="682">
        <f t="shared" si="28"/>
        <v>0</v>
      </c>
    </row>
    <row r="113" spans="1:24" s="2" customFormat="1" ht="12.75" customHeight="1" x14ac:dyDescent="0.2">
      <c r="A113" s="24">
        <f t="shared" si="22"/>
        <v>105</v>
      </c>
      <c r="B113" s="143">
        <v>105</v>
      </c>
      <c r="C113" s="364"/>
      <c r="D113" s="362" t="s">
        <v>562</v>
      </c>
      <c r="E113" s="164">
        <v>1</v>
      </c>
      <c r="F113" s="25">
        <f t="shared" si="23"/>
        <v>1</v>
      </c>
      <c r="G113" s="144">
        <f t="shared" si="24"/>
        <v>0</v>
      </c>
      <c r="H113" s="25">
        <f t="array" ref="H113">(IF(COUNT(I113,K113,N113,Q113,R113,S113)&lt;4,SUM(I113,K113,N113,Q113,R113,S113),SUM(LARGE((I113,K113,N113,Q113,R113,S113),{1;2;3;4}))))+(IF(COUNT(J113,L113,M113,O113,P113,P113,T113)&lt;4,SUM(J113,L113,M113,O113,P113,P113,T113),SUM(LARGE((J113,L113,M113,O113,P113,P113,T113),{1;2;3;4}))))</f>
        <v>1</v>
      </c>
      <c r="I113" s="631" t="s">
        <v>677</v>
      </c>
      <c r="J113" s="631" t="s">
        <v>677</v>
      </c>
      <c r="K113" s="631" t="s">
        <v>677</v>
      </c>
      <c r="L113" s="631" t="s">
        <v>677</v>
      </c>
      <c r="M113" s="185"/>
      <c r="N113" s="185"/>
      <c r="O113" s="185"/>
      <c r="P113" s="185"/>
      <c r="Q113" s="185"/>
      <c r="R113" s="361">
        <v>1</v>
      </c>
      <c r="S113" s="185"/>
      <c r="T113" s="185"/>
      <c r="U113" s="602">
        <f t="shared" si="25"/>
        <v>1</v>
      </c>
      <c r="V113" s="603">
        <f t="shared" si="26"/>
        <v>0</v>
      </c>
      <c r="W113" s="604">
        <f t="shared" si="27"/>
        <v>0</v>
      </c>
      <c r="X113" s="682">
        <f t="shared" si="28"/>
        <v>0</v>
      </c>
    </row>
    <row r="114" spans="1:24" s="2" customFormat="1" ht="12.75" customHeight="1" x14ac:dyDescent="0.2">
      <c r="A114" s="24">
        <f t="shared" si="22"/>
        <v>105</v>
      </c>
      <c r="B114" s="143">
        <v>105</v>
      </c>
      <c r="C114" s="364"/>
      <c r="D114" s="18" t="s">
        <v>529</v>
      </c>
      <c r="E114" s="683">
        <v>1</v>
      </c>
      <c r="F114" s="25">
        <f t="shared" si="23"/>
        <v>1</v>
      </c>
      <c r="G114" s="144">
        <f t="shared" si="24"/>
        <v>0</v>
      </c>
      <c r="H114" s="25">
        <f t="array" ref="H114">(IF(COUNT(I114,K114,N114,Q114,R114,S114)&lt;4,SUM(I114,K114,N114,Q114,R114,S114),SUM(LARGE((I114,K114,N114,Q114,R114,S114),{1;2;3;4}))))+(IF(COUNT(J114,L114,M114,O114,P114,T114)&lt;4,SUM(J114,L114,M114,O114,P114,T114),SUM(LARGE((J114,L114,M114,O114,P114,T114),{1;2;3;4}))))</f>
        <v>1</v>
      </c>
      <c r="I114" s="631" t="s">
        <v>677</v>
      </c>
      <c r="J114" s="631" t="s">
        <v>677</v>
      </c>
      <c r="K114" s="631" t="s">
        <v>677</v>
      </c>
      <c r="L114" s="631" t="s">
        <v>677</v>
      </c>
      <c r="M114" s="185"/>
      <c r="N114" s="185"/>
      <c r="O114" s="185"/>
      <c r="P114" s="361"/>
      <c r="Q114" s="361">
        <v>1</v>
      </c>
      <c r="R114" s="185"/>
      <c r="S114" s="185"/>
      <c r="T114" s="185"/>
      <c r="U114" s="602">
        <f t="shared" si="25"/>
        <v>1</v>
      </c>
      <c r="V114" s="603">
        <f t="shared" si="26"/>
        <v>0</v>
      </c>
      <c r="W114" s="604">
        <f t="shared" si="27"/>
        <v>0</v>
      </c>
      <c r="X114" s="682">
        <f t="shared" si="28"/>
        <v>0</v>
      </c>
    </row>
    <row r="115" spans="1:24" s="2" customFormat="1" ht="12.75" customHeight="1" x14ac:dyDescent="0.2">
      <c r="A115" s="24">
        <f t="shared" si="22"/>
        <v>105</v>
      </c>
      <c r="B115" s="143">
        <v>105</v>
      </c>
      <c r="C115" s="364"/>
      <c r="D115" s="150" t="s">
        <v>503</v>
      </c>
      <c r="E115" s="685">
        <v>1</v>
      </c>
      <c r="F115" s="25">
        <f t="shared" si="23"/>
        <v>1</v>
      </c>
      <c r="G115" s="144">
        <f t="shared" si="24"/>
        <v>0</v>
      </c>
      <c r="H115" s="25">
        <f t="array" ref="H115">(IF(COUNT(I115,K115,N115,Q115,R115,S115)&lt;4,SUM(I115,K115,N115,Q115,R115,S115),SUM(LARGE((I115,K115,N115,Q115,R115,S115),{1;2;3;4}))))+(IF(COUNT(J115,L115,M115,O115,P115,T115)&lt;4,SUM(J115,L115,M115,O115,P115,T115),SUM(LARGE((J115,L115,M115,O115,P115,T115),{1;2;3;4}))))</f>
        <v>1</v>
      </c>
      <c r="I115" s="631" t="s">
        <v>677</v>
      </c>
      <c r="J115" s="631" t="s">
        <v>677</v>
      </c>
      <c r="K115" s="631" t="s">
        <v>677</v>
      </c>
      <c r="L115" s="631" t="s">
        <v>677</v>
      </c>
      <c r="M115" s="185"/>
      <c r="N115" s="361">
        <v>1</v>
      </c>
      <c r="O115" s="185"/>
      <c r="P115" s="185"/>
      <c r="Q115" s="185"/>
      <c r="R115" s="185"/>
      <c r="S115" s="185"/>
      <c r="T115" s="185"/>
      <c r="U115" s="602">
        <f t="shared" si="25"/>
        <v>1</v>
      </c>
      <c r="V115" s="603">
        <f t="shared" si="26"/>
        <v>0</v>
      </c>
      <c r="W115" s="604">
        <f t="shared" si="27"/>
        <v>0</v>
      </c>
      <c r="X115" s="682">
        <f t="shared" si="28"/>
        <v>0</v>
      </c>
    </row>
    <row r="116" spans="1:24" s="2" customFormat="1" ht="12.75" customHeight="1" x14ac:dyDescent="0.2">
      <c r="A116" s="24">
        <f t="shared" si="22"/>
        <v>105</v>
      </c>
      <c r="B116" s="143">
        <v>105</v>
      </c>
      <c r="C116" s="364"/>
      <c r="D116" s="178" t="s">
        <v>52</v>
      </c>
      <c r="E116" s="164">
        <v>1</v>
      </c>
      <c r="F116" s="25">
        <f t="shared" si="23"/>
        <v>1</v>
      </c>
      <c r="G116" s="144">
        <f t="shared" si="24"/>
        <v>0</v>
      </c>
      <c r="H116" s="25">
        <f t="array" ref="H116">(IF(COUNT(I116,K116,N116,Q116,R116,S116)&lt;4,SUM(I116,K116,N116,Q116,R116,S116),SUM(LARGE((I116,K116,N116,Q116,R116,S116),{1;2;3;4}))))+(IF(COUNT(J116,L116,M116,O116,P116,T116)&lt;4,SUM(J116,L116,M116,O116,P116,T116),SUM(LARGE((J116,L116,M116,O116,P116,T116),{1;2;3;4}))))</f>
        <v>1</v>
      </c>
      <c r="I116" s="185">
        <v>1</v>
      </c>
      <c r="J116" s="631" t="s">
        <v>677</v>
      </c>
      <c r="K116" s="631" t="s">
        <v>677</v>
      </c>
      <c r="L116" s="631" t="s">
        <v>677</v>
      </c>
      <c r="M116" s="185"/>
      <c r="N116" s="631" t="s">
        <v>677</v>
      </c>
      <c r="O116" s="185"/>
      <c r="P116" s="185"/>
      <c r="Q116" s="185"/>
      <c r="R116" s="185"/>
      <c r="S116" s="185"/>
      <c r="T116" s="185"/>
      <c r="U116" s="602">
        <f t="shared" si="25"/>
        <v>1</v>
      </c>
      <c r="V116" s="603">
        <f t="shared" si="26"/>
        <v>0</v>
      </c>
      <c r="W116" s="604">
        <f t="shared" si="27"/>
        <v>0</v>
      </c>
      <c r="X116" s="682">
        <f t="shared" si="28"/>
        <v>0</v>
      </c>
    </row>
    <row r="117" spans="1:24" s="2" customFormat="1" ht="12.75" customHeight="1" x14ac:dyDescent="0.2">
      <c r="A117" s="24">
        <f t="shared" si="22"/>
        <v>105</v>
      </c>
      <c r="B117" s="143">
        <v>105</v>
      </c>
      <c r="C117" s="364"/>
      <c r="D117" s="362" t="s">
        <v>560</v>
      </c>
      <c r="E117" s="164">
        <v>1</v>
      </c>
      <c r="F117" s="25">
        <f t="shared" si="23"/>
        <v>1</v>
      </c>
      <c r="G117" s="144">
        <f t="shared" si="24"/>
        <v>0</v>
      </c>
      <c r="H117" s="25">
        <f t="array" ref="H117">(IF(COUNT(I117,K117,N117,Q117,R117,S117)&lt;4,SUM(I117,K117,N117,Q117,R117,S117),SUM(LARGE((I117,K117,N117,Q117,R117,S117),{1;2;3;4}))))+(IF(COUNT(J117,L117,M117,O117,P117,P117,T117)&lt;4,SUM(J117,L117,M117,O117,P117,P117,T117),SUM(LARGE((J117,L117,M117,O117,P117,P117,T117),{1;2;3;4}))))</f>
        <v>1</v>
      </c>
      <c r="I117" s="631" t="s">
        <v>677</v>
      </c>
      <c r="J117" s="631" t="s">
        <v>677</v>
      </c>
      <c r="K117" s="631" t="s">
        <v>677</v>
      </c>
      <c r="L117" s="631" t="s">
        <v>677</v>
      </c>
      <c r="M117" s="185"/>
      <c r="N117" s="185"/>
      <c r="O117" s="185"/>
      <c r="P117" s="185"/>
      <c r="Q117" s="185"/>
      <c r="R117" s="361">
        <v>1</v>
      </c>
      <c r="S117" s="185"/>
      <c r="T117" s="185"/>
      <c r="U117" s="602">
        <f t="shared" si="25"/>
        <v>1</v>
      </c>
      <c r="V117" s="603">
        <f t="shared" si="26"/>
        <v>0</v>
      </c>
      <c r="W117" s="604">
        <f t="shared" si="27"/>
        <v>0</v>
      </c>
      <c r="X117" s="682">
        <f t="shared" si="28"/>
        <v>0</v>
      </c>
    </row>
    <row r="118" spans="1:24" s="2" customFormat="1" ht="12.75" customHeight="1" x14ac:dyDescent="0.2">
      <c r="A118" s="24">
        <f t="shared" si="22"/>
        <v>105</v>
      </c>
      <c r="B118" s="143">
        <v>105</v>
      </c>
      <c r="C118" s="364">
        <v>7</v>
      </c>
      <c r="D118" s="181" t="s">
        <v>563</v>
      </c>
      <c r="E118" s="164">
        <v>1</v>
      </c>
      <c r="F118" s="25">
        <f t="shared" si="23"/>
        <v>1</v>
      </c>
      <c r="G118" s="144">
        <f t="shared" si="24"/>
        <v>0</v>
      </c>
      <c r="H118" s="25">
        <f t="array" ref="H118">(IF(COUNT(I118,K118,N118,Q118,R118,S118)&lt;4,SUM(I118,K118,N118,Q118,R118,S118),SUM(LARGE((I118,K118,N118,Q118,R118,S118),{1;2;3;4}))))+(IF(COUNT(J118,L118,M118,O118,P118,P118,T118)&lt;4,SUM(J118,L118,M118,O118,P118,P118,T118),SUM(LARGE((J118,L118,M118,O118,P118,P118,T118),{1;2;3;4}))))</f>
        <v>1</v>
      </c>
      <c r="I118" s="631" t="s">
        <v>677</v>
      </c>
      <c r="J118" s="631" t="s">
        <v>677</v>
      </c>
      <c r="K118" s="631" t="s">
        <v>677</v>
      </c>
      <c r="L118" s="631" t="s">
        <v>677</v>
      </c>
      <c r="M118" s="185"/>
      <c r="N118" s="185"/>
      <c r="O118" s="185"/>
      <c r="P118" s="185"/>
      <c r="Q118" s="185"/>
      <c r="R118" s="361">
        <v>1</v>
      </c>
      <c r="S118" s="185"/>
      <c r="T118" s="185"/>
      <c r="U118" s="602">
        <f t="shared" si="25"/>
        <v>1</v>
      </c>
      <c r="V118" s="603">
        <f t="shared" si="26"/>
        <v>0</v>
      </c>
      <c r="W118" s="604">
        <f t="shared" si="27"/>
        <v>0</v>
      </c>
      <c r="X118" s="682">
        <f t="shared" si="28"/>
        <v>0</v>
      </c>
    </row>
    <row r="119" spans="1:24" s="2" customFormat="1" ht="12.75" customHeight="1" x14ac:dyDescent="0.2">
      <c r="A119" s="24">
        <f t="shared" si="22"/>
        <v>105</v>
      </c>
      <c r="B119" s="143">
        <v>105</v>
      </c>
      <c r="C119" s="364"/>
      <c r="D119" s="186" t="s">
        <v>531</v>
      </c>
      <c r="E119" s="684">
        <v>1</v>
      </c>
      <c r="F119" s="25">
        <f t="shared" si="23"/>
        <v>1</v>
      </c>
      <c r="G119" s="144">
        <f t="shared" si="24"/>
        <v>0</v>
      </c>
      <c r="H119" s="25">
        <f t="array" ref="H119">(IF(COUNT(I119,K119,N119,Q119,R119,S119)&lt;4,SUM(I119,K119,N119,Q119,R119,S119),SUM(LARGE((I119,K119,N119,Q119,R119,S119),{1;2;3;4}))))+(IF(COUNT(J119,L119,M119,O119,P119,T119)&lt;4,SUM(J119,L119,M119,O119,P119,T119),SUM(LARGE((J119,L119,M119,O119,P119,T119),{1;2;3;4}))))</f>
        <v>1</v>
      </c>
      <c r="I119" s="631" t="s">
        <v>677</v>
      </c>
      <c r="J119" s="631" t="s">
        <v>677</v>
      </c>
      <c r="K119" s="631" t="s">
        <v>677</v>
      </c>
      <c r="L119" s="631" t="s">
        <v>677</v>
      </c>
      <c r="M119" s="185"/>
      <c r="N119" s="185"/>
      <c r="O119" s="185"/>
      <c r="P119" s="361"/>
      <c r="Q119" s="361">
        <v>1</v>
      </c>
      <c r="R119" s="185"/>
      <c r="S119" s="185"/>
      <c r="T119" s="185"/>
      <c r="U119" s="602">
        <f t="shared" si="25"/>
        <v>1</v>
      </c>
      <c r="V119" s="603">
        <f t="shared" si="26"/>
        <v>0</v>
      </c>
      <c r="W119" s="604">
        <f t="shared" si="27"/>
        <v>0</v>
      </c>
      <c r="X119" s="682">
        <f t="shared" si="28"/>
        <v>0</v>
      </c>
    </row>
    <row r="120" spans="1:24" s="2" customFormat="1" ht="12.75" customHeight="1" x14ac:dyDescent="0.2">
      <c r="A120" s="24">
        <f t="shared" si="22"/>
        <v>105</v>
      </c>
      <c r="B120" s="143">
        <v>105</v>
      </c>
      <c r="C120" s="364"/>
      <c r="D120" s="566" t="s">
        <v>504</v>
      </c>
      <c r="E120" s="685">
        <v>1</v>
      </c>
      <c r="F120" s="25">
        <f t="shared" si="23"/>
        <v>1</v>
      </c>
      <c r="G120" s="144">
        <f t="shared" si="24"/>
        <v>0</v>
      </c>
      <c r="H120" s="25">
        <f t="array" ref="H120">(IF(COUNT(I120,K120,N120,Q120,R120,S120)&lt;4,SUM(I120,K120,N120,Q120,R120,S120),SUM(LARGE((I120,K120,N120,Q120,R120,S120),{1;2;3;4}))))+(IF(COUNT(J120,L120,M120,O120,P120,T120)&lt;4,SUM(J120,L120,M120,O120,P120,T120),SUM(LARGE((J120,L120,M120,O120,P120,T120),{1;2;3;4}))))</f>
        <v>1</v>
      </c>
      <c r="I120" s="631" t="s">
        <v>677</v>
      </c>
      <c r="J120" s="631" t="s">
        <v>677</v>
      </c>
      <c r="K120" s="631" t="s">
        <v>677</v>
      </c>
      <c r="L120" s="631" t="s">
        <v>677</v>
      </c>
      <c r="M120" s="185"/>
      <c r="N120" s="361">
        <v>1</v>
      </c>
      <c r="O120" s="185"/>
      <c r="P120" s="185"/>
      <c r="Q120" s="185"/>
      <c r="R120" s="185"/>
      <c r="S120" s="185"/>
      <c r="T120" s="185"/>
      <c r="U120" s="602">
        <f t="shared" si="25"/>
        <v>1</v>
      </c>
      <c r="V120" s="603">
        <f t="shared" si="26"/>
        <v>0</v>
      </c>
      <c r="W120" s="604">
        <f t="shared" si="27"/>
        <v>0</v>
      </c>
      <c r="X120" s="682">
        <f t="shared" si="28"/>
        <v>0</v>
      </c>
    </row>
    <row r="121" spans="1:24" s="2" customFormat="1" ht="12.75" customHeight="1" x14ac:dyDescent="0.2">
      <c r="A121" s="24">
        <f t="shared" si="22"/>
        <v>105</v>
      </c>
      <c r="B121" s="143">
        <v>105</v>
      </c>
      <c r="C121" s="364"/>
      <c r="D121" s="18" t="s">
        <v>528</v>
      </c>
      <c r="E121" s="683">
        <v>1</v>
      </c>
      <c r="F121" s="25">
        <f t="shared" si="23"/>
        <v>1</v>
      </c>
      <c r="G121" s="144">
        <f t="shared" si="24"/>
        <v>0</v>
      </c>
      <c r="H121" s="25">
        <f t="array" ref="H121">(IF(COUNT(I121,K121,N121,Q121,R121,S121)&lt;4,SUM(I121,K121,N121,Q121,R121,S121),SUM(LARGE((I121,K121,N121,Q121,R121,S121),{1;2;3;4}))))+(IF(COUNT(J121,L121,M121,O121,P121,T121)&lt;4,SUM(J121,L121,M121,O121,P121,T121),SUM(LARGE((J121,L121,M121,O121,P121,T121),{1;2;3;4}))))</f>
        <v>1</v>
      </c>
      <c r="I121" s="631" t="s">
        <v>677</v>
      </c>
      <c r="J121" s="631" t="s">
        <v>677</v>
      </c>
      <c r="K121" s="631" t="s">
        <v>677</v>
      </c>
      <c r="L121" s="631" t="s">
        <v>677</v>
      </c>
      <c r="M121" s="185"/>
      <c r="N121" s="185"/>
      <c r="O121" s="185"/>
      <c r="P121" s="185"/>
      <c r="Q121" s="361">
        <v>1</v>
      </c>
      <c r="R121" s="185"/>
      <c r="S121" s="185"/>
      <c r="T121" s="185"/>
      <c r="U121" s="602">
        <f t="shared" si="25"/>
        <v>1</v>
      </c>
      <c r="V121" s="603">
        <f t="shared" si="26"/>
        <v>0</v>
      </c>
      <c r="W121" s="604">
        <f t="shared" si="27"/>
        <v>0</v>
      </c>
      <c r="X121" s="682">
        <f t="shared" si="28"/>
        <v>0</v>
      </c>
    </row>
    <row r="122" spans="1:24" s="2" customFormat="1" ht="12.75" customHeight="1" x14ac:dyDescent="0.2">
      <c r="A122" s="24">
        <f t="shared" si="22"/>
        <v>105</v>
      </c>
      <c r="B122" s="143">
        <v>105</v>
      </c>
      <c r="C122" s="364"/>
      <c r="D122" s="362" t="s">
        <v>481</v>
      </c>
      <c r="E122" s="164">
        <v>1</v>
      </c>
      <c r="F122" s="25">
        <f t="shared" si="23"/>
        <v>1</v>
      </c>
      <c r="G122" s="144">
        <f t="shared" si="24"/>
        <v>0</v>
      </c>
      <c r="H122" s="25">
        <f t="array" ref="H122">(IF(COUNT(I122,K122,N122,Q122,R122,S122)&lt;4,SUM(I122,K122,N122,Q122,R122,S122),SUM(LARGE((I122,K122,N122,Q122,R122,S122),{1;2;3;4}))))+(IF(COUNT(J122,L122,M122,O122,P122,T122)&lt;4,SUM(J122,L122,M122,O122,P122,T122),SUM(LARGE((J122,L122,M122,O122,P122,T122),{1;2;3;4}))))</f>
        <v>1</v>
      </c>
      <c r="I122" s="631" t="s">
        <v>677</v>
      </c>
      <c r="J122" s="631" t="s">
        <v>677</v>
      </c>
      <c r="K122" s="631" t="s">
        <v>677</v>
      </c>
      <c r="L122" s="631" t="s">
        <v>677</v>
      </c>
      <c r="M122" s="185"/>
      <c r="N122" s="361">
        <v>1</v>
      </c>
      <c r="O122" s="185"/>
      <c r="P122" s="185"/>
      <c r="Q122" s="185"/>
      <c r="R122" s="185"/>
      <c r="S122" s="185"/>
      <c r="T122" s="185"/>
      <c r="U122" s="602">
        <f t="shared" si="25"/>
        <v>1</v>
      </c>
      <c r="V122" s="603">
        <f t="shared" si="26"/>
        <v>0</v>
      </c>
      <c r="W122" s="604">
        <f t="shared" si="27"/>
        <v>0</v>
      </c>
      <c r="X122" s="682">
        <f t="shared" si="28"/>
        <v>0</v>
      </c>
    </row>
    <row r="123" spans="1:24" s="2" customFormat="1" x14ac:dyDescent="0.2">
      <c r="A123" s="28"/>
      <c r="B123" s="28">
        <f>COUNT(B9:B122)</f>
        <v>114</v>
      </c>
      <c r="C123" s="365">
        <f>COUNT(C9:C122)</f>
        <v>7</v>
      </c>
      <c r="D123" s="29" t="s">
        <v>67</v>
      </c>
      <c r="E123" s="30"/>
      <c r="F123" s="30"/>
      <c r="G123" s="30"/>
      <c r="H123" s="30"/>
      <c r="I123" s="31">
        <f t="shared" ref="I123:T123" si="29">COUNTIF(I9:I122,"&gt;=0")+COUNTIF(I9:I122,"=v")+COUNTIF(I9:I122,"=w")</f>
        <v>44</v>
      </c>
      <c r="J123" s="31">
        <f t="shared" si="29"/>
        <v>51</v>
      </c>
      <c r="K123" s="31">
        <f t="shared" si="29"/>
        <v>33</v>
      </c>
      <c r="L123" s="31">
        <f t="shared" si="29"/>
        <v>32</v>
      </c>
      <c r="M123" s="31">
        <f t="shared" si="29"/>
        <v>29</v>
      </c>
      <c r="N123" s="31">
        <f t="shared" si="29"/>
        <v>55</v>
      </c>
      <c r="O123" s="31">
        <f t="shared" si="29"/>
        <v>38</v>
      </c>
      <c r="P123" s="31">
        <f t="shared" si="29"/>
        <v>34</v>
      </c>
      <c r="Q123" s="31">
        <f t="shared" si="29"/>
        <v>40</v>
      </c>
      <c r="R123" s="31">
        <f t="shared" si="29"/>
        <v>46</v>
      </c>
      <c r="S123" s="31">
        <f t="shared" si="29"/>
        <v>24</v>
      </c>
      <c r="T123" s="31">
        <f t="shared" si="29"/>
        <v>57</v>
      </c>
      <c r="U123" s="182"/>
      <c r="V123" s="183">
        <f>SUM(V9:V122)</f>
        <v>82</v>
      </c>
      <c r="W123" s="183">
        <f>SUM(W9:W122)</f>
        <v>27</v>
      </c>
      <c r="X123" s="184">
        <f>SUM(X9:X122)</f>
        <v>12</v>
      </c>
    </row>
    <row r="124" spans="1:24" s="2" customFormat="1" x14ac:dyDescent="0.2">
      <c r="A124" s="30"/>
      <c r="B124" s="30"/>
      <c r="C124" s="30"/>
      <c r="D124" s="29" t="s">
        <v>68</v>
      </c>
      <c r="E124" s="32"/>
      <c r="F124" s="32"/>
      <c r="G124" s="32"/>
      <c r="H124" s="6"/>
      <c r="I124" s="33">
        <f>IF((I123/(LEN(I7)-LEN(SUBSTITUTE(I7,"*","")))-0.5)&lt;0,"",I123/(LEN(I7)-LEN(SUBSTITUTE(I7,"*","")))-0.5)</f>
        <v>21.5</v>
      </c>
      <c r="J124" s="33">
        <f>IF((J123/(LEN(J7)-LEN(SUBSTITUTE(J7,"*","")))-0.5)&lt;0,"",J123/(LEN(J7)-LEN(SUBSTITUTE(J7,"*","")))-0.5)</f>
        <v>16.5</v>
      </c>
      <c r="K124" s="33">
        <f>IF((K123/(LEN(K7)-LEN(SUBSTITUTE(K7,"*","")))-0.5)&lt;0,"",K123/(LEN(K7)-LEN(SUBSTITUTE(K7,"*","")))-0.5)</f>
        <v>10.5</v>
      </c>
      <c r="L124" s="33"/>
      <c r="M124" s="33"/>
      <c r="N124" s="33">
        <f>IF((N123/(LEN(N7)-LEN(SUBSTITUTE(N7,"*","")))-0.5)&lt;0,"",N123/(LEN(N7)-LEN(SUBSTITUTE(N7,"*","")))-0.5)</f>
        <v>27</v>
      </c>
      <c r="O124" s="33">
        <f>IF((O123/(LEN(O7)-LEN(SUBSTITUTE(O7,"*","")))-0.5)&lt;0,"",O123/(LEN(O7)-LEN(SUBSTITUTE(O7,"*","")))-0.5)</f>
        <v>18.5</v>
      </c>
      <c r="P124" s="33">
        <f>IF((P123/(LEN(P7)-LEN(SUBSTITUTE(P7,"*","")))-0.5)&lt;0,"",P123/(LEN(P7)-LEN(SUBSTITUTE(P7,"*","")))-1.5)</f>
        <v>15.5</v>
      </c>
      <c r="Q124" s="33">
        <f>IF((Q123/(LEN(Q7)-LEN(SUBSTITUTE(Q7,"*","")))-0.5)&lt;0,"",Q123/(LEN(Q7)-LEN(SUBSTITUTE(Q7,"*","")))-0.5)</f>
        <v>12.833333333333334</v>
      </c>
      <c r="R124" s="33">
        <f>IF((R123/(LEN(R7)-LEN(SUBSTITUTE(R7,"*","")))-0.5)&lt;0,"",R123/(LEN(R7)-LEN(SUBSTITUTE(R7,"*","")))-0.5)</f>
        <v>22.5</v>
      </c>
      <c r="S124" s="33">
        <f>IF((S123/(LEN(S7)-LEN(SUBSTITUTE(S7,"*","")))-0.5)&lt;0,"",S123/(LEN(S7)-LEN(SUBSTITUTE(S7,"*","")))-0.5)</f>
        <v>7.5</v>
      </c>
      <c r="T124" s="33">
        <f>IF((T123/(LEN(T7)-LEN(SUBSTITUTE(T7,"*","")))-0.5)&lt;0,"",T123/(LEN(T7)-LEN(SUBSTITUTE(T7,"*","")))-1.5)</f>
        <v>17.5</v>
      </c>
      <c r="U124" s="30"/>
      <c r="V124" s="30"/>
      <c r="W124" s="30"/>
      <c r="X124" s="30"/>
    </row>
  </sheetData>
  <autoFilter ref="C8:X124"/>
  <sortState ref="A9:X134">
    <sortCondition descending="1" ref="E9"/>
  </sortState>
  <conditionalFormatting sqref="I123:T123">
    <cfRule type="top10" dxfId="38" priority="5113" stopIfTrue="1" rank="1"/>
  </conditionalFormatting>
  <conditionalFormatting sqref="L9:M122 J9:J122 O9:P122 T9:T122">
    <cfRule type="cellIs" dxfId="37" priority="31" stopIfTrue="1" operator="equal">
      <formula>16</formula>
    </cfRule>
    <cfRule type="cellIs" dxfId="36" priority="32" stopIfTrue="1" operator="equal">
      <formula>20</formula>
    </cfRule>
    <cfRule type="cellIs" dxfId="35" priority="33" stopIfTrue="1" operator="equal">
      <formula>25</formula>
    </cfRule>
  </conditionalFormatting>
  <conditionalFormatting sqref="Q9:S122 K9:K122 I9:I122 N9:N122">
    <cfRule type="cellIs" dxfId="34" priority="34" stopIfTrue="1" operator="equal">
      <formula>12</formula>
    </cfRule>
    <cfRule type="cellIs" dxfId="33" priority="35" stopIfTrue="1" operator="equal">
      <formula>16</formula>
    </cfRule>
    <cfRule type="cellIs" dxfId="32" priority="36" stopIfTrue="1" operator="equal">
      <formula>20</formula>
    </cfRule>
  </conditionalFormatting>
  <conditionalFormatting sqref="D109">
    <cfRule type="duplicateValues" dxfId="31" priority="7"/>
  </conditionalFormatting>
  <conditionalFormatting sqref="D103">
    <cfRule type="duplicateValues" dxfId="30" priority="4"/>
  </conditionalFormatting>
  <conditionalFormatting sqref="D95 D92 D105 D97">
    <cfRule type="duplicateValues" dxfId="29" priority="3"/>
  </conditionalFormatting>
  <conditionalFormatting sqref="U9:U122">
    <cfRule type="top10" dxfId="28" priority="5242" stopIfTrue="1" rank="1"/>
  </conditionalFormatting>
  <conditionalFormatting sqref="V9:V122">
    <cfRule type="top10" dxfId="27" priority="5243" stopIfTrue="1" rank="1"/>
  </conditionalFormatting>
  <conditionalFormatting sqref="W9:W122">
    <cfRule type="top10" dxfId="26" priority="5244" stopIfTrue="1" rank="1"/>
  </conditionalFormatting>
  <conditionalFormatting sqref="X9:X122">
    <cfRule type="top10" dxfId="25" priority="5245" stopIfTrue="1" rank="1"/>
  </conditionalFormatting>
  <conditionalFormatting sqref="H9:H122">
    <cfRule type="duplicateValues" dxfId="24" priority="5246" stopIfTrue="1"/>
  </conditionalFormatting>
  <conditionalFormatting sqref="A9:A122">
    <cfRule type="duplicateValues" dxfId="23" priority="5247" stopIfTrue="1"/>
  </conditionalFormatting>
  <conditionalFormatting sqref="F9:F122">
    <cfRule type="duplicateValues" dxfId="22" priority="5248" stopIfTrue="1"/>
  </conditionalFormatting>
  <conditionalFormatting sqref="D9:D122">
    <cfRule type="duplicateValues" dxfId="21" priority="5249"/>
  </conditionalFormatting>
  <conditionalFormatting sqref="E9:E122">
    <cfRule type="duplicateValues" dxfId="20" priority="2"/>
  </conditionalFormatting>
  <conditionalFormatting sqref="B9:B122">
    <cfRule type="duplicateValues" dxfId="0" priority="1"/>
  </conditionalFormatting>
  <printOptions horizontalCentered="1"/>
  <pageMargins left="0.39370078740157483" right="0.39370078740157483" top="0.98425196850393704" bottom="0.39370078740157483" header="0.78740157480314965" footer="0"/>
  <pageSetup paperSize="9" fitToHeight="0" orientation="landscape" r:id="rId1"/>
  <headerFooter>
    <oddHeader>&amp;R&amp;P. leht &amp;N--st</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13"/>
  <sheetViews>
    <sheetView showGridLines="0" showRowColHeader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148" customWidth="1"/>
    <col min="2" max="2" width="34.42578125" style="148" bestFit="1" customWidth="1"/>
    <col min="3" max="3" width="7.28515625" style="148" customWidth="1"/>
    <col min="4" max="4" width="7.42578125" style="148" bestFit="1" customWidth="1"/>
    <col min="5" max="5" width="9.140625" style="148" bestFit="1" customWidth="1"/>
    <col min="6" max="6" width="6.7109375" style="148" customWidth="1"/>
    <col min="7" max="7" width="5.140625" style="148" bestFit="1" customWidth="1"/>
    <col min="8" max="8" width="4.7109375" style="148" customWidth="1"/>
    <col min="9" max="9" width="9.140625" style="148" customWidth="1"/>
    <col min="10" max="10" width="7.85546875" style="148" customWidth="1"/>
    <col min="11" max="11" width="4.7109375" style="148" customWidth="1"/>
    <col min="12" max="13" width="9.140625" style="148" customWidth="1"/>
    <col min="14" max="16384" width="9.140625" style="148"/>
  </cols>
  <sheetData>
    <row r="1" spans="1:7" x14ac:dyDescent="0.2">
      <c r="A1" s="138" t="str">
        <f>UPPER((Kalend!D6)&amp;" - "&amp;(Kalend!C6)&amp;" - "&amp;(Kalend!E6))</f>
        <v>1 - EESTI REITINGUVÕISTLUS - DUO</v>
      </c>
      <c r="F1" s="61" t="str">
        <f>HYPERLINK("#Üldreiting!K1","Reiting")</f>
        <v>Reiting</v>
      </c>
    </row>
    <row r="2" spans="1:7" x14ac:dyDescent="0.2">
      <c r="A2" s="148" t="str">
        <f>"Toimumisaeg: "&amp;(Kalend!A6)&amp;" kell "&amp;(Kalend!B6)</f>
        <v>Toimumisaeg: L, 05.11.2016 kell 10:30</v>
      </c>
    </row>
    <row r="3" spans="1:7" x14ac:dyDescent="0.2">
      <c r="A3" s="148" t="str">
        <f>"Toimumiskoht: "&amp;(Kalend!F6)</f>
        <v>Toimumiskoht: Tallinn, Algi 38</v>
      </c>
    </row>
    <row r="4" spans="1:7" x14ac:dyDescent="0.2">
      <c r="A4" s="148" t="str">
        <f>"Korraldaja: "&amp;(Kalend!G6)</f>
        <v>Korraldaja: EPKL</v>
      </c>
    </row>
    <row r="6" spans="1:7" s="43" customFormat="1" x14ac:dyDescent="0.2">
      <c r="A6" s="283" t="s">
        <v>320</v>
      </c>
      <c r="B6" s="284"/>
      <c r="C6" s="42" t="s">
        <v>70</v>
      </c>
      <c r="D6" s="42" t="s">
        <v>71</v>
      </c>
      <c r="E6" s="42" t="s">
        <v>72</v>
      </c>
      <c r="F6" s="42" t="s">
        <v>73</v>
      </c>
      <c r="G6" s="42" t="s">
        <v>19</v>
      </c>
    </row>
    <row r="7" spans="1:7" s="43" customFormat="1" x14ac:dyDescent="0.2">
      <c r="A7" s="41">
        <v>1</v>
      </c>
      <c r="B7" s="227" t="s">
        <v>326</v>
      </c>
      <c r="C7" s="45">
        <v>12</v>
      </c>
      <c r="D7" s="45"/>
      <c r="E7" s="45">
        <v>8</v>
      </c>
      <c r="F7" s="45"/>
      <c r="G7" s="232" t="s">
        <v>98</v>
      </c>
    </row>
    <row r="8" spans="1:7" s="43" customFormat="1" x14ac:dyDescent="0.2">
      <c r="A8" s="41">
        <v>2</v>
      </c>
      <c r="B8" s="226" t="s">
        <v>327</v>
      </c>
      <c r="C8" s="45">
        <v>13</v>
      </c>
      <c r="D8" s="45">
        <v>13</v>
      </c>
      <c r="E8" s="45"/>
      <c r="F8" s="45"/>
      <c r="G8" s="232" t="s">
        <v>74</v>
      </c>
    </row>
    <row r="9" spans="1:7" s="43" customFormat="1" x14ac:dyDescent="0.2">
      <c r="A9" s="41">
        <v>3</v>
      </c>
      <c r="B9" s="226" t="s">
        <v>328</v>
      </c>
      <c r="C9" s="45">
        <v>9</v>
      </c>
      <c r="D9" s="45"/>
      <c r="E9" s="45">
        <v>13</v>
      </c>
      <c r="F9" s="45">
        <v>13</v>
      </c>
      <c r="G9" s="232" t="s">
        <v>75</v>
      </c>
    </row>
    <row r="10" spans="1:7" s="43" customFormat="1" x14ac:dyDescent="0.2">
      <c r="A10" s="41">
        <v>4</v>
      </c>
      <c r="B10" s="228" t="s">
        <v>329</v>
      </c>
      <c r="C10" s="45">
        <v>13</v>
      </c>
      <c r="D10" s="45">
        <v>0</v>
      </c>
      <c r="E10" s="45"/>
      <c r="F10" s="45">
        <v>9</v>
      </c>
      <c r="G10" s="232" t="s">
        <v>76</v>
      </c>
    </row>
    <row r="11" spans="1:7" s="43" customFormat="1" x14ac:dyDescent="0.2">
      <c r="A11" s="47"/>
      <c r="B11" s="110"/>
      <c r="C11" s="49"/>
      <c r="D11" s="49"/>
      <c r="E11" s="49"/>
      <c r="F11" s="50"/>
      <c r="G11" s="51"/>
    </row>
    <row r="12" spans="1:7" s="43" customFormat="1" x14ac:dyDescent="0.2">
      <c r="A12" s="283" t="s">
        <v>321</v>
      </c>
      <c r="B12" s="284"/>
      <c r="C12" s="42" t="s">
        <v>70</v>
      </c>
      <c r="D12" s="42" t="s">
        <v>71</v>
      </c>
      <c r="E12" s="42" t="s">
        <v>72</v>
      </c>
      <c r="F12" s="42" t="s">
        <v>73</v>
      </c>
      <c r="G12" s="42" t="s">
        <v>19</v>
      </c>
    </row>
    <row r="13" spans="1:7" s="43" customFormat="1" x14ac:dyDescent="0.2">
      <c r="A13" s="41">
        <v>1</v>
      </c>
      <c r="B13" s="226" t="s">
        <v>330</v>
      </c>
      <c r="C13" s="45">
        <v>13</v>
      </c>
      <c r="D13" s="45">
        <v>12</v>
      </c>
      <c r="E13" s="45"/>
      <c r="F13" s="45">
        <v>5</v>
      </c>
      <c r="G13" s="232" t="s">
        <v>76</v>
      </c>
    </row>
    <row r="14" spans="1:7" s="43" customFormat="1" x14ac:dyDescent="0.2">
      <c r="A14" s="41">
        <v>2</v>
      </c>
      <c r="B14" s="226" t="s">
        <v>123</v>
      </c>
      <c r="C14" s="45">
        <v>7</v>
      </c>
      <c r="D14" s="45"/>
      <c r="E14" s="45">
        <v>9</v>
      </c>
      <c r="F14" s="45"/>
      <c r="G14" s="232" t="s">
        <v>98</v>
      </c>
    </row>
    <row r="15" spans="1:7" s="43" customFormat="1" x14ac:dyDescent="0.2">
      <c r="A15" s="41">
        <v>3</v>
      </c>
      <c r="B15" s="226" t="s">
        <v>331</v>
      </c>
      <c r="C15" s="45">
        <v>13</v>
      </c>
      <c r="D15" s="45">
        <v>13</v>
      </c>
      <c r="E15" s="45"/>
      <c r="F15" s="45"/>
      <c r="G15" s="232" t="s">
        <v>74</v>
      </c>
    </row>
    <row r="16" spans="1:7" s="43" customFormat="1" x14ac:dyDescent="0.2">
      <c r="A16" s="41">
        <v>4</v>
      </c>
      <c r="B16" s="229" t="s">
        <v>332</v>
      </c>
      <c r="C16" s="45">
        <v>1</v>
      </c>
      <c r="D16" s="45"/>
      <c r="E16" s="45">
        <v>13</v>
      </c>
      <c r="F16" s="45">
        <v>13</v>
      </c>
      <c r="G16" s="232" t="s">
        <v>75</v>
      </c>
    </row>
    <row r="17" spans="1:7" s="43" customFormat="1" x14ac:dyDescent="0.2">
      <c r="A17" s="47"/>
      <c r="B17" s="110"/>
      <c r="C17" s="49"/>
      <c r="D17" s="49"/>
      <c r="E17" s="49"/>
      <c r="F17" s="50"/>
      <c r="G17" s="51"/>
    </row>
    <row r="18" spans="1:7" s="43" customFormat="1" x14ac:dyDescent="0.2">
      <c r="A18" s="283" t="s">
        <v>322</v>
      </c>
      <c r="B18" s="284"/>
      <c r="C18" s="42" t="s">
        <v>70</v>
      </c>
      <c r="D18" s="42" t="s">
        <v>71</v>
      </c>
      <c r="E18" s="42" t="s">
        <v>72</v>
      </c>
      <c r="F18" s="42" t="s">
        <v>73</v>
      </c>
      <c r="G18" s="42" t="s">
        <v>19</v>
      </c>
    </row>
    <row r="19" spans="1:7" s="43" customFormat="1" x14ac:dyDescent="0.2">
      <c r="A19" s="41">
        <v>1</v>
      </c>
      <c r="B19" s="230" t="s">
        <v>96</v>
      </c>
      <c r="C19" s="45">
        <v>13</v>
      </c>
      <c r="D19" s="45">
        <v>13</v>
      </c>
      <c r="E19" s="45"/>
      <c r="F19" s="45"/>
      <c r="G19" s="232" t="s">
        <v>74</v>
      </c>
    </row>
    <row r="20" spans="1:7" s="43" customFormat="1" x14ac:dyDescent="0.2">
      <c r="A20" s="41">
        <v>2</v>
      </c>
      <c r="B20" s="230" t="s">
        <v>333</v>
      </c>
      <c r="C20" s="45">
        <v>2</v>
      </c>
      <c r="D20" s="45"/>
      <c r="E20" s="45">
        <v>13</v>
      </c>
      <c r="F20" s="45">
        <v>13</v>
      </c>
      <c r="G20" s="232" t="s">
        <v>75</v>
      </c>
    </row>
    <row r="21" spans="1:7" s="43" customFormat="1" x14ac:dyDescent="0.2">
      <c r="A21" s="41">
        <v>3</v>
      </c>
      <c r="B21" s="226" t="s">
        <v>334</v>
      </c>
      <c r="C21" s="45">
        <v>13</v>
      </c>
      <c r="D21" s="45">
        <v>11</v>
      </c>
      <c r="E21" s="45"/>
      <c r="F21" s="45">
        <v>11</v>
      </c>
      <c r="G21" s="232" t="s">
        <v>76</v>
      </c>
    </row>
    <row r="22" spans="1:7" s="43" customFormat="1" x14ac:dyDescent="0.2">
      <c r="A22" s="41">
        <v>4</v>
      </c>
      <c r="B22" s="108"/>
      <c r="C22" s="45">
        <v>0</v>
      </c>
      <c r="D22" s="45"/>
      <c r="E22" s="45">
        <v>0</v>
      </c>
      <c r="F22" s="45"/>
      <c r="G22" s="232"/>
    </row>
    <row r="23" spans="1:7" s="43" customFormat="1" x14ac:dyDescent="0.2">
      <c r="A23" s="47"/>
      <c r="B23" s="110"/>
      <c r="C23" s="49"/>
      <c r="D23" s="49"/>
      <c r="E23" s="49"/>
      <c r="F23" s="50"/>
      <c r="G23" s="51"/>
    </row>
    <row r="24" spans="1:7" s="43" customFormat="1" x14ac:dyDescent="0.2">
      <c r="A24" s="283" t="s">
        <v>324</v>
      </c>
      <c r="B24" s="284"/>
      <c r="C24" s="42" t="s">
        <v>70</v>
      </c>
      <c r="D24" s="42" t="s">
        <v>71</v>
      </c>
      <c r="E24" s="42" t="s">
        <v>72</v>
      </c>
      <c r="F24" s="42" t="s">
        <v>73</v>
      </c>
      <c r="G24" s="42" t="s">
        <v>19</v>
      </c>
    </row>
    <row r="25" spans="1:7" s="43" customFormat="1" x14ac:dyDescent="0.2">
      <c r="A25" s="41">
        <v>1</v>
      </c>
      <c r="B25" s="230" t="s">
        <v>99</v>
      </c>
      <c r="C25" s="45">
        <v>13</v>
      </c>
      <c r="D25" s="45">
        <v>9</v>
      </c>
      <c r="E25" s="45"/>
      <c r="F25" s="45">
        <v>13</v>
      </c>
      <c r="G25" s="232" t="s">
        <v>75</v>
      </c>
    </row>
    <row r="26" spans="1:7" s="43" customFormat="1" x14ac:dyDescent="0.2">
      <c r="A26" s="41">
        <v>2</v>
      </c>
      <c r="B26" s="226" t="s">
        <v>335</v>
      </c>
      <c r="C26" s="45">
        <v>13</v>
      </c>
      <c r="D26" s="45">
        <v>13</v>
      </c>
      <c r="E26" s="45"/>
      <c r="F26" s="45"/>
      <c r="G26" s="232" t="s">
        <v>74</v>
      </c>
    </row>
    <row r="27" spans="1:7" s="43" customFormat="1" x14ac:dyDescent="0.2">
      <c r="A27" s="41">
        <v>3</v>
      </c>
      <c r="B27" s="226" t="s">
        <v>113</v>
      </c>
      <c r="C27" s="45">
        <v>5</v>
      </c>
      <c r="D27" s="45"/>
      <c r="E27" s="45">
        <v>9</v>
      </c>
      <c r="F27" s="231"/>
      <c r="G27" s="232" t="s">
        <v>98</v>
      </c>
    </row>
    <row r="28" spans="1:7" s="43" customFormat="1" x14ac:dyDescent="0.2">
      <c r="A28" s="41">
        <v>4</v>
      </c>
      <c r="B28" s="226" t="s">
        <v>336</v>
      </c>
      <c r="C28" s="45">
        <v>7</v>
      </c>
      <c r="D28" s="45"/>
      <c r="E28" s="45">
        <v>13</v>
      </c>
      <c r="F28" s="45">
        <v>2</v>
      </c>
      <c r="G28" s="232" t="s">
        <v>76</v>
      </c>
    </row>
    <row r="29" spans="1:7" s="43" customFormat="1" x14ac:dyDescent="0.2">
      <c r="A29" s="47"/>
      <c r="B29" s="110"/>
      <c r="C29" s="49"/>
      <c r="D29" s="49"/>
      <c r="E29" s="49"/>
      <c r="F29" s="50"/>
      <c r="G29" s="51"/>
    </row>
    <row r="30" spans="1:7" s="43" customFormat="1" x14ac:dyDescent="0.2">
      <c r="A30" s="283" t="s">
        <v>325</v>
      </c>
      <c r="B30" s="284"/>
      <c r="C30" s="42" t="s">
        <v>70</v>
      </c>
      <c r="D30" s="42" t="s">
        <v>71</v>
      </c>
      <c r="E30" s="42" t="s">
        <v>72</v>
      </c>
      <c r="F30" s="42" t="s">
        <v>73</v>
      </c>
      <c r="G30" s="42" t="s">
        <v>19</v>
      </c>
    </row>
    <row r="31" spans="1:7" s="43" customFormat="1" x14ac:dyDescent="0.2">
      <c r="A31" s="41">
        <v>1</v>
      </c>
      <c r="B31" s="227" t="s">
        <v>111</v>
      </c>
      <c r="C31" s="45">
        <v>13</v>
      </c>
      <c r="D31" s="45">
        <v>11</v>
      </c>
      <c r="E31" s="45"/>
      <c r="F31" s="45">
        <v>13</v>
      </c>
      <c r="G31" s="232" t="s">
        <v>75</v>
      </c>
    </row>
    <row r="32" spans="1:7" s="43" customFormat="1" x14ac:dyDescent="0.2">
      <c r="A32" s="41">
        <v>2</v>
      </c>
      <c r="B32" s="226" t="s">
        <v>97</v>
      </c>
      <c r="C32" s="45">
        <v>9</v>
      </c>
      <c r="D32" s="45"/>
      <c r="E32" s="45">
        <v>13</v>
      </c>
      <c r="F32" s="45">
        <v>8</v>
      </c>
      <c r="G32" s="232" t="s">
        <v>76</v>
      </c>
    </row>
    <row r="33" spans="1:9" s="43" customFormat="1" x14ac:dyDescent="0.2">
      <c r="A33" s="41">
        <v>3</v>
      </c>
      <c r="B33" s="226" t="s">
        <v>337</v>
      </c>
      <c r="C33" s="45">
        <v>13</v>
      </c>
      <c r="D33" s="45">
        <v>13</v>
      </c>
      <c r="E33" s="45"/>
      <c r="F33" s="45"/>
      <c r="G33" s="232" t="s">
        <v>74</v>
      </c>
    </row>
    <row r="34" spans="1:9" s="43" customFormat="1" x14ac:dyDescent="0.2">
      <c r="A34" s="41">
        <v>4</v>
      </c>
      <c r="B34" s="226" t="s">
        <v>338</v>
      </c>
      <c r="C34" s="45">
        <v>2</v>
      </c>
      <c r="D34" s="45"/>
      <c r="E34" s="45">
        <v>3</v>
      </c>
      <c r="F34" s="45"/>
      <c r="G34" s="232" t="s">
        <v>98</v>
      </c>
    </row>
    <row r="35" spans="1:9" s="43" customFormat="1" x14ac:dyDescent="0.2">
      <c r="A35" s="47"/>
      <c r="B35" s="110"/>
      <c r="C35" s="49"/>
      <c r="D35" s="49"/>
      <c r="E35" s="49"/>
      <c r="F35" s="50"/>
      <c r="G35" s="51"/>
    </row>
    <row r="36" spans="1:9" s="43" customFormat="1" x14ac:dyDescent="0.2">
      <c r="A36" s="283" t="s">
        <v>323</v>
      </c>
      <c r="B36" s="284"/>
      <c r="C36" s="42" t="s">
        <v>70</v>
      </c>
      <c r="D36" s="42" t="s">
        <v>71</v>
      </c>
      <c r="E36" s="42" t="s">
        <v>72</v>
      </c>
      <c r="F36" s="42" t="s">
        <v>73</v>
      </c>
      <c r="G36" s="42" t="s">
        <v>19</v>
      </c>
    </row>
    <row r="37" spans="1:9" s="43" customFormat="1" x14ac:dyDescent="0.2">
      <c r="A37" s="41">
        <v>1</v>
      </c>
      <c r="B37" s="230" t="s">
        <v>339</v>
      </c>
      <c r="C37" s="45">
        <v>13</v>
      </c>
      <c r="D37" s="45">
        <v>13</v>
      </c>
      <c r="E37" s="45"/>
      <c r="F37" s="45"/>
      <c r="G37" s="232" t="s">
        <v>74</v>
      </c>
    </row>
    <row r="38" spans="1:9" s="43" customFormat="1" x14ac:dyDescent="0.2">
      <c r="A38" s="41">
        <v>2</v>
      </c>
      <c r="B38" s="226" t="s">
        <v>125</v>
      </c>
      <c r="C38" s="45">
        <v>13</v>
      </c>
      <c r="D38" s="45">
        <v>7</v>
      </c>
      <c r="E38" s="45"/>
      <c r="F38" s="45">
        <v>13</v>
      </c>
      <c r="G38" s="232" t="s">
        <v>75</v>
      </c>
    </row>
    <row r="39" spans="1:9" s="43" customFormat="1" x14ac:dyDescent="0.2">
      <c r="A39" s="41">
        <v>3</v>
      </c>
      <c r="B39" s="226" t="s">
        <v>112</v>
      </c>
      <c r="C39" s="45">
        <v>11</v>
      </c>
      <c r="D39" s="45"/>
      <c r="E39" s="45">
        <v>13</v>
      </c>
      <c r="F39" s="45">
        <v>9</v>
      </c>
      <c r="G39" s="232" t="s">
        <v>76</v>
      </c>
    </row>
    <row r="40" spans="1:9" s="43" customFormat="1" x14ac:dyDescent="0.2">
      <c r="A40" s="41">
        <v>4</v>
      </c>
      <c r="B40" s="108"/>
      <c r="C40" s="45">
        <v>0</v>
      </c>
      <c r="D40" s="45"/>
      <c r="E40" s="45">
        <v>0</v>
      </c>
      <c r="F40" s="45"/>
      <c r="G40" s="153"/>
    </row>
    <row r="41" spans="1:9" s="43" customFormat="1" x14ac:dyDescent="0.2">
      <c r="A41" s="47"/>
      <c r="B41" s="52"/>
      <c r="C41" s="50"/>
      <c r="D41" s="50"/>
      <c r="E41" s="50"/>
      <c r="F41" s="50"/>
      <c r="G41" s="53"/>
    </row>
    <row r="42" spans="1:9" s="83" customFormat="1" x14ac:dyDescent="0.2">
      <c r="A42" s="114" t="s">
        <v>114</v>
      </c>
      <c r="B42" s="90"/>
      <c r="C42" s="49"/>
      <c r="D42" s="49"/>
      <c r="E42" s="49"/>
      <c r="F42" s="50"/>
      <c r="G42" s="51"/>
    </row>
    <row r="43" spans="1:9" s="83" customFormat="1" x14ac:dyDescent="0.2"/>
    <row r="44" spans="1:9" s="83" customFormat="1" x14ac:dyDescent="0.2">
      <c r="A44" s="115" t="s">
        <v>84</v>
      </c>
      <c r="B44" s="83" t="s">
        <v>331</v>
      </c>
      <c r="C44" s="156">
        <v>13</v>
      </c>
    </row>
    <row r="45" spans="1:9" s="83" customFormat="1" x14ac:dyDescent="0.2">
      <c r="A45" s="84"/>
      <c r="B45" s="155"/>
      <c r="C45" s="248" t="s">
        <v>331</v>
      </c>
      <c r="D45" s="157"/>
      <c r="F45" s="156">
        <v>13</v>
      </c>
    </row>
    <row r="46" spans="1:9" s="83" customFormat="1" x14ac:dyDescent="0.2">
      <c r="A46" s="84"/>
      <c r="B46" s="250" t="s">
        <v>102</v>
      </c>
      <c r="C46" s="120">
        <v>0</v>
      </c>
      <c r="E46" s="89"/>
    </row>
    <row r="47" spans="1:9" s="83" customFormat="1" x14ac:dyDescent="0.2">
      <c r="A47" s="84"/>
      <c r="D47" s="90"/>
      <c r="E47" s="91"/>
      <c r="F47" s="95" t="s">
        <v>331</v>
      </c>
      <c r="I47" s="156">
        <v>2</v>
      </c>
    </row>
    <row r="48" spans="1:9" s="83" customFormat="1" x14ac:dyDescent="0.2">
      <c r="A48" s="84" t="s">
        <v>83</v>
      </c>
      <c r="B48" s="83" t="s">
        <v>333</v>
      </c>
      <c r="C48" s="97">
        <v>6</v>
      </c>
      <c r="E48" s="91"/>
      <c r="F48" s="116"/>
      <c r="G48" s="155"/>
      <c r="H48" s="89"/>
    </row>
    <row r="49" spans="1:13" s="83" customFormat="1" x14ac:dyDescent="0.2">
      <c r="A49" s="84"/>
      <c r="B49" s="155"/>
      <c r="C49" s="249" t="s">
        <v>99</v>
      </c>
      <c r="E49" s="96"/>
      <c r="F49" s="97">
        <v>5</v>
      </c>
      <c r="G49" s="90"/>
      <c r="H49" s="91"/>
    </row>
    <row r="50" spans="1:13" s="83" customFormat="1" x14ac:dyDescent="0.2">
      <c r="A50" s="84" t="s">
        <v>86</v>
      </c>
      <c r="B50" s="157" t="s">
        <v>99</v>
      </c>
      <c r="C50" s="131">
        <v>13</v>
      </c>
      <c r="D50" s="155"/>
      <c r="F50" s="90"/>
      <c r="G50" s="90"/>
      <c r="H50" s="91"/>
    </row>
    <row r="51" spans="1:13" s="83" customFormat="1" x14ac:dyDescent="0.2">
      <c r="A51" s="98"/>
      <c r="F51" s="90"/>
      <c r="G51" s="90"/>
      <c r="H51" s="91"/>
      <c r="I51" s="95" t="s">
        <v>337</v>
      </c>
      <c r="K51" s="156">
        <v>13</v>
      </c>
    </row>
    <row r="52" spans="1:13" s="83" customFormat="1" x14ac:dyDescent="0.2">
      <c r="A52" s="115" t="s">
        <v>115</v>
      </c>
      <c r="B52" s="83" t="s">
        <v>337</v>
      </c>
      <c r="C52" s="156">
        <v>13</v>
      </c>
      <c r="F52" s="90"/>
      <c r="G52" s="90"/>
      <c r="H52" s="91"/>
      <c r="I52" s="155"/>
      <c r="J52" s="89"/>
    </row>
    <row r="53" spans="1:13" s="83" customFormat="1" x14ac:dyDescent="0.2">
      <c r="A53" s="84"/>
      <c r="B53" s="155"/>
      <c r="C53" s="87" t="s">
        <v>337</v>
      </c>
      <c r="D53" s="157"/>
      <c r="F53" s="97">
        <v>13</v>
      </c>
      <c r="G53" s="90"/>
      <c r="H53" s="91"/>
      <c r="I53" s="90"/>
      <c r="J53" s="91"/>
    </row>
    <row r="54" spans="1:13" s="83" customFormat="1" x14ac:dyDescent="0.2">
      <c r="A54" s="84"/>
      <c r="B54" s="250" t="s">
        <v>102</v>
      </c>
      <c r="C54" s="120">
        <v>0</v>
      </c>
      <c r="E54" s="89"/>
      <c r="F54" s="90"/>
      <c r="G54" s="90"/>
      <c r="H54" s="91"/>
      <c r="I54" s="90"/>
      <c r="J54" s="91"/>
    </row>
    <row r="55" spans="1:13" s="83" customFormat="1" x14ac:dyDescent="0.2">
      <c r="A55" s="84"/>
      <c r="D55" s="90"/>
      <c r="E55" s="91"/>
      <c r="F55" s="157" t="s">
        <v>337</v>
      </c>
      <c r="G55" s="157"/>
      <c r="H55" s="96"/>
      <c r="I55" s="97">
        <v>13</v>
      </c>
      <c r="J55" s="91"/>
    </row>
    <row r="56" spans="1:13" s="83" customFormat="1" x14ac:dyDescent="0.2">
      <c r="A56" s="84" t="s">
        <v>89</v>
      </c>
      <c r="B56" s="83" t="s">
        <v>328</v>
      </c>
      <c r="C56" s="97">
        <v>0</v>
      </c>
      <c r="E56" s="91"/>
      <c r="F56" s="95"/>
      <c r="G56" s="90"/>
      <c r="H56" s="90"/>
      <c r="I56" s="90"/>
      <c r="J56" s="91"/>
    </row>
    <row r="57" spans="1:13" s="83" customFormat="1" x14ac:dyDescent="0.2">
      <c r="A57" s="84"/>
      <c r="B57" s="155"/>
      <c r="C57" s="249" t="s">
        <v>339</v>
      </c>
      <c r="E57" s="96"/>
      <c r="F57" s="97">
        <v>4</v>
      </c>
      <c r="I57" s="90"/>
      <c r="J57" s="91"/>
    </row>
    <row r="58" spans="1:13" s="83" customFormat="1" x14ac:dyDescent="0.2">
      <c r="A58" s="84" t="s">
        <v>116</v>
      </c>
      <c r="B58" s="157" t="s">
        <v>339</v>
      </c>
      <c r="C58" s="119">
        <v>13</v>
      </c>
      <c r="D58" s="155"/>
      <c r="F58" s="90"/>
      <c r="G58" s="90"/>
      <c r="H58" s="90"/>
      <c r="I58" s="90"/>
      <c r="J58" s="91"/>
    </row>
    <row r="59" spans="1:13" s="83" customFormat="1" ht="13.5" thickBot="1" x14ac:dyDescent="0.25">
      <c r="A59" s="98"/>
      <c r="I59" s="90"/>
      <c r="J59" s="91"/>
      <c r="L59" s="83" t="s">
        <v>337</v>
      </c>
    </row>
    <row r="60" spans="1:13" s="83" customFormat="1" x14ac:dyDescent="0.2">
      <c r="A60" s="115" t="s">
        <v>82</v>
      </c>
      <c r="B60" s="83" t="s">
        <v>327</v>
      </c>
      <c r="C60" s="156">
        <v>13</v>
      </c>
      <c r="I60" s="90"/>
      <c r="J60" s="91"/>
      <c r="K60" s="93"/>
      <c r="L60" s="117" t="s">
        <v>85</v>
      </c>
      <c r="M60" s="94"/>
    </row>
    <row r="61" spans="1:13" s="83" customFormat="1" x14ac:dyDescent="0.2">
      <c r="A61" s="84"/>
      <c r="B61" s="155"/>
      <c r="C61" s="248" t="s">
        <v>327</v>
      </c>
      <c r="D61" s="157"/>
      <c r="F61" s="156">
        <v>2</v>
      </c>
      <c r="I61" s="90"/>
      <c r="J61" s="91"/>
    </row>
    <row r="62" spans="1:13" s="83" customFormat="1" x14ac:dyDescent="0.2">
      <c r="A62" s="84"/>
      <c r="B62" s="250" t="s">
        <v>102</v>
      </c>
      <c r="C62" s="120">
        <v>0</v>
      </c>
      <c r="E62" s="89"/>
      <c r="I62" s="90"/>
      <c r="J62" s="91"/>
    </row>
    <row r="63" spans="1:13" s="83" customFormat="1" x14ac:dyDescent="0.2">
      <c r="A63" s="84"/>
      <c r="D63" s="90"/>
      <c r="E63" s="91"/>
      <c r="F63" s="83" t="s">
        <v>332</v>
      </c>
      <c r="I63" s="97">
        <v>12</v>
      </c>
      <c r="J63" s="91"/>
    </row>
    <row r="64" spans="1:13" s="83" customFormat="1" x14ac:dyDescent="0.2">
      <c r="A64" s="84" t="s">
        <v>118</v>
      </c>
      <c r="B64" s="83" t="s">
        <v>125</v>
      </c>
      <c r="C64" s="97">
        <v>10</v>
      </c>
      <c r="E64" s="91"/>
      <c r="F64" s="116"/>
      <c r="G64" s="155"/>
      <c r="H64" s="89"/>
      <c r="I64" s="90"/>
      <c r="J64" s="91"/>
    </row>
    <row r="65" spans="1:13" s="83" customFormat="1" x14ac:dyDescent="0.2">
      <c r="A65" s="84"/>
      <c r="B65" s="155"/>
      <c r="C65" s="249" t="s">
        <v>332</v>
      </c>
      <c r="E65" s="96"/>
      <c r="F65" s="97">
        <v>13</v>
      </c>
      <c r="G65" s="90"/>
      <c r="H65" s="91"/>
      <c r="I65" s="90"/>
      <c r="J65" s="91"/>
    </row>
    <row r="66" spans="1:13" s="83" customFormat="1" x14ac:dyDescent="0.2">
      <c r="A66" s="84" t="s">
        <v>81</v>
      </c>
      <c r="B66" s="118" t="s">
        <v>332</v>
      </c>
      <c r="C66" s="119">
        <v>13</v>
      </c>
      <c r="D66" s="155"/>
      <c r="F66" s="90"/>
      <c r="G66" s="90"/>
      <c r="H66" s="91"/>
      <c r="I66" s="90"/>
      <c r="J66" s="91"/>
    </row>
    <row r="67" spans="1:13" s="83" customFormat="1" x14ac:dyDescent="0.2">
      <c r="A67" s="98"/>
      <c r="F67" s="90"/>
      <c r="G67" s="90"/>
      <c r="H67" s="91"/>
      <c r="I67" s="157" t="s">
        <v>111</v>
      </c>
      <c r="J67" s="96"/>
      <c r="K67" s="156">
        <v>12</v>
      </c>
    </row>
    <row r="68" spans="1:13" s="83" customFormat="1" ht="13.5" thickBot="1" x14ac:dyDescent="0.25">
      <c r="A68" s="115" t="s">
        <v>80</v>
      </c>
      <c r="B68" s="83" t="s">
        <v>335</v>
      </c>
      <c r="C68" s="156">
        <v>13</v>
      </c>
      <c r="F68" s="90"/>
      <c r="G68" s="90"/>
      <c r="H68" s="91"/>
      <c r="L68" s="90" t="s">
        <v>111</v>
      </c>
      <c r="M68" s="92"/>
    </row>
    <row r="69" spans="1:13" s="83" customFormat="1" x14ac:dyDescent="0.2">
      <c r="A69" s="84"/>
      <c r="B69" s="155"/>
      <c r="C69" s="87" t="s">
        <v>335</v>
      </c>
      <c r="D69" s="157"/>
      <c r="F69" s="97">
        <v>5</v>
      </c>
      <c r="G69" s="90"/>
      <c r="H69" s="91"/>
      <c r="L69" s="117" t="s">
        <v>87</v>
      </c>
      <c r="M69" s="90"/>
    </row>
    <row r="70" spans="1:13" s="83" customFormat="1" x14ac:dyDescent="0.2">
      <c r="A70" s="84"/>
      <c r="B70" s="250" t="s">
        <v>102</v>
      </c>
      <c r="C70" s="120">
        <v>0</v>
      </c>
      <c r="E70" s="89"/>
      <c r="F70" s="90"/>
      <c r="G70" s="90"/>
      <c r="H70" s="91"/>
    </row>
    <row r="71" spans="1:13" s="83" customFormat="1" x14ac:dyDescent="0.2">
      <c r="A71" s="84"/>
      <c r="D71" s="90"/>
      <c r="E71" s="91"/>
      <c r="F71" s="157" t="s">
        <v>111</v>
      </c>
      <c r="G71" s="157"/>
      <c r="H71" s="96"/>
      <c r="I71" s="156">
        <v>13</v>
      </c>
    </row>
    <row r="72" spans="1:13" s="83" customFormat="1" x14ac:dyDescent="0.2">
      <c r="A72" s="84" t="s">
        <v>88</v>
      </c>
      <c r="B72" s="83" t="s">
        <v>96</v>
      </c>
      <c r="C72" s="97">
        <v>5</v>
      </c>
      <c r="E72" s="91"/>
      <c r="F72" s="95"/>
      <c r="G72" s="90"/>
      <c r="H72" s="90"/>
    </row>
    <row r="73" spans="1:13" s="83" customFormat="1" x14ac:dyDescent="0.2">
      <c r="A73" s="84"/>
      <c r="B73" s="155"/>
      <c r="C73" s="249" t="s">
        <v>111</v>
      </c>
      <c r="E73" s="96"/>
      <c r="F73" s="97">
        <v>13</v>
      </c>
      <c r="I73" s="83" t="s">
        <v>331</v>
      </c>
      <c r="K73" s="97">
        <v>13</v>
      </c>
    </row>
    <row r="74" spans="1:13" s="83" customFormat="1" ht="13.5" thickBot="1" x14ac:dyDescent="0.25">
      <c r="A74" s="84" t="s">
        <v>117</v>
      </c>
      <c r="B74" s="157" t="s">
        <v>111</v>
      </c>
      <c r="C74" s="119">
        <v>13</v>
      </c>
      <c r="D74" s="155"/>
      <c r="F74" s="90"/>
      <c r="G74" s="90"/>
      <c r="H74" s="90"/>
      <c r="I74" s="155"/>
      <c r="J74" s="89"/>
      <c r="K74" s="92"/>
      <c r="L74" s="92" t="s">
        <v>331</v>
      </c>
      <c r="M74" s="92"/>
    </row>
    <row r="75" spans="1:13" s="83" customFormat="1" x14ac:dyDescent="0.2">
      <c r="H75" s="90"/>
      <c r="I75" s="157" t="s">
        <v>332</v>
      </c>
      <c r="J75" s="96"/>
      <c r="K75" s="156">
        <v>5</v>
      </c>
      <c r="L75" s="100" t="s">
        <v>90</v>
      </c>
      <c r="M75" s="90"/>
    </row>
    <row r="76" spans="1:13" s="83" customFormat="1" x14ac:dyDescent="0.2">
      <c r="H76" s="90"/>
      <c r="L76" s="90"/>
      <c r="M76" s="90"/>
    </row>
    <row r="77" spans="1:13" s="83" customFormat="1" ht="13.5" thickBot="1" x14ac:dyDescent="0.25">
      <c r="H77" s="90"/>
      <c r="I77" s="90"/>
      <c r="J77" s="90"/>
      <c r="L77" s="92" t="s">
        <v>332</v>
      </c>
      <c r="M77" s="92"/>
    </row>
    <row r="78" spans="1:13" s="83" customFormat="1" x14ac:dyDescent="0.2">
      <c r="I78" s="90"/>
      <c r="J78" s="90"/>
      <c r="L78" s="98" t="s">
        <v>91</v>
      </c>
    </row>
    <row r="79" spans="1:13" s="83" customFormat="1" x14ac:dyDescent="0.2">
      <c r="I79" s="90"/>
      <c r="J79" s="90"/>
      <c r="L79" s="98"/>
    </row>
    <row r="80" spans="1:13" s="83" customFormat="1" x14ac:dyDescent="0.2">
      <c r="A80" s="121" t="s">
        <v>119</v>
      </c>
      <c r="I80" s="90"/>
      <c r="J80" s="90"/>
      <c r="L80" s="98"/>
    </row>
    <row r="81" spans="1:13" s="83" customFormat="1" x14ac:dyDescent="0.2">
      <c r="A81" s="237"/>
      <c r="I81" s="90"/>
      <c r="J81" s="90"/>
      <c r="L81" s="98"/>
    </row>
    <row r="82" spans="1:13" s="83" customFormat="1" x14ac:dyDescent="0.2">
      <c r="F82" s="99" t="s">
        <v>99</v>
      </c>
      <c r="G82" s="156"/>
      <c r="H82" s="156"/>
      <c r="I82" s="156">
        <v>13</v>
      </c>
      <c r="J82" s="156"/>
      <c r="K82" s="156"/>
    </row>
    <row r="83" spans="1:13" s="83" customFormat="1" x14ac:dyDescent="0.2">
      <c r="F83" s="122"/>
      <c r="G83" s="122"/>
      <c r="H83" s="123"/>
      <c r="I83" s="97" t="s">
        <v>99</v>
      </c>
      <c r="J83" s="156"/>
      <c r="K83" s="156">
        <v>13</v>
      </c>
    </row>
    <row r="84" spans="1:13" s="83" customFormat="1" x14ac:dyDescent="0.2">
      <c r="F84" s="124" t="s">
        <v>339</v>
      </c>
      <c r="G84" s="124"/>
      <c r="H84" s="125"/>
      <c r="I84" s="122">
        <v>3</v>
      </c>
      <c r="J84" s="123"/>
      <c r="K84" s="156"/>
    </row>
    <row r="85" spans="1:13" s="83" customFormat="1" ht="13.5" thickBot="1" x14ac:dyDescent="0.25">
      <c r="F85" s="156"/>
      <c r="G85" s="156"/>
      <c r="H85" s="156"/>
      <c r="I85" s="97"/>
      <c r="J85" s="126"/>
      <c r="K85" s="156"/>
      <c r="L85" s="83" t="s">
        <v>99</v>
      </c>
    </row>
    <row r="86" spans="1:13" s="83" customFormat="1" x14ac:dyDescent="0.2">
      <c r="F86" s="156" t="s">
        <v>327</v>
      </c>
      <c r="G86" s="156"/>
      <c r="H86" s="156"/>
      <c r="I86" s="97">
        <v>13</v>
      </c>
      <c r="J86" s="126"/>
      <c r="K86" s="127"/>
      <c r="L86" s="117" t="s">
        <v>92</v>
      </c>
      <c r="M86" s="94"/>
    </row>
    <row r="87" spans="1:13" s="83" customFormat="1" x14ac:dyDescent="0.2">
      <c r="F87" s="122"/>
      <c r="G87" s="122"/>
      <c r="H87" s="123"/>
      <c r="I87" s="124" t="s">
        <v>327</v>
      </c>
      <c r="J87" s="125"/>
      <c r="K87" s="97">
        <v>8</v>
      </c>
    </row>
    <row r="88" spans="1:13" s="83" customFormat="1" ht="13.5" thickBot="1" x14ac:dyDescent="0.25">
      <c r="F88" s="124" t="s">
        <v>335</v>
      </c>
      <c r="G88" s="124"/>
      <c r="H88" s="125"/>
      <c r="I88" s="97">
        <v>9</v>
      </c>
      <c r="J88" s="156"/>
      <c r="K88" s="97"/>
      <c r="L88" s="90" t="s">
        <v>327</v>
      </c>
      <c r="M88" s="92"/>
    </row>
    <row r="89" spans="1:13" s="83" customFormat="1" x14ac:dyDescent="0.2">
      <c r="F89" s="156"/>
      <c r="G89" s="156"/>
      <c r="H89" s="156"/>
      <c r="I89" s="156"/>
      <c r="J89" s="156"/>
      <c r="K89" s="97"/>
      <c r="L89" s="117" t="s">
        <v>93</v>
      </c>
      <c r="M89" s="90"/>
    </row>
    <row r="90" spans="1:13" s="83" customFormat="1" x14ac:dyDescent="0.2">
      <c r="F90" s="156"/>
      <c r="G90" s="156"/>
      <c r="H90" s="97"/>
      <c r="I90" s="156" t="s">
        <v>339</v>
      </c>
      <c r="J90" s="156"/>
      <c r="K90" s="97">
        <v>13</v>
      </c>
      <c r="L90" s="90"/>
      <c r="M90" s="90"/>
    </row>
    <row r="91" spans="1:13" s="83" customFormat="1" ht="13.5" thickBot="1" x14ac:dyDescent="0.25">
      <c r="A91" s="101">
        <v>1</v>
      </c>
      <c r="B91" s="102" t="s">
        <v>337</v>
      </c>
      <c r="F91" s="156"/>
      <c r="G91" s="156"/>
      <c r="H91" s="97"/>
      <c r="I91" s="122"/>
      <c r="J91" s="123"/>
      <c r="K91" s="128"/>
      <c r="L91" s="92" t="s">
        <v>339</v>
      </c>
      <c r="M91" s="92"/>
    </row>
    <row r="92" spans="1:13" s="83" customFormat="1" x14ac:dyDescent="0.2">
      <c r="A92" s="101">
        <v>2</v>
      </c>
      <c r="B92" s="103" t="s">
        <v>111</v>
      </c>
      <c r="F92" s="156"/>
      <c r="G92" s="156"/>
      <c r="H92" s="97"/>
      <c r="I92" s="124" t="s">
        <v>335</v>
      </c>
      <c r="J92" s="125"/>
      <c r="K92" s="156">
        <v>6</v>
      </c>
      <c r="L92" s="100" t="s">
        <v>94</v>
      </c>
      <c r="M92" s="90"/>
    </row>
    <row r="93" spans="1:13" s="83" customFormat="1" x14ac:dyDescent="0.2">
      <c r="A93" s="101">
        <v>3</v>
      </c>
      <c r="B93" s="104" t="s">
        <v>331</v>
      </c>
      <c r="H93" s="90"/>
      <c r="L93" s="90"/>
      <c r="M93" s="90"/>
    </row>
    <row r="94" spans="1:13" s="83" customFormat="1" ht="13.5" thickBot="1" x14ac:dyDescent="0.25">
      <c r="A94" s="101">
        <v>4</v>
      </c>
      <c r="B94" s="105" t="s">
        <v>332</v>
      </c>
      <c r="I94" s="90"/>
      <c r="J94" s="90"/>
      <c r="L94" s="92" t="s">
        <v>335</v>
      </c>
      <c r="M94" s="92"/>
    </row>
    <row r="95" spans="1:13" s="83" customFormat="1" x14ac:dyDescent="0.2">
      <c r="A95" s="101">
        <v>5</v>
      </c>
      <c r="B95" s="105" t="s">
        <v>99</v>
      </c>
      <c r="I95" s="90"/>
      <c r="J95" s="90"/>
      <c r="L95" s="100" t="s">
        <v>95</v>
      </c>
    </row>
    <row r="96" spans="1:13" s="56" customFormat="1" x14ac:dyDescent="0.2">
      <c r="A96" s="101">
        <v>6</v>
      </c>
      <c r="B96" s="105" t="s">
        <v>327</v>
      </c>
      <c r="G96" s="59"/>
      <c r="H96" s="59"/>
      <c r="J96" s="57"/>
    </row>
    <row r="97" spans="1:13" s="56" customFormat="1" x14ac:dyDescent="0.2">
      <c r="A97" s="101">
        <v>7</v>
      </c>
      <c r="B97" s="352" t="s">
        <v>339</v>
      </c>
      <c r="G97" s="59"/>
      <c r="H97" s="59"/>
      <c r="J97" s="57"/>
    </row>
    <row r="98" spans="1:13" s="56" customFormat="1" x14ac:dyDescent="0.2">
      <c r="A98" s="101">
        <v>8</v>
      </c>
      <c r="B98" s="105" t="s">
        <v>335</v>
      </c>
      <c r="G98" s="59"/>
      <c r="H98" s="59"/>
      <c r="J98" s="57"/>
    </row>
    <row r="99" spans="1:13" s="56" customFormat="1" x14ac:dyDescent="0.2">
      <c r="A99" s="112" t="s">
        <v>120</v>
      </c>
      <c r="B99" s="108" t="s">
        <v>96</v>
      </c>
      <c r="D99" s="233" t="s">
        <v>89</v>
      </c>
      <c r="E99" s="159" t="s">
        <v>328</v>
      </c>
      <c r="F99" s="159"/>
      <c r="G99" s="159"/>
      <c r="H99" s="69">
        <v>11</v>
      </c>
      <c r="I99" s="159"/>
      <c r="J99" s="159"/>
      <c r="K99" s="159"/>
      <c r="L99" s="59"/>
      <c r="M99" s="159"/>
    </row>
    <row r="100" spans="1:13" s="56" customFormat="1" x14ac:dyDescent="0.2">
      <c r="A100" s="112" t="s">
        <v>120</v>
      </c>
      <c r="B100" s="108" t="s">
        <v>125</v>
      </c>
      <c r="D100" s="233"/>
      <c r="E100" s="65"/>
      <c r="F100" s="65"/>
      <c r="G100" s="66"/>
      <c r="H100" s="67"/>
      <c r="I100" s="160"/>
      <c r="J100" s="160"/>
      <c r="K100" s="235" t="s">
        <v>5</v>
      </c>
      <c r="L100" s="159"/>
      <c r="M100" s="159"/>
    </row>
    <row r="101" spans="1:13" s="56" customFormat="1" x14ac:dyDescent="0.2">
      <c r="A101" s="112" t="s">
        <v>120</v>
      </c>
      <c r="B101" s="108" t="s">
        <v>333</v>
      </c>
      <c r="D101" s="233" t="s">
        <v>118</v>
      </c>
      <c r="E101" s="160" t="s">
        <v>125</v>
      </c>
      <c r="F101" s="160"/>
      <c r="G101" s="75"/>
      <c r="H101" s="70">
        <v>13</v>
      </c>
      <c r="I101" s="159"/>
      <c r="J101" s="72"/>
      <c r="K101" s="159"/>
      <c r="L101" s="159"/>
      <c r="M101" s="159"/>
    </row>
    <row r="102" spans="1:13" s="56" customFormat="1" ht="13.5" thickBot="1" x14ac:dyDescent="0.25">
      <c r="A102" s="112" t="s">
        <v>120</v>
      </c>
      <c r="B102" s="108" t="s">
        <v>328</v>
      </c>
      <c r="D102" s="233"/>
      <c r="E102" s="159"/>
      <c r="F102" s="159"/>
      <c r="G102" s="159"/>
      <c r="H102" s="162"/>
      <c r="I102" s="159"/>
      <c r="J102" s="72"/>
      <c r="K102" s="159"/>
      <c r="L102" s="159"/>
      <c r="M102" s="159"/>
    </row>
    <row r="103" spans="1:13" s="56" customFormat="1" x14ac:dyDescent="0.2">
      <c r="A103" s="112" t="s">
        <v>121</v>
      </c>
      <c r="B103" s="226" t="s">
        <v>329</v>
      </c>
      <c r="D103" s="233" t="s">
        <v>83</v>
      </c>
      <c r="E103" s="159" t="s">
        <v>333</v>
      </c>
      <c r="F103" s="159"/>
      <c r="G103" s="159"/>
      <c r="H103" s="234" t="s">
        <v>5</v>
      </c>
      <c r="I103" s="159"/>
      <c r="J103" s="72"/>
      <c r="K103" s="76"/>
      <c r="L103" s="77" t="s">
        <v>107</v>
      </c>
      <c r="M103" s="78"/>
    </row>
    <row r="104" spans="1:13" s="56" customFormat="1" x14ac:dyDescent="0.2">
      <c r="A104" s="112" t="s">
        <v>121</v>
      </c>
      <c r="B104" s="226" t="s">
        <v>330</v>
      </c>
      <c r="D104" s="233"/>
      <c r="E104" s="65"/>
      <c r="F104" s="65"/>
      <c r="G104" s="66"/>
      <c r="H104" s="74"/>
      <c r="I104" s="159"/>
      <c r="J104" s="75"/>
      <c r="K104" s="234" t="s">
        <v>5</v>
      </c>
      <c r="L104" s="159"/>
      <c r="M104" s="159"/>
    </row>
    <row r="105" spans="1:13" s="56" customFormat="1" ht="13.5" thickBot="1" x14ac:dyDescent="0.25">
      <c r="A105" s="112" t="s">
        <v>121</v>
      </c>
      <c r="B105" s="226" t="s">
        <v>336</v>
      </c>
      <c r="D105" s="233" t="s">
        <v>88</v>
      </c>
      <c r="E105" s="160" t="s">
        <v>96</v>
      </c>
      <c r="F105" s="160"/>
      <c r="G105" s="75"/>
      <c r="H105" s="236" t="s">
        <v>5</v>
      </c>
      <c r="I105" s="65"/>
      <c r="J105" s="159"/>
      <c r="K105" s="162"/>
      <c r="L105" s="162"/>
      <c r="M105" s="161"/>
    </row>
    <row r="106" spans="1:13" s="56" customFormat="1" x14ac:dyDescent="0.2">
      <c r="A106" s="112" t="s">
        <v>121</v>
      </c>
      <c r="B106" s="226" t="s">
        <v>97</v>
      </c>
      <c r="E106" s="159"/>
      <c r="F106" s="159"/>
      <c r="G106" s="159"/>
      <c r="H106" s="159"/>
      <c r="I106" s="159"/>
      <c r="J106" s="159"/>
      <c r="K106" s="162"/>
      <c r="L106" s="77" t="s">
        <v>108</v>
      </c>
      <c r="M106" s="162"/>
    </row>
    <row r="107" spans="1:13" s="56" customFormat="1" x14ac:dyDescent="0.2">
      <c r="A107" s="112" t="s">
        <v>121</v>
      </c>
      <c r="B107" s="356" t="s">
        <v>334</v>
      </c>
      <c r="E107" s="159"/>
      <c r="F107" s="159"/>
      <c r="G107" s="159"/>
      <c r="H107" s="159"/>
      <c r="I107" s="159"/>
      <c r="J107" s="159"/>
      <c r="K107" s="234" t="s">
        <v>5</v>
      </c>
      <c r="L107" s="162"/>
      <c r="M107" s="162"/>
    </row>
    <row r="108" spans="1:13" s="56" customFormat="1" ht="13.5" thickBot="1" x14ac:dyDescent="0.25">
      <c r="A108" s="112" t="s">
        <v>121</v>
      </c>
      <c r="B108" s="226" t="s">
        <v>112</v>
      </c>
      <c r="E108" s="159"/>
      <c r="F108" s="159"/>
      <c r="G108" s="159"/>
      <c r="H108" s="65"/>
      <c r="I108" s="65"/>
      <c r="J108" s="66"/>
      <c r="K108" s="161"/>
      <c r="L108" s="161"/>
      <c r="M108" s="161"/>
    </row>
    <row r="109" spans="1:13" s="56" customFormat="1" x14ac:dyDescent="0.2">
      <c r="A109" s="112" t="s">
        <v>456</v>
      </c>
      <c r="B109" s="419" t="s">
        <v>326</v>
      </c>
      <c r="E109" s="159"/>
      <c r="F109" s="159"/>
      <c r="G109" s="159"/>
      <c r="H109" s="160"/>
      <c r="I109" s="160"/>
      <c r="J109" s="75"/>
      <c r="K109" s="235" t="s">
        <v>5</v>
      </c>
      <c r="L109" s="81" t="s">
        <v>109</v>
      </c>
      <c r="M109" s="162"/>
    </row>
    <row r="110" spans="1:13" s="56" customFormat="1" x14ac:dyDescent="0.2">
      <c r="A110" s="112" t="s">
        <v>456</v>
      </c>
      <c r="B110" s="419" t="s">
        <v>338</v>
      </c>
      <c r="E110" s="159"/>
      <c r="F110" s="159"/>
      <c r="G110" s="159"/>
      <c r="H110" s="159"/>
      <c r="I110" s="159"/>
      <c r="J110" s="159"/>
      <c r="K110" s="159"/>
      <c r="L110" s="162"/>
      <c r="M110" s="162"/>
    </row>
    <row r="111" spans="1:13" s="56" customFormat="1" ht="13.5" thickBot="1" x14ac:dyDescent="0.25">
      <c r="A111" s="112" t="s">
        <v>456</v>
      </c>
      <c r="B111" s="419" t="s">
        <v>123</v>
      </c>
      <c r="E111" s="159"/>
      <c r="F111" s="159"/>
      <c r="G111" s="159"/>
      <c r="H111" s="159"/>
      <c r="I111" s="162"/>
      <c r="J111" s="162"/>
      <c r="K111" s="159"/>
      <c r="L111" s="161"/>
      <c r="M111" s="161"/>
    </row>
    <row r="112" spans="1:13" s="56" customFormat="1" x14ac:dyDescent="0.2">
      <c r="A112" s="112" t="s">
        <v>456</v>
      </c>
      <c r="B112" s="419" t="s">
        <v>113</v>
      </c>
      <c r="E112" s="159"/>
      <c r="F112" s="159"/>
      <c r="G112" s="159"/>
      <c r="H112" s="159"/>
      <c r="I112" s="162"/>
      <c r="J112" s="162"/>
      <c r="K112" s="159"/>
      <c r="L112" s="64" t="s">
        <v>127</v>
      </c>
      <c r="M112" s="159"/>
    </row>
    <row r="113" s="159" customFormat="1" x14ac:dyDescent="0.2"/>
  </sheetData>
  <sortState ref="B99:B102">
    <sortCondition ref="B122"/>
  </sortState>
  <conditionalFormatting sqref="C44:K109">
    <cfRule type="cellIs" dxfId="270" priority="2" operator="equal">
      <formula>13</formula>
    </cfRule>
  </conditionalFormatting>
  <conditionalFormatting sqref="C7:F40">
    <cfRule type="cellIs" dxfId="269" priority="1" operator="equal">
      <formula>13</formula>
    </cfRule>
  </conditionalFormatting>
  <pageMargins left="0.39370078740157483"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40"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07"/>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148" customWidth="1"/>
    <col min="2" max="2" width="45.7109375" style="148" customWidth="1"/>
    <col min="3" max="3" width="7.28515625" style="148" customWidth="1"/>
    <col min="4" max="4" width="7.42578125" style="148" bestFit="1" customWidth="1"/>
    <col min="5" max="5" width="9.140625" style="148" bestFit="1" customWidth="1"/>
    <col min="6" max="6" width="6.7109375" style="148" customWidth="1"/>
    <col min="7" max="7" width="5.140625" style="148" bestFit="1" customWidth="1"/>
    <col min="8" max="8" width="9.140625" style="148" customWidth="1"/>
    <col min="9" max="9" width="4.28515625" style="148" customWidth="1"/>
    <col min="10" max="10" width="9.140625" style="148" customWidth="1"/>
    <col min="11" max="11" width="4.7109375" style="148" customWidth="1"/>
    <col min="12" max="13" width="9.140625" style="148" customWidth="1"/>
    <col min="14" max="16384" width="9.140625" style="148"/>
  </cols>
  <sheetData>
    <row r="1" spans="1:7" x14ac:dyDescent="0.2">
      <c r="A1" s="138" t="str">
        <f>UPPER((Kalend!D7)&amp;" - "&amp;(Kalend!C7)&amp;" - "&amp;(Kalend!E7))</f>
        <v>2 - EESTI SISE-MV - SEGATRIO</v>
      </c>
      <c r="E1" s="61" t="str">
        <f>HYPERLINK("#Üldreiting!K1","Reiting")</f>
        <v>Reiting</v>
      </c>
    </row>
    <row r="2" spans="1:7" x14ac:dyDescent="0.2">
      <c r="A2" s="148" t="str">
        <f>"Toimumisaeg: "&amp;(Kalend!A7)&amp;" kell "&amp;(Kalend!B7)</f>
        <v>Toimumisaeg: P, 20.11.2016 kell 10:00</v>
      </c>
    </row>
    <row r="3" spans="1:7" x14ac:dyDescent="0.2">
      <c r="A3" s="148" t="str">
        <f>"Toimumiskoht: "&amp;(Kalend!F7)</f>
        <v>Toimumiskoht: Tallinn, Algi 38</v>
      </c>
    </row>
    <row r="4" spans="1:7" x14ac:dyDescent="0.2">
      <c r="A4" s="148" t="str">
        <f>"Korraldaja: "&amp;(Kalend!G7)</f>
        <v>Korraldaja: EPKL</v>
      </c>
    </row>
    <row r="6" spans="1:7" s="43" customFormat="1" x14ac:dyDescent="0.2">
      <c r="A6" s="283" t="s">
        <v>179</v>
      </c>
      <c r="B6" s="284"/>
      <c r="C6" s="42" t="s">
        <v>70</v>
      </c>
      <c r="D6" s="42" t="s">
        <v>71</v>
      </c>
      <c r="E6" s="42" t="s">
        <v>72</v>
      </c>
      <c r="F6" s="42" t="s">
        <v>73</v>
      </c>
      <c r="G6" s="42" t="s">
        <v>19</v>
      </c>
    </row>
    <row r="7" spans="1:7" s="43" customFormat="1" x14ac:dyDescent="0.2">
      <c r="A7" s="41">
        <v>1</v>
      </c>
      <c r="B7" s="227" t="s">
        <v>354</v>
      </c>
      <c r="C7" s="45">
        <v>13</v>
      </c>
      <c r="D7" s="45">
        <v>13</v>
      </c>
      <c r="E7" s="45"/>
      <c r="F7" s="45"/>
      <c r="G7" s="232" t="s">
        <v>74</v>
      </c>
    </row>
    <row r="8" spans="1:7" s="43" customFormat="1" x14ac:dyDescent="0.2">
      <c r="A8" s="41">
        <v>2</v>
      </c>
      <c r="B8" s="227" t="s">
        <v>345</v>
      </c>
      <c r="C8" s="45">
        <v>13</v>
      </c>
      <c r="D8" s="45">
        <v>11</v>
      </c>
      <c r="E8" s="45"/>
      <c r="F8" s="45">
        <v>13</v>
      </c>
      <c r="G8" s="232" t="s">
        <v>75</v>
      </c>
    </row>
    <row r="9" spans="1:7" s="43" customFormat="1" x14ac:dyDescent="0.2">
      <c r="A9" s="41">
        <v>3</v>
      </c>
      <c r="B9" s="246" t="s">
        <v>128</v>
      </c>
      <c r="C9" s="45">
        <v>3</v>
      </c>
      <c r="D9" s="45"/>
      <c r="E9" s="45">
        <v>13</v>
      </c>
      <c r="F9" s="45">
        <v>6</v>
      </c>
      <c r="G9" s="232" t="s">
        <v>76</v>
      </c>
    </row>
    <row r="10" spans="1:7" s="43" customFormat="1" x14ac:dyDescent="0.2">
      <c r="A10" s="41">
        <v>4</v>
      </c>
      <c r="B10" s="227" t="s">
        <v>355</v>
      </c>
      <c r="C10" s="45">
        <v>0</v>
      </c>
      <c r="D10" s="45"/>
      <c r="E10" s="45">
        <v>6</v>
      </c>
      <c r="F10" s="45"/>
      <c r="G10" s="232" t="s">
        <v>98</v>
      </c>
    </row>
    <row r="11" spans="1:7" s="43" customFormat="1" x14ac:dyDescent="0.2">
      <c r="A11" s="47"/>
      <c r="B11" s="110"/>
      <c r="C11" s="49"/>
      <c r="D11" s="49"/>
      <c r="E11" s="49"/>
      <c r="F11" s="50"/>
      <c r="G11" s="51"/>
    </row>
    <row r="12" spans="1:7" s="43" customFormat="1" x14ac:dyDescent="0.2">
      <c r="A12" s="283" t="s">
        <v>350</v>
      </c>
      <c r="B12" s="284"/>
      <c r="C12" s="42" t="s">
        <v>70</v>
      </c>
      <c r="D12" s="42" t="s">
        <v>71</v>
      </c>
      <c r="E12" s="42" t="s">
        <v>72</v>
      </c>
      <c r="F12" s="42" t="s">
        <v>73</v>
      </c>
      <c r="G12" s="42" t="s">
        <v>19</v>
      </c>
    </row>
    <row r="13" spans="1:7" s="43" customFormat="1" x14ac:dyDescent="0.2">
      <c r="A13" s="41">
        <v>1</v>
      </c>
      <c r="B13" s="226" t="s">
        <v>356</v>
      </c>
      <c r="C13" s="45">
        <v>13</v>
      </c>
      <c r="D13" s="45">
        <v>13</v>
      </c>
      <c r="E13" s="45"/>
      <c r="F13" s="45"/>
      <c r="G13" s="232" t="s">
        <v>74</v>
      </c>
    </row>
    <row r="14" spans="1:7" s="43" customFormat="1" x14ac:dyDescent="0.2">
      <c r="A14" s="41">
        <v>2</v>
      </c>
      <c r="B14" s="230" t="s">
        <v>357</v>
      </c>
      <c r="C14" s="45">
        <v>0</v>
      </c>
      <c r="D14" s="45"/>
      <c r="E14" s="45">
        <v>13</v>
      </c>
      <c r="F14" s="45">
        <v>9</v>
      </c>
      <c r="G14" s="232" t="s">
        <v>76</v>
      </c>
    </row>
    <row r="15" spans="1:7" s="43" customFormat="1" x14ac:dyDescent="0.2">
      <c r="A15" s="41">
        <v>3</v>
      </c>
      <c r="B15" s="226" t="s">
        <v>358</v>
      </c>
      <c r="C15" s="45">
        <v>13</v>
      </c>
      <c r="D15" s="45">
        <v>3</v>
      </c>
      <c r="E15" s="45"/>
      <c r="F15" s="45">
        <v>13</v>
      </c>
      <c r="G15" s="232" t="s">
        <v>75</v>
      </c>
    </row>
    <row r="16" spans="1:7" s="43" customFormat="1" x14ac:dyDescent="0.2">
      <c r="A16" s="41">
        <v>4</v>
      </c>
      <c r="B16" s="229"/>
      <c r="C16" s="45">
        <v>0</v>
      </c>
      <c r="D16" s="45"/>
      <c r="E16" s="45">
        <v>0</v>
      </c>
      <c r="F16" s="45"/>
      <c r="G16" s="232"/>
    </row>
    <row r="17" spans="1:7" s="43" customFormat="1" x14ac:dyDescent="0.2">
      <c r="A17" s="47"/>
      <c r="B17" s="110"/>
      <c r="C17" s="49"/>
      <c r="D17" s="49"/>
      <c r="E17" s="49"/>
      <c r="F17" s="50"/>
      <c r="G17" s="51"/>
    </row>
    <row r="18" spans="1:7" s="43" customFormat="1" x14ac:dyDescent="0.2">
      <c r="A18" s="283" t="s">
        <v>351</v>
      </c>
      <c r="B18" s="284"/>
      <c r="C18" s="42" t="s">
        <v>70</v>
      </c>
      <c r="D18" s="42" t="s">
        <v>71</v>
      </c>
      <c r="E18" s="42" t="s">
        <v>72</v>
      </c>
      <c r="F18" s="42" t="s">
        <v>73</v>
      </c>
      <c r="G18" s="42" t="s">
        <v>19</v>
      </c>
    </row>
    <row r="19" spans="1:7" s="43" customFormat="1" x14ac:dyDescent="0.2">
      <c r="A19" s="41">
        <v>1</v>
      </c>
      <c r="B19" s="230" t="s">
        <v>359</v>
      </c>
      <c r="C19" s="45">
        <v>13</v>
      </c>
      <c r="D19" s="45">
        <v>13</v>
      </c>
      <c r="E19" s="45"/>
      <c r="F19" s="45"/>
      <c r="G19" s="232" t="s">
        <v>74</v>
      </c>
    </row>
    <row r="20" spans="1:7" s="43" customFormat="1" x14ac:dyDescent="0.2">
      <c r="A20" s="41">
        <v>2</v>
      </c>
      <c r="B20" s="230" t="s">
        <v>360</v>
      </c>
      <c r="C20" s="45">
        <v>11</v>
      </c>
      <c r="D20" s="45"/>
      <c r="E20" s="45">
        <v>13</v>
      </c>
      <c r="F20" s="45">
        <v>13</v>
      </c>
      <c r="G20" s="232" t="s">
        <v>75</v>
      </c>
    </row>
    <row r="21" spans="1:7" s="43" customFormat="1" x14ac:dyDescent="0.2">
      <c r="A21" s="41">
        <v>3</v>
      </c>
      <c r="B21" s="226" t="s">
        <v>361</v>
      </c>
      <c r="C21" s="45">
        <v>13</v>
      </c>
      <c r="D21" s="45">
        <v>0</v>
      </c>
      <c r="E21" s="45"/>
      <c r="F21" s="45">
        <v>1</v>
      </c>
      <c r="G21" s="232" t="s">
        <v>76</v>
      </c>
    </row>
    <row r="22" spans="1:7" s="43" customFormat="1" x14ac:dyDescent="0.2">
      <c r="A22" s="41">
        <v>4</v>
      </c>
      <c r="B22" s="108"/>
      <c r="C22" s="45">
        <v>0</v>
      </c>
      <c r="D22" s="45"/>
      <c r="E22" s="45">
        <v>0</v>
      </c>
      <c r="F22" s="45"/>
      <c r="G22" s="232"/>
    </row>
    <row r="23" spans="1:7" s="43" customFormat="1" x14ac:dyDescent="0.2">
      <c r="A23" s="47"/>
      <c r="B23" s="110"/>
      <c r="C23" s="49"/>
      <c r="D23" s="49"/>
      <c r="E23" s="49"/>
      <c r="F23" s="50"/>
      <c r="G23" s="51"/>
    </row>
    <row r="24" spans="1:7" s="43" customFormat="1" x14ac:dyDescent="0.2">
      <c r="A24" s="283" t="s">
        <v>181</v>
      </c>
      <c r="B24" s="284"/>
      <c r="C24" s="42" t="s">
        <v>70</v>
      </c>
      <c r="D24" s="42" t="s">
        <v>71</v>
      </c>
      <c r="E24" s="42" t="s">
        <v>72</v>
      </c>
      <c r="F24" s="42" t="s">
        <v>73</v>
      </c>
      <c r="G24" s="42" t="s">
        <v>19</v>
      </c>
    </row>
    <row r="25" spans="1:7" s="43" customFormat="1" x14ac:dyDescent="0.2">
      <c r="A25" s="41">
        <v>1</v>
      </c>
      <c r="B25" s="230" t="s">
        <v>362</v>
      </c>
      <c r="C25" s="45">
        <v>11</v>
      </c>
      <c r="D25" s="45"/>
      <c r="E25" s="45">
        <v>2</v>
      </c>
      <c r="F25" s="45"/>
      <c r="G25" s="232" t="s">
        <v>98</v>
      </c>
    </row>
    <row r="26" spans="1:7" s="43" customFormat="1" x14ac:dyDescent="0.2">
      <c r="A26" s="41">
        <v>2</v>
      </c>
      <c r="B26" s="226" t="s">
        <v>363</v>
      </c>
      <c r="C26" s="45">
        <v>13</v>
      </c>
      <c r="D26" s="45">
        <v>13</v>
      </c>
      <c r="E26" s="45"/>
      <c r="F26" s="45"/>
      <c r="G26" s="232" t="s">
        <v>74</v>
      </c>
    </row>
    <row r="27" spans="1:7" s="43" customFormat="1" x14ac:dyDescent="0.2">
      <c r="A27" s="41">
        <v>3</v>
      </c>
      <c r="B27" s="226" t="s">
        <v>364</v>
      </c>
      <c r="C27" s="45">
        <v>6</v>
      </c>
      <c r="D27" s="45"/>
      <c r="E27" s="45">
        <v>13</v>
      </c>
      <c r="F27" s="231">
        <v>4</v>
      </c>
      <c r="G27" s="232" t="s">
        <v>76</v>
      </c>
    </row>
    <row r="28" spans="1:7" s="43" customFormat="1" x14ac:dyDescent="0.2">
      <c r="A28" s="41">
        <v>4</v>
      </c>
      <c r="B28" s="226" t="s">
        <v>365</v>
      </c>
      <c r="C28" s="45">
        <v>13</v>
      </c>
      <c r="D28" s="45">
        <v>6</v>
      </c>
      <c r="E28" s="45"/>
      <c r="F28" s="45">
        <v>13</v>
      </c>
      <c r="G28" s="232" t="s">
        <v>75</v>
      </c>
    </row>
    <row r="29" spans="1:7" s="43" customFormat="1" x14ac:dyDescent="0.2">
      <c r="A29" s="47"/>
      <c r="B29" s="110"/>
      <c r="C29" s="49"/>
      <c r="D29" s="49"/>
      <c r="E29" s="49"/>
      <c r="F29" s="50"/>
      <c r="G29" s="51"/>
    </row>
    <row r="30" spans="1:7" s="43" customFormat="1" x14ac:dyDescent="0.2">
      <c r="A30" s="283" t="s">
        <v>182</v>
      </c>
      <c r="B30" s="284"/>
      <c r="C30" s="42" t="s">
        <v>70</v>
      </c>
      <c r="D30" s="42" t="s">
        <v>71</v>
      </c>
      <c r="E30" s="42" t="s">
        <v>72</v>
      </c>
      <c r="F30" s="42" t="s">
        <v>73</v>
      </c>
      <c r="G30" s="42" t="s">
        <v>19</v>
      </c>
    </row>
    <row r="31" spans="1:7" s="43" customFormat="1" x14ac:dyDescent="0.2">
      <c r="A31" s="41">
        <v>1</v>
      </c>
      <c r="B31" s="227" t="s">
        <v>366</v>
      </c>
      <c r="C31" s="45">
        <v>13</v>
      </c>
      <c r="D31" s="45">
        <v>3</v>
      </c>
      <c r="E31" s="45"/>
      <c r="F31" s="45">
        <v>13</v>
      </c>
      <c r="G31" s="232" t="s">
        <v>75</v>
      </c>
    </row>
    <row r="32" spans="1:7" s="43" customFormat="1" x14ac:dyDescent="0.2">
      <c r="A32" s="41">
        <v>2</v>
      </c>
      <c r="B32" s="226" t="s">
        <v>343</v>
      </c>
      <c r="C32" s="45">
        <v>13</v>
      </c>
      <c r="D32" s="45">
        <v>13</v>
      </c>
      <c r="E32" s="45"/>
      <c r="F32" s="45"/>
      <c r="G32" s="232" t="s">
        <v>74</v>
      </c>
    </row>
    <row r="33" spans="1:9" s="43" customFormat="1" x14ac:dyDescent="0.2">
      <c r="A33" s="41">
        <v>3</v>
      </c>
      <c r="B33" s="226" t="s">
        <v>367</v>
      </c>
      <c r="C33" s="45">
        <v>12</v>
      </c>
      <c r="D33" s="45"/>
      <c r="E33" s="45">
        <v>13</v>
      </c>
      <c r="F33" s="45">
        <v>11</v>
      </c>
      <c r="G33" s="232" t="s">
        <v>76</v>
      </c>
    </row>
    <row r="34" spans="1:9" s="43" customFormat="1" x14ac:dyDescent="0.2">
      <c r="A34" s="41">
        <v>4</v>
      </c>
      <c r="B34" s="226"/>
      <c r="C34" s="45">
        <v>0</v>
      </c>
      <c r="D34" s="45"/>
      <c r="E34" s="45">
        <v>0</v>
      </c>
      <c r="F34" s="45"/>
      <c r="G34" s="232"/>
    </row>
    <row r="35" spans="1:9" s="43" customFormat="1" x14ac:dyDescent="0.2">
      <c r="A35" s="47"/>
      <c r="B35" s="52"/>
      <c r="C35" s="50"/>
      <c r="D35" s="50"/>
      <c r="E35" s="50"/>
      <c r="F35" s="50"/>
      <c r="G35" s="53"/>
    </row>
    <row r="36" spans="1:9" s="83" customFormat="1" x14ac:dyDescent="0.2">
      <c r="A36" s="114" t="s">
        <v>114</v>
      </c>
      <c r="B36" s="90"/>
      <c r="C36" s="49"/>
      <c r="D36" s="49"/>
      <c r="E36" s="49"/>
      <c r="F36" s="50"/>
      <c r="G36" s="51"/>
    </row>
    <row r="37" spans="1:9" s="83" customFormat="1" x14ac:dyDescent="0.2"/>
    <row r="38" spans="1:9" s="83" customFormat="1" x14ac:dyDescent="0.2">
      <c r="A38" s="115" t="s">
        <v>88</v>
      </c>
      <c r="B38" s="83" t="s">
        <v>359</v>
      </c>
      <c r="C38" s="156"/>
    </row>
    <row r="39" spans="1:9" s="83" customFormat="1" x14ac:dyDescent="0.2">
      <c r="A39" s="84"/>
      <c r="B39" s="155"/>
      <c r="C39" s="248" t="s">
        <v>359</v>
      </c>
      <c r="E39" s="156">
        <v>13</v>
      </c>
    </row>
    <row r="40" spans="1:9" s="83" customFormat="1" x14ac:dyDescent="0.2">
      <c r="A40" s="84"/>
      <c r="B40" s="250" t="s">
        <v>102</v>
      </c>
      <c r="C40" s="120"/>
      <c r="D40" s="89"/>
    </row>
    <row r="41" spans="1:9" s="83" customFormat="1" x14ac:dyDescent="0.2">
      <c r="A41" s="84"/>
      <c r="D41" s="91"/>
      <c r="E41" s="95" t="s">
        <v>359</v>
      </c>
      <c r="G41" s="156">
        <v>13</v>
      </c>
    </row>
    <row r="42" spans="1:9" s="83" customFormat="1" x14ac:dyDescent="0.2">
      <c r="A42" s="84" t="s">
        <v>84</v>
      </c>
      <c r="B42" s="83" t="s">
        <v>356</v>
      </c>
      <c r="C42" s="97"/>
      <c r="D42" s="91"/>
      <c r="E42" s="116"/>
      <c r="F42" s="89"/>
    </row>
    <row r="43" spans="1:9" s="83" customFormat="1" x14ac:dyDescent="0.2">
      <c r="A43" s="84"/>
      <c r="B43" s="155"/>
      <c r="C43" s="249" t="s">
        <v>356</v>
      </c>
      <c r="D43" s="96"/>
      <c r="E43" s="97">
        <v>7</v>
      </c>
      <c r="F43" s="91"/>
    </row>
    <row r="44" spans="1:9" s="83" customFormat="1" x14ac:dyDescent="0.2">
      <c r="A44" s="84"/>
      <c r="B44" s="250" t="s">
        <v>102</v>
      </c>
      <c r="C44" s="131"/>
      <c r="E44" s="90"/>
      <c r="F44" s="91"/>
    </row>
    <row r="45" spans="1:9" s="83" customFormat="1" x14ac:dyDescent="0.2">
      <c r="A45" s="98"/>
      <c r="E45" s="90"/>
      <c r="F45" s="91"/>
      <c r="G45" s="95" t="s">
        <v>359</v>
      </c>
      <c r="I45" s="156">
        <v>13</v>
      </c>
    </row>
    <row r="46" spans="1:9" s="83" customFormat="1" x14ac:dyDescent="0.2">
      <c r="A46" s="115" t="s">
        <v>80</v>
      </c>
      <c r="B46" s="83" t="s">
        <v>363</v>
      </c>
      <c r="C46" s="156"/>
      <c r="E46" s="90"/>
      <c r="F46" s="91"/>
      <c r="G46" s="155"/>
      <c r="H46" s="89"/>
    </row>
    <row r="47" spans="1:9" s="83" customFormat="1" x14ac:dyDescent="0.2">
      <c r="A47" s="84"/>
      <c r="B47" s="155"/>
      <c r="C47" s="248" t="s">
        <v>363</v>
      </c>
      <c r="E47" s="97">
        <v>3</v>
      </c>
      <c r="F47" s="91"/>
      <c r="G47" s="90"/>
      <c r="H47" s="91"/>
    </row>
    <row r="48" spans="1:9" s="83" customFormat="1" x14ac:dyDescent="0.2">
      <c r="A48" s="84"/>
      <c r="B48" s="250" t="s">
        <v>102</v>
      </c>
      <c r="C48" s="120"/>
      <c r="D48" s="89"/>
      <c r="E48" s="90"/>
      <c r="F48" s="91"/>
      <c r="G48" s="90"/>
      <c r="H48" s="91"/>
    </row>
    <row r="49" spans="1:11" s="83" customFormat="1" x14ac:dyDescent="0.2">
      <c r="A49" s="84"/>
      <c r="D49" s="91"/>
      <c r="E49" s="157" t="s">
        <v>366</v>
      </c>
      <c r="F49" s="96"/>
      <c r="G49" s="97">
        <v>7</v>
      </c>
      <c r="H49" s="91"/>
    </row>
    <row r="50" spans="1:11" s="83" customFormat="1" x14ac:dyDescent="0.2">
      <c r="A50" s="84" t="s">
        <v>117</v>
      </c>
      <c r="B50" s="83" t="s">
        <v>366</v>
      </c>
      <c r="C50" s="97"/>
      <c r="D50" s="91"/>
      <c r="E50" s="95"/>
      <c r="F50" s="90"/>
      <c r="G50" s="90"/>
      <c r="H50" s="91"/>
    </row>
    <row r="51" spans="1:11" s="83" customFormat="1" x14ac:dyDescent="0.2">
      <c r="A51" s="84"/>
      <c r="B51" s="155"/>
      <c r="C51" s="249" t="s">
        <v>366</v>
      </c>
      <c r="D51" s="96"/>
      <c r="E51" s="97">
        <v>13</v>
      </c>
      <c r="G51" s="90"/>
      <c r="H51" s="91"/>
    </row>
    <row r="52" spans="1:11" s="83" customFormat="1" x14ac:dyDescent="0.2">
      <c r="A52" s="84"/>
      <c r="B52" s="250" t="s">
        <v>102</v>
      </c>
      <c r="C52" s="119"/>
      <c r="E52" s="90"/>
      <c r="F52" s="90"/>
      <c r="G52" s="90"/>
      <c r="H52" s="91"/>
    </row>
    <row r="53" spans="1:11" s="83" customFormat="1" ht="13.5" thickBot="1" x14ac:dyDescent="0.25">
      <c r="A53" s="98"/>
      <c r="G53" s="90"/>
      <c r="H53" s="91"/>
      <c r="J53" s="251" t="s">
        <v>359</v>
      </c>
    </row>
    <row r="54" spans="1:11" s="83" customFormat="1" x14ac:dyDescent="0.2">
      <c r="A54" s="115" t="s">
        <v>82</v>
      </c>
      <c r="B54" s="83" t="s">
        <v>354</v>
      </c>
      <c r="C54" s="156"/>
      <c r="G54" s="90"/>
      <c r="H54" s="91"/>
      <c r="I54" s="93"/>
      <c r="J54" s="117" t="s">
        <v>85</v>
      </c>
      <c r="K54" s="94"/>
    </row>
    <row r="55" spans="1:11" s="83" customFormat="1" x14ac:dyDescent="0.2">
      <c r="A55" s="84"/>
      <c r="B55" s="155"/>
      <c r="C55" s="87" t="s">
        <v>354</v>
      </c>
      <c r="E55" s="156">
        <v>13</v>
      </c>
      <c r="G55" s="90"/>
      <c r="H55" s="91"/>
    </row>
    <row r="56" spans="1:11" s="83" customFormat="1" x14ac:dyDescent="0.2">
      <c r="A56" s="84"/>
      <c r="B56" s="250" t="s">
        <v>102</v>
      </c>
      <c r="C56" s="120"/>
      <c r="D56" s="89"/>
      <c r="G56" s="90"/>
      <c r="H56" s="91"/>
    </row>
    <row r="57" spans="1:11" s="83" customFormat="1" x14ac:dyDescent="0.2">
      <c r="A57" s="84"/>
      <c r="D57" s="91"/>
      <c r="E57" s="83" t="s">
        <v>354</v>
      </c>
      <c r="G57" s="97">
        <v>8</v>
      </c>
      <c r="H57" s="91"/>
    </row>
    <row r="58" spans="1:11" s="83" customFormat="1" x14ac:dyDescent="0.2">
      <c r="A58" s="84" t="s">
        <v>83</v>
      </c>
      <c r="B58" s="251" t="s">
        <v>360</v>
      </c>
      <c r="C58" s="97">
        <v>11</v>
      </c>
      <c r="D58" s="91"/>
      <c r="E58" s="116"/>
      <c r="F58" s="89"/>
      <c r="G58" s="90"/>
      <c r="H58" s="91"/>
    </row>
    <row r="59" spans="1:11" s="83" customFormat="1" x14ac:dyDescent="0.2">
      <c r="A59" s="84"/>
      <c r="B59" s="155"/>
      <c r="C59" s="249" t="s">
        <v>358</v>
      </c>
      <c r="D59" s="96"/>
      <c r="E59" s="97">
        <v>12</v>
      </c>
      <c r="F59" s="91"/>
      <c r="G59" s="90"/>
      <c r="H59" s="91"/>
    </row>
    <row r="60" spans="1:11" s="83" customFormat="1" x14ac:dyDescent="0.2">
      <c r="A60" s="84" t="s">
        <v>81</v>
      </c>
      <c r="B60" s="118" t="s">
        <v>358</v>
      </c>
      <c r="C60" s="119">
        <v>13</v>
      </c>
      <c r="E60" s="90"/>
      <c r="F60" s="91"/>
      <c r="G60" s="90"/>
      <c r="H60" s="91"/>
    </row>
    <row r="61" spans="1:11" s="83" customFormat="1" x14ac:dyDescent="0.2">
      <c r="A61" s="98"/>
      <c r="E61" s="90"/>
      <c r="F61" s="91"/>
      <c r="G61" s="157" t="s">
        <v>343</v>
      </c>
      <c r="H61" s="96"/>
      <c r="I61" s="156">
        <v>7</v>
      </c>
    </row>
    <row r="62" spans="1:11" s="83" customFormat="1" ht="13.5" thickBot="1" x14ac:dyDescent="0.25">
      <c r="A62" s="115" t="s">
        <v>115</v>
      </c>
      <c r="B62" s="83" t="s">
        <v>343</v>
      </c>
      <c r="C62" s="156">
        <v>13</v>
      </c>
      <c r="E62" s="90"/>
      <c r="F62" s="91"/>
      <c r="J62" s="90" t="s">
        <v>343</v>
      </c>
      <c r="K62" s="92"/>
    </row>
    <row r="63" spans="1:11" s="83" customFormat="1" x14ac:dyDescent="0.2">
      <c r="A63" s="84"/>
      <c r="B63" s="155"/>
      <c r="C63" s="248" t="s">
        <v>343</v>
      </c>
      <c r="E63" s="97">
        <v>13</v>
      </c>
      <c r="F63" s="91"/>
      <c r="J63" s="117" t="s">
        <v>87</v>
      </c>
      <c r="K63" s="90"/>
    </row>
    <row r="64" spans="1:11" s="83" customFormat="1" x14ac:dyDescent="0.2">
      <c r="A64" s="84" t="s">
        <v>89</v>
      </c>
      <c r="B64" s="157" t="s">
        <v>345</v>
      </c>
      <c r="C64" s="120">
        <v>5</v>
      </c>
      <c r="D64" s="89"/>
      <c r="E64" s="90"/>
      <c r="F64" s="91"/>
    </row>
    <row r="65" spans="1:11" s="83" customFormat="1" x14ac:dyDescent="0.2">
      <c r="A65" s="84"/>
      <c r="D65" s="91"/>
      <c r="E65" s="157" t="s">
        <v>343</v>
      </c>
      <c r="F65" s="96"/>
      <c r="G65" s="156">
        <v>13</v>
      </c>
    </row>
    <row r="66" spans="1:11" s="83" customFormat="1" x14ac:dyDescent="0.2">
      <c r="A66" s="84" t="s">
        <v>86</v>
      </c>
      <c r="B66" s="83" t="s">
        <v>365</v>
      </c>
      <c r="C66" s="97"/>
      <c r="D66" s="91"/>
      <c r="E66" s="95"/>
      <c r="F66" s="90"/>
    </row>
    <row r="67" spans="1:11" s="83" customFormat="1" x14ac:dyDescent="0.2">
      <c r="A67" s="84"/>
      <c r="B67" s="155"/>
      <c r="C67" s="249" t="s">
        <v>365</v>
      </c>
      <c r="D67" s="96"/>
      <c r="E67" s="97">
        <v>6</v>
      </c>
      <c r="G67" s="83" t="s">
        <v>366</v>
      </c>
      <c r="I67" s="97">
        <v>9</v>
      </c>
    </row>
    <row r="68" spans="1:11" s="83" customFormat="1" ht="13.5" thickBot="1" x14ac:dyDescent="0.25">
      <c r="A68" s="84"/>
      <c r="B68" s="250" t="s">
        <v>102</v>
      </c>
      <c r="C68" s="119"/>
      <c r="E68" s="90"/>
      <c r="F68" s="90"/>
      <c r="G68" s="155"/>
      <c r="H68" s="89"/>
      <c r="I68" s="92"/>
      <c r="J68" s="92" t="s">
        <v>354</v>
      </c>
      <c r="K68" s="92"/>
    </row>
    <row r="69" spans="1:11" s="83" customFormat="1" x14ac:dyDescent="0.2">
      <c r="F69" s="90"/>
      <c r="G69" s="157" t="s">
        <v>354</v>
      </c>
      <c r="H69" s="96"/>
      <c r="I69" s="156">
        <v>13</v>
      </c>
      <c r="J69" s="100" t="s">
        <v>90</v>
      </c>
      <c r="K69" s="90"/>
    </row>
    <row r="70" spans="1:11" s="83" customFormat="1" x14ac:dyDescent="0.2">
      <c r="F70" s="90"/>
      <c r="J70" s="90"/>
      <c r="K70" s="90"/>
    </row>
    <row r="71" spans="1:11" s="83" customFormat="1" ht="13.5" thickBot="1" x14ac:dyDescent="0.25">
      <c r="F71" s="90"/>
      <c r="G71" s="90"/>
      <c r="H71" s="90"/>
      <c r="J71" s="92" t="s">
        <v>366</v>
      </c>
      <c r="K71" s="92"/>
    </row>
    <row r="72" spans="1:11" s="83" customFormat="1" x14ac:dyDescent="0.2">
      <c r="G72" s="90"/>
      <c r="H72" s="90"/>
      <c r="J72" s="98" t="s">
        <v>91</v>
      </c>
    </row>
    <row r="73" spans="1:11" s="83" customFormat="1" x14ac:dyDescent="0.2">
      <c r="G73" s="90"/>
      <c r="H73" s="90"/>
      <c r="J73" s="98"/>
    </row>
    <row r="74" spans="1:11" s="83" customFormat="1" x14ac:dyDescent="0.2">
      <c r="A74" s="121" t="s">
        <v>119</v>
      </c>
      <c r="G74" s="90"/>
      <c r="H74" s="90"/>
      <c r="J74" s="98"/>
    </row>
    <row r="75" spans="1:11" s="83" customFormat="1" x14ac:dyDescent="0.2">
      <c r="A75" s="237"/>
      <c r="G75" s="90"/>
      <c r="H75" s="90"/>
      <c r="J75" s="98"/>
    </row>
    <row r="76" spans="1:11" s="83" customFormat="1" x14ac:dyDescent="0.2">
      <c r="E76" s="99" t="s">
        <v>356</v>
      </c>
      <c r="F76" s="156"/>
      <c r="G76" s="156">
        <v>13</v>
      </c>
      <c r="H76" s="156"/>
      <c r="I76" s="156"/>
    </row>
    <row r="77" spans="1:11" s="83" customFormat="1" x14ac:dyDescent="0.2">
      <c r="E77" s="122"/>
      <c r="F77" s="123"/>
      <c r="G77" s="97" t="s">
        <v>356</v>
      </c>
      <c r="H77" s="156"/>
      <c r="I77" s="156">
        <v>1</v>
      </c>
    </row>
    <row r="78" spans="1:11" s="83" customFormat="1" x14ac:dyDescent="0.2">
      <c r="E78" s="124" t="s">
        <v>363</v>
      </c>
      <c r="F78" s="125"/>
      <c r="G78" s="122">
        <v>0</v>
      </c>
      <c r="H78" s="123"/>
      <c r="I78" s="156"/>
    </row>
    <row r="79" spans="1:11" s="83" customFormat="1" ht="13.5" thickBot="1" x14ac:dyDescent="0.25">
      <c r="E79" s="156"/>
      <c r="F79" s="156"/>
      <c r="G79" s="97"/>
      <c r="H79" s="126"/>
      <c r="I79" s="156"/>
      <c r="J79" s="83" t="s">
        <v>358</v>
      </c>
    </row>
    <row r="80" spans="1:11" s="83" customFormat="1" x14ac:dyDescent="0.2">
      <c r="E80" s="156" t="s">
        <v>358</v>
      </c>
      <c r="F80" s="156"/>
      <c r="G80" s="97">
        <v>13</v>
      </c>
      <c r="H80" s="126"/>
      <c r="I80" s="127"/>
      <c r="J80" s="117" t="s">
        <v>92</v>
      </c>
      <c r="K80" s="94"/>
    </row>
    <row r="81" spans="1:11" s="83" customFormat="1" x14ac:dyDescent="0.2">
      <c r="E81" s="122"/>
      <c r="F81" s="123"/>
      <c r="G81" s="124" t="s">
        <v>358</v>
      </c>
      <c r="H81" s="125"/>
      <c r="I81" s="97">
        <v>13</v>
      </c>
    </row>
    <row r="82" spans="1:11" s="83" customFormat="1" ht="13.5" thickBot="1" x14ac:dyDescent="0.25">
      <c r="E82" s="124" t="s">
        <v>365</v>
      </c>
      <c r="F82" s="125"/>
      <c r="G82" s="97">
        <v>3</v>
      </c>
      <c r="H82" s="156"/>
      <c r="I82" s="97"/>
      <c r="J82" s="90" t="s">
        <v>356</v>
      </c>
      <c r="K82" s="92"/>
    </row>
    <row r="83" spans="1:11" s="83" customFormat="1" x14ac:dyDescent="0.2">
      <c r="E83" s="156"/>
      <c r="F83" s="156"/>
      <c r="G83" s="156"/>
      <c r="H83" s="156"/>
      <c r="I83" s="97"/>
      <c r="J83" s="117" t="s">
        <v>93</v>
      </c>
      <c r="K83" s="90"/>
    </row>
    <row r="84" spans="1:11" s="83" customFormat="1" x14ac:dyDescent="0.2">
      <c r="E84" s="156"/>
      <c r="F84" s="97"/>
      <c r="G84" s="156" t="s">
        <v>363</v>
      </c>
      <c r="H84" s="156"/>
      <c r="I84" s="97">
        <v>13</v>
      </c>
      <c r="J84" s="90"/>
      <c r="K84" s="90"/>
    </row>
    <row r="85" spans="1:11" s="83" customFormat="1" ht="13.5" thickBot="1" x14ac:dyDescent="0.25">
      <c r="E85" s="156"/>
      <c r="F85" s="97"/>
      <c r="G85" s="122"/>
      <c r="H85" s="123"/>
      <c r="I85" s="128"/>
      <c r="J85" s="92" t="s">
        <v>363</v>
      </c>
      <c r="K85" s="92"/>
    </row>
    <row r="86" spans="1:11" s="83" customFormat="1" x14ac:dyDescent="0.2">
      <c r="E86" s="156"/>
      <c r="F86" s="97"/>
      <c r="G86" s="124" t="s">
        <v>365</v>
      </c>
      <c r="H86" s="125"/>
      <c r="I86" s="156">
        <v>7</v>
      </c>
      <c r="J86" s="100" t="s">
        <v>94</v>
      </c>
      <c r="K86" s="90"/>
    </row>
    <row r="87" spans="1:11" s="83" customFormat="1" x14ac:dyDescent="0.2">
      <c r="F87" s="90"/>
      <c r="J87" s="90"/>
      <c r="K87" s="90"/>
    </row>
    <row r="88" spans="1:11" s="83" customFormat="1" ht="13.5" thickBot="1" x14ac:dyDescent="0.25">
      <c r="G88" s="90"/>
      <c r="H88" s="90"/>
      <c r="J88" s="92" t="s">
        <v>365</v>
      </c>
      <c r="K88" s="92"/>
    </row>
    <row r="89" spans="1:11" s="83" customFormat="1" x14ac:dyDescent="0.2">
      <c r="G89" s="90"/>
      <c r="H89" s="90"/>
      <c r="J89" s="100" t="s">
        <v>95</v>
      </c>
    </row>
    <row r="90" spans="1:11" s="159" customFormat="1" x14ac:dyDescent="0.2"/>
    <row r="91" spans="1:11" x14ac:dyDescent="0.2">
      <c r="A91" s="101">
        <v>1</v>
      </c>
      <c r="B91" s="286" t="s">
        <v>359</v>
      </c>
    </row>
    <row r="92" spans="1:11" x14ac:dyDescent="0.2">
      <c r="A92" s="101">
        <v>2</v>
      </c>
      <c r="B92" s="103" t="s">
        <v>343</v>
      </c>
    </row>
    <row r="93" spans="1:11" x14ac:dyDescent="0.2">
      <c r="A93" s="101">
        <v>3</v>
      </c>
      <c r="B93" s="104" t="s">
        <v>354</v>
      </c>
    </row>
    <row r="94" spans="1:11" x14ac:dyDescent="0.2">
      <c r="A94" s="101">
        <v>4</v>
      </c>
      <c r="B94" s="105" t="s">
        <v>366</v>
      </c>
    </row>
    <row r="95" spans="1:11" x14ac:dyDescent="0.2">
      <c r="A95" s="101">
        <v>5</v>
      </c>
      <c r="B95" s="105" t="s">
        <v>358</v>
      </c>
    </row>
    <row r="96" spans="1:11" x14ac:dyDescent="0.2">
      <c r="A96" s="101">
        <v>6</v>
      </c>
      <c r="B96" s="105" t="s">
        <v>356</v>
      </c>
    </row>
    <row r="97" spans="1:2" x14ac:dyDescent="0.2">
      <c r="A97" s="101">
        <v>7</v>
      </c>
      <c r="B97" s="105" t="s">
        <v>363</v>
      </c>
    </row>
    <row r="98" spans="1:2" x14ac:dyDescent="0.2">
      <c r="A98" s="101">
        <v>8</v>
      </c>
      <c r="B98" s="105" t="s">
        <v>365</v>
      </c>
    </row>
    <row r="99" spans="1:2" x14ac:dyDescent="0.2">
      <c r="A99" s="112" t="s">
        <v>122</v>
      </c>
      <c r="B99" s="108" t="s">
        <v>345</v>
      </c>
    </row>
    <row r="100" spans="1:2" x14ac:dyDescent="0.2">
      <c r="A100" s="112" t="s">
        <v>122</v>
      </c>
      <c r="B100" s="108" t="s">
        <v>360</v>
      </c>
    </row>
    <row r="101" spans="1:2" x14ac:dyDescent="0.2">
      <c r="A101" s="112" t="s">
        <v>353</v>
      </c>
      <c r="B101" s="226" t="s">
        <v>364</v>
      </c>
    </row>
    <row r="102" spans="1:2" x14ac:dyDescent="0.2">
      <c r="A102" s="112" t="s">
        <v>353</v>
      </c>
      <c r="B102" s="354" t="s">
        <v>128</v>
      </c>
    </row>
    <row r="103" spans="1:2" x14ac:dyDescent="0.2">
      <c r="A103" s="112" t="s">
        <v>353</v>
      </c>
      <c r="B103" s="108" t="s">
        <v>357</v>
      </c>
    </row>
    <row r="104" spans="1:2" x14ac:dyDescent="0.2">
      <c r="A104" s="112" t="s">
        <v>353</v>
      </c>
      <c r="B104" s="226" t="s">
        <v>367</v>
      </c>
    </row>
    <row r="105" spans="1:2" x14ac:dyDescent="0.2">
      <c r="A105" s="112" t="s">
        <v>353</v>
      </c>
      <c r="B105" s="226" t="s">
        <v>361</v>
      </c>
    </row>
    <row r="106" spans="1:2" x14ac:dyDescent="0.2">
      <c r="A106" s="112" t="s">
        <v>352</v>
      </c>
      <c r="B106" s="108" t="s">
        <v>355</v>
      </c>
    </row>
    <row r="107" spans="1:2" x14ac:dyDescent="0.2">
      <c r="A107" s="112" t="s">
        <v>352</v>
      </c>
      <c r="B107" s="108" t="s">
        <v>362</v>
      </c>
    </row>
  </sheetData>
  <sortState ref="B106:B107">
    <sortCondition ref="B106"/>
  </sortState>
  <conditionalFormatting sqref="C7:K36 F38:I89 C37:E89 F37:J37">
    <cfRule type="cellIs" dxfId="268" priority="1" operator="equal">
      <formula>13</formula>
    </cfRule>
  </conditionalFormatting>
  <pageMargins left="0.39370078740157483"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34" max="16383" man="1"/>
    <brk id="72" max="16383" man="1"/>
  </rowBreaks>
  <ignoredErrors>
    <ignoredError sqref="A101:A10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92"/>
  <sheetViews>
    <sheetView showGridLines="0" showRowColHeaders="0" zoomScaleNormal="100" workbookViewId="0">
      <pane ySplit="2" topLeftCell="A3" activePane="bottomLeft" state="frozen"/>
      <selection activeCell="G1" sqref="G1"/>
      <selection pane="bottomLeft" activeCell="G1" sqref="G1"/>
    </sheetView>
  </sheetViews>
  <sheetFormatPr defaultRowHeight="12.75" x14ac:dyDescent="0.2"/>
  <cols>
    <col min="1" max="1" width="5.5703125" style="40" customWidth="1"/>
    <col min="2" max="2" width="45.5703125" style="40" bestFit="1" customWidth="1"/>
    <col min="3" max="3" width="7.28515625" style="40" bestFit="1" customWidth="1"/>
    <col min="4" max="4" width="7.42578125" style="40" bestFit="1" customWidth="1"/>
    <col min="5" max="5" width="9.140625" style="40"/>
    <col min="6" max="6" width="6.7109375" style="40" bestFit="1" customWidth="1"/>
    <col min="7" max="7" width="5.140625" style="40" bestFit="1" customWidth="1"/>
    <col min="8" max="8" width="5.140625" style="40" customWidth="1"/>
    <col min="9" max="9" width="4.7109375" style="40" customWidth="1"/>
    <col min="10" max="13" width="9.140625" style="40" customWidth="1"/>
    <col min="14" max="16" width="2.7109375" style="40" customWidth="1"/>
    <col min="17" max="16384" width="9.140625" style="40"/>
  </cols>
  <sheetData>
    <row r="1" spans="1:7" x14ac:dyDescent="0.2">
      <c r="A1" s="138" t="str">
        <f>UPPER((Kalend!D13)&amp;" - "&amp;(Kalend!C13)&amp;" - "&amp;(Kalend!E13))</f>
        <v>3 - EESTI REITINGUVÕISTLUS - TRIO</v>
      </c>
      <c r="E1" s="61" t="str">
        <f>HYPERLINK("#Üldreiting!K1","Reiting")</f>
        <v>Reiting</v>
      </c>
    </row>
    <row r="2" spans="1:7" x14ac:dyDescent="0.2">
      <c r="A2" s="148" t="str">
        <f>"Toimumisaeg: "&amp;(Kalend!A13)&amp;" kell "&amp;(Kalend!B13)</f>
        <v>Toimumisaeg: P, 11.12.2016 kell 10:00</v>
      </c>
    </row>
    <row r="3" spans="1:7" x14ac:dyDescent="0.2">
      <c r="A3" s="148" t="str">
        <f>"Toimumiskoht: "&amp;(Kalend!F13)</f>
        <v>Toimumiskoht: Tallinn, Algi 38</v>
      </c>
    </row>
    <row r="4" spans="1:7" x14ac:dyDescent="0.2">
      <c r="A4" s="148" t="str">
        <f>"Korraldaja: "&amp;(Kalend!G13)</f>
        <v>Korraldaja: EPKL</v>
      </c>
    </row>
    <row r="6" spans="1:7" s="43" customFormat="1" x14ac:dyDescent="0.2">
      <c r="A6" s="283" t="s">
        <v>69</v>
      </c>
      <c r="B6" s="285"/>
      <c r="C6" s="42" t="s">
        <v>70</v>
      </c>
      <c r="D6" s="42" t="s">
        <v>71</v>
      </c>
      <c r="E6" s="42" t="s">
        <v>72</v>
      </c>
      <c r="F6" s="42" t="s">
        <v>73</v>
      </c>
      <c r="G6" s="42" t="s">
        <v>19</v>
      </c>
    </row>
    <row r="7" spans="1:7" s="43" customFormat="1" x14ac:dyDescent="0.2">
      <c r="A7" s="41">
        <v>1</v>
      </c>
      <c r="B7" s="227" t="s">
        <v>340</v>
      </c>
      <c r="C7" s="45">
        <v>13</v>
      </c>
      <c r="D7" s="45">
        <v>8</v>
      </c>
      <c r="E7" s="45"/>
      <c r="F7" s="45">
        <v>8</v>
      </c>
      <c r="G7" s="232" t="s">
        <v>76</v>
      </c>
    </row>
    <row r="8" spans="1:7" s="43" customFormat="1" x14ac:dyDescent="0.2">
      <c r="A8" s="41">
        <v>2</v>
      </c>
      <c r="B8" s="227" t="s">
        <v>341</v>
      </c>
      <c r="C8" s="45">
        <v>8</v>
      </c>
      <c r="D8" s="45"/>
      <c r="E8" s="45">
        <v>13</v>
      </c>
      <c r="F8" s="45">
        <v>13</v>
      </c>
      <c r="G8" s="232" t="s">
        <v>75</v>
      </c>
    </row>
    <row r="9" spans="1:7" s="43" customFormat="1" x14ac:dyDescent="0.2">
      <c r="A9" s="41">
        <v>3</v>
      </c>
      <c r="B9" s="227" t="s">
        <v>342</v>
      </c>
      <c r="C9" s="45">
        <v>13</v>
      </c>
      <c r="D9" s="45">
        <v>13</v>
      </c>
      <c r="E9" s="45"/>
      <c r="F9" s="45"/>
      <c r="G9" s="232" t="s">
        <v>74</v>
      </c>
    </row>
    <row r="10" spans="1:7" s="43" customFormat="1" x14ac:dyDescent="0.2">
      <c r="A10" s="41">
        <v>4</v>
      </c>
      <c r="B10" s="246" t="s">
        <v>128</v>
      </c>
      <c r="C10" s="45">
        <v>0</v>
      </c>
      <c r="D10" s="45"/>
      <c r="E10" s="45">
        <v>0</v>
      </c>
      <c r="F10" s="45"/>
      <c r="G10" s="232" t="s">
        <v>98</v>
      </c>
    </row>
    <row r="11" spans="1:7" s="43" customFormat="1" x14ac:dyDescent="0.2">
      <c r="A11" s="47"/>
      <c r="B11" s="48"/>
      <c r="C11" s="49"/>
      <c r="D11" s="49"/>
      <c r="E11" s="49"/>
      <c r="F11" s="50"/>
      <c r="G11" s="51"/>
    </row>
    <row r="12" spans="1:7" s="43" customFormat="1" x14ac:dyDescent="0.2">
      <c r="A12" s="283" t="s">
        <v>77</v>
      </c>
      <c r="B12" s="285"/>
      <c r="C12" s="42" t="s">
        <v>70</v>
      </c>
      <c r="D12" s="42" t="s">
        <v>71</v>
      </c>
      <c r="E12" s="42" t="s">
        <v>72</v>
      </c>
      <c r="F12" s="42" t="s">
        <v>73</v>
      </c>
      <c r="G12" s="42" t="s">
        <v>19</v>
      </c>
    </row>
    <row r="13" spans="1:7" s="43" customFormat="1" x14ac:dyDescent="0.2">
      <c r="A13" s="41">
        <v>1</v>
      </c>
      <c r="B13" s="227" t="s">
        <v>343</v>
      </c>
      <c r="C13" s="45">
        <v>13</v>
      </c>
      <c r="D13" s="45">
        <v>13</v>
      </c>
      <c r="E13" s="45"/>
      <c r="F13" s="45"/>
      <c r="G13" s="232" t="s">
        <v>74</v>
      </c>
    </row>
    <row r="14" spans="1:7" s="43" customFormat="1" x14ac:dyDescent="0.2">
      <c r="A14" s="41">
        <v>2</v>
      </c>
      <c r="B14" s="227" t="s">
        <v>344</v>
      </c>
      <c r="C14" s="45">
        <v>10</v>
      </c>
      <c r="D14" s="45"/>
      <c r="E14" s="45">
        <v>13</v>
      </c>
      <c r="F14" s="45">
        <v>7</v>
      </c>
      <c r="G14" s="232" t="s">
        <v>76</v>
      </c>
    </row>
    <row r="15" spans="1:7" s="43" customFormat="1" x14ac:dyDescent="0.2">
      <c r="A15" s="41">
        <v>3</v>
      </c>
      <c r="B15" s="227" t="s">
        <v>345</v>
      </c>
      <c r="C15" s="45">
        <v>13</v>
      </c>
      <c r="D15" s="45">
        <v>12</v>
      </c>
      <c r="E15" s="45"/>
      <c r="F15" s="45">
        <v>13</v>
      </c>
      <c r="G15" s="232" t="s">
        <v>75</v>
      </c>
    </row>
    <row r="16" spans="1:7" s="43" customFormat="1" x14ac:dyDescent="0.2">
      <c r="A16" s="41">
        <v>4</v>
      </c>
      <c r="B16" s="46"/>
      <c r="C16" s="45">
        <v>0</v>
      </c>
      <c r="D16" s="45"/>
      <c r="E16" s="45">
        <v>0</v>
      </c>
      <c r="F16" s="45"/>
      <c r="G16" s="153"/>
    </row>
    <row r="17" spans="1:9" s="43" customFormat="1" x14ac:dyDescent="0.2">
      <c r="A17" s="47"/>
      <c r="B17" s="48"/>
      <c r="C17" s="49"/>
      <c r="D17" s="49"/>
      <c r="E17" s="49"/>
      <c r="F17" s="50"/>
      <c r="G17" s="51"/>
    </row>
    <row r="18" spans="1:9" s="43" customFormat="1" x14ac:dyDescent="0.2">
      <c r="A18" s="283" t="s">
        <v>78</v>
      </c>
      <c r="B18" s="285"/>
      <c r="C18" s="42" t="s">
        <v>70</v>
      </c>
      <c r="D18" s="42" t="s">
        <v>71</v>
      </c>
      <c r="E18" s="42" t="s">
        <v>72</v>
      </c>
      <c r="F18" s="42" t="s">
        <v>73</v>
      </c>
      <c r="G18" s="42" t="s">
        <v>19</v>
      </c>
    </row>
    <row r="19" spans="1:9" s="43" customFormat="1" x14ac:dyDescent="0.2">
      <c r="A19" s="41">
        <v>1</v>
      </c>
      <c r="B19" s="247" t="s">
        <v>346</v>
      </c>
      <c r="C19" s="45">
        <v>13</v>
      </c>
      <c r="D19" s="45">
        <v>13</v>
      </c>
      <c r="E19" s="45"/>
      <c r="F19" s="45"/>
      <c r="G19" s="232" t="s">
        <v>74</v>
      </c>
    </row>
    <row r="20" spans="1:9" s="43" customFormat="1" x14ac:dyDescent="0.2">
      <c r="A20" s="41">
        <v>2</v>
      </c>
      <c r="B20" s="227" t="s">
        <v>347</v>
      </c>
      <c r="C20" s="45">
        <v>13</v>
      </c>
      <c r="D20" s="45">
        <v>3</v>
      </c>
      <c r="E20" s="45"/>
      <c r="F20" s="45">
        <v>6</v>
      </c>
      <c r="G20" s="232" t="s">
        <v>76</v>
      </c>
    </row>
    <row r="21" spans="1:9" s="43" customFormat="1" x14ac:dyDescent="0.2">
      <c r="A21" s="41">
        <v>3</v>
      </c>
      <c r="B21" s="227" t="s">
        <v>348</v>
      </c>
      <c r="C21" s="45">
        <v>8</v>
      </c>
      <c r="D21" s="45"/>
      <c r="E21" s="45">
        <v>13</v>
      </c>
      <c r="F21" s="45">
        <v>13</v>
      </c>
      <c r="G21" s="232" t="s">
        <v>75</v>
      </c>
    </row>
    <row r="22" spans="1:9" s="43" customFormat="1" x14ac:dyDescent="0.2">
      <c r="A22" s="41">
        <v>4</v>
      </c>
      <c r="B22" s="246" t="s">
        <v>349</v>
      </c>
      <c r="C22" s="45">
        <v>8</v>
      </c>
      <c r="D22" s="45"/>
      <c r="E22" s="45">
        <v>9</v>
      </c>
      <c r="F22" s="45"/>
      <c r="G22" s="232" t="s">
        <v>98</v>
      </c>
    </row>
    <row r="23" spans="1:9" x14ac:dyDescent="0.2">
      <c r="C23" s="148"/>
      <c r="D23" s="148"/>
      <c r="E23" s="148"/>
      <c r="F23" s="148"/>
      <c r="G23" s="148"/>
      <c r="H23" s="148"/>
      <c r="I23" s="148"/>
    </row>
    <row r="24" spans="1:9" s="63" customFormat="1" x14ac:dyDescent="0.2">
      <c r="A24" s="62" t="s">
        <v>101</v>
      </c>
      <c r="C24" s="159"/>
      <c r="D24" s="159"/>
      <c r="E24" s="159"/>
      <c r="F24" s="159"/>
      <c r="G24" s="159"/>
      <c r="H24" s="159"/>
      <c r="I24" s="159"/>
    </row>
    <row r="25" spans="1:9" s="63" customFormat="1" x14ac:dyDescent="0.2">
      <c r="A25" s="62"/>
      <c r="C25" s="159"/>
      <c r="D25" s="159"/>
      <c r="E25" s="159"/>
      <c r="F25" s="159"/>
      <c r="G25" s="159"/>
      <c r="H25" s="159"/>
      <c r="I25" s="159"/>
    </row>
    <row r="26" spans="1:9" s="63" customFormat="1" x14ac:dyDescent="0.2">
      <c r="A26" s="85" t="s">
        <v>82</v>
      </c>
      <c r="B26" s="63" t="s">
        <v>342</v>
      </c>
      <c r="C26" s="69">
        <v>13</v>
      </c>
      <c r="D26" s="159"/>
      <c r="E26" s="159"/>
      <c r="F26" s="159"/>
      <c r="G26" s="159"/>
      <c r="H26" s="159"/>
      <c r="I26" s="159"/>
    </row>
    <row r="27" spans="1:9" s="63" customFormat="1" x14ac:dyDescent="0.2">
      <c r="A27" s="85"/>
      <c r="B27" s="65"/>
      <c r="C27" s="67" t="s">
        <v>342</v>
      </c>
      <c r="D27" s="160"/>
      <c r="E27" s="159"/>
      <c r="F27" s="69">
        <v>13</v>
      </c>
      <c r="G27" s="159"/>
      <c r="H27" s="159"/>
      <c r="I27" s="159"/>
    </row>
    <row r="28" spans="1:9" s="63" customFormat="1" x14ac:dyDescent="0.2">
      <c r="A28" s="85"/>
      <c r="B28" s="252" t="s">
        <v>102</v>
      </c>
      <c r="C28" s="70">
        <v>0</v>
      </c>
      <c r="D28" s="159"/>
      <c r="E28" s="66"/>
      <c r="F28" s="159"/>
      <c r="G28" s="159"/>
      <c r="H28" s="159"/>
      <c r="I28" s="159"/>
    </row>
    <row r="29" spans="1:9" s="63" customFormat="1" x14ac:dyDescent="0.2">
      <c r="A29" s="85"/>
      <c r="C29" s="159"/>
      <c r="D29" s="162"/>
      <c r="E29" s="72"/>
      <c r="F29" s="159" t="s">
        <v>342</v>
      </c>
      <c r="G29" s="159"/>
      <c r="H29" s="159"/>
      <c r="I29" s="235" t="s">
        <v>368</v>
      </c>
    </row>
    <row r="30" spans="1:9" s="63" customFormat="1" x14ac:dyDescent="0.2">
      <c r="A30" s="85" t="s">
        <v>81</v>
      </c>
      <c r="B30" s="60" t="s">
        <v>345</v>
      </c>
      <c r="C30" s="149">
        <v>13</v>
      </c>
      <c r="D30" s="159"/>
      <c r="E30" s="72"/>
      <c r="F30" s="65"/>
      <c r="G30" s="65"/>
      <c r="H30" s="66"/>
      <c r="I30" s="159"/>
    </row>
    <row r="31" spans="1:9" s="63" customFormat="1" x14ac:dyDescent="0.2">
      <c r="A31" s="85"/>
      <c r="B31" s="65"/>
      <c r="C31" s="74" t="s">
        <v>345</v>
      </c>
      <c r="D31" s="159"/>
      <c r="E31" s="75"/>
      <c r="F31" s="149">
        <v>8</v>
      </c>
      <c r="G31" s="162"/>
      <c r="H31" s="72"/>
      <c r="I31" s="159"/>
    </row>
    <row r="32" spans="1:9" s="63" customFormat="1" x14ac:dyDescent="0.2">
      <c r="A32" s="85" t="s">
        <v>83</v>
      </c>
      <c r="B32" s="58" t="s">
        <v>348</v>
      </c>
      <c r="C32" s="82">
        <v>9</v>
      </c>
      <c r="D32" s="65"/>
      <c r="E32" s="159"/>
      <c r="F32" s="162"/>
      <c r="G32" s="162"/>
      <c r="H32" s="72"/>
      <c r="I32" s="159"/>
    </row>
    <row r="33" spans="1:11" s="63" customFormat="1" ht="13.5" thickBot="1" x14ac:dyDescent="0.25">
      <c r="A33" s="85"/>
      <c r="C33" s="159"/>
      <c r="D33" s="159"/>
      <c r="E33" s="159"/>
      <c r="F33" s="162"/>
      <c r="G33" s="162"/>
      <c r="H33" s="72"/>
      <c r="I33" s="159"/>
      <c r="J33" s="63" t="s">
        <v>346</v>
      </c>
    </row>
    <row r="34" spans="1:11" s="63" customFormat="1" x14ac:dyDescent="0.2">
      <c r="A34" s="85" t="s">
        <v>84</v>
      </c>
      <c r="B34" s="63" t="s">
        <v>343</v>
      </c>
      <c r="C34" s="69">
        <v>7</v>
      </c>
      <c r="D34" s="159"/>
      <c r="E34" s="159"/>
      <c r="F34" s="162"/>
      <c r="G34" s="162"/>
      <c r="H34" s="72"/>
      <c r="I34" s="76"/>
      <c r="J34" s="77" t="s">
        <v>85</v>
      </c>
      <c r="K34" s="78"/>
    </row>
    <row r="35" spans="1:11" s="63" customFormat="1" x14ac:dyDescent="0.2">
      <c r="A35" s="85"/>
      <c r="B35" s="65"/>
      <c r="C35" s="67" t="s">
        <v>341</v>
      </c>
      <c r="D35" s="160"/>
      <c r="E35" s="159"/>
      <c r="F35" s="149">
        <v>11</v>
      </c>
      <c r="G35" s="162"/>
      <c r="H35" s="72"/>
      <c r="I35" s="159"/>
    </row>
    <row r="36" spans="1:11" s="63" customFormat="1" ht="13.5" thickBot="1" x14ac:dyDescent="0.25">
      <c r="A36" s="85" t="s">
        <v>89</v>
      </c>
      <c r="B36" s="68" t="s">
        <v>341</v>
      </c>
      <c r="C36" s="238">
        <v>13</v>
      </c>
      <c r="D36" s="239"/>
      <c r="E36" s="240"/>
      <c r="F36" s="73"/>
      <c r="G36" s="73"/>
      <c r="H36" s="241"/>
      <c r="I36" s="239"/>
      <c r="J36" s="254" t="s">
        <v>342</v>
      </c>
      <c r="K36" s="79"/>
    </row>
    <row r="37" spans="1:11" s="63" customFormat="1" x14ac:dyDescent="0.2">
      <c r="A37" s="85"/>
      <c r="C37" s="239"/>
      <c r="D37" s="73"/>
      <c r="E37" s="241"/>
      <c r="F37" s="60" t="s">
        <v>346</v>
      </c>
      <c r="G37" s="60"/>
      <c r="H37" s="158"/>
      <c r="I37" s="113">
        <v>13</v>
      </c>
      <c r="J37" s="77" t="s">
        <v>87</v>
      </c>
    </row>
    <row r="38" spans="1:11" s="63" customFormat="1" x14ac:dyDescent="0.2">
      <c r="A38" s="85" t="s">
        <v>88</v>
      </c>
      <c r="B38" s="63" t="s">
        <v>346</v>
      </c>
      <c r="C38" s="80">
        <v>13</v>
      </c>
      <c r="D38" s="239"/>
      <c r="E38" s="241"/>
      <c r="F38" s="239"/>
      <c r="G38" s="239"/>
      <c r="H38" s="239"/>
      <c r="I38" s="239"/>
    </row>
    <row r="39" spans="1:11" s="63" customFormat="1" x14ac:dyDescent="0.2">
      <c r="A39" s="85"/>
      <c r="B39" s="65"/>
      <c r="C39" s="242" t="s">
        <v>346</v>
      </c>
      <c r="D39" s="239"/>
      <c r="E39" s="158"/>
      <c r="F39" s="113">
        <v>13</v>
      </c>
      <c r="G39" s="239"/>
      <c r="H39" s="239"/>
      <c r="I39" s="239"/>
    </row>
    <row r="40" spans="1:11" s="63" customFormat="1" x14ac:dyDescent="0.2">
      <c r="A40" s="85"/>
      <c r="B40" s="255" t="s">
        <v>102</v>
      </c>
      <c r="C40" s="245">
        <v>0</v>
      </c>
      <c r="D40" s="243"/>
      <c r="E40" s="239"/>
      <c r="F40" s="239"/>
      <c r="G40" s="239"/>
      <c r="H40" s="239"/>
      <c r="I40" s="239"/>
    </row>
    <row r="41" spans="1:11" s="63" customFormat="1" x14ac:dyDescent="0.2">
      <c r="C41" s="239"/>
      <c r="D41" s="239"/>
      <c r="E41" s="239"/>
      <c r="F41" s="239" t="s">
        <v>345</v>
      </c>
      <c r="G41" s="239"/>
      <c r="H41" s="239"/>
      <c r="I41" s="80">
        <v>4</v>
      </c>
      <c r="J41" s="71"/>
      <c r="K41" s="71"/>
    </row>
    <row r="42" spans="1:11" s="63" customFormat="1" ht="13.5" thickBot="1" x14ac:dyDescent="0.25">
      <c r="C42" s="239"/>
      <c r="D42" s="239"/>
      <c r="E42" s="239"/>
      <c r="F42" s="243"/>
      <c r="G42" s="243"/>
      <c r="H42" s="240"/>
      <c r="I42" s="244"/>
      <c r="J42" s="79" t="s">
        <v>341</v>
      </c>
      <c r="K42" s="79"/>
    </row>
    <row r="43" spans="1:11" s="63" customFormat="1" x14ac:dyDescent="0.2">
      <c r="C43" s="239"/>
      <c r="D43" s="239"/>
      <c r="E43" s="239"/>
      <c r="F43" s="60" t="s">
        <v>341</v>
      </c>
      <c r="G43" s="60"/>
      <c r="H43" s="158"/>
      <c r="I43" s="113">
        <v>13</v>
      </c>
      <c r="J43" s="81" t="s">
        <v>90</v>
      </c>
      <c r="K43" s="71"/>
    </row>
    <row r="44" spans="1:11" s="63" customFormat="1" x14ac:dyDescent="0.2">
      <c r="C44" s="159"/>
      <c r="D44" s="159"/>
      <c r="E44" s="159"/>
      <c r="F44" s="159"/>
      <c r="G44" s="159"/>
      <c r="H44" s="159"/>
      <c r="I44" s="159"/>
      <c r="J44" s="71"/>
      <c r="K44" s="71"/>
    </row>
    <row r="45" spans="1:11" s="63" customFormat="1" ht="13.5" thickBot="1" x14ac:dyDescent="0.25">
      <c r="C45" s="159"/>
      <c r="D45" s="159"/>
      <c r="E45" s="159"/>
      <c r="F45" s="159"/>
      <c r="G45" s="162"/>
      <c r="H45" s="162"/>
      <c r="I45" s="159"/>
      <c r="J45" s="79" t="s">
        <v>345</v>
      </c>
      <c r="K45" s="79"/>
    </row>
    <row r="46" spans="1:11" s="63" customFormat="1" x14ac:dyDescent="0.2">
      <c r="C46" s="253" t="s">
        <v>102</v>
      </c>
      <c r="D46" s="159"/>
      <c r="E46" s="159"/>
      <c r="F46" s="69">
        <v>0</v>
      </c>
      <c r="G46" s="159"/>
      <c r="H46" s="159"/>
      <c r="I46" s="159"/>
      <c r="J46" s="64" t="s">
        <v>91</v>
      </c>
    </row>
    <row r="47" spans="1:11" s="63" customFormat="1" x14ac:dyDescent="0.2">
      <c r="C47" s="65"/>
      <c r="D47" s="65"/>
      <c r="E47" s="66"/>
      <c r="F47" s="67" t="s">
        <v>348</v>
      </c>
      <c r="G47" s="160"/>
      <c r="H47" s="160"/>
      <c r="I47" s="69">
        <v>7</v>
      </c>
    </row>
    <row r="48" spans="1:11" s="63" customFormat="1" x14ac:dyDescent="0.2">
      <c r="C48" s="160" t="s">
        <v>348</v>
      </c>
      <c r="D48" s="160"/>
      <c r="E48" s="75"/>
      <c r="F48" s="70">
        <v>13</v>
      </c>
      <c r="G48" s="159"/>
      <c r="H48" s="72"/>
      <c r="I48" s="159"/>
    </row>
    <row r="49" spans="1:11" s="63" customFormat="1" ht="13.5" thickBot="1" x14ac:dyDescent="0.25">
      <c r="C49" s="159"/>
      <c r="D49" s="159"/>
      <c r="E49" s="159"/>
      <c r="F49" s="162"/>
      <c r="G49" s="159"/>
      <c r="H49" s="72"/>
      <c r="I49" s="159"/>
      <c r="J49" s="63" t="s">
        <v>343</v>
      </c>
    </row>
    <row r="50" spans="1:11" s="63" customFormat="1" x14ac:dyDescent="0.2">
      <c r="C50" s="159" t="s">
        <v>343</v>
      </c>
      <c r="D50" s="159"/>
      <c r="E50" s="159"/>
      <c r="F50" s="149">
        <v>13</v>
      </c>
      <c r="G50" s="159"/>
      <c r="H50" s="72"/>
      <c r="I50" s="76"/>
      <c r="J50" s="77" t="s">
        <v>92</v>
      </c>
      <c r="K50" s="78"/>
    </row>
    <row r="51" spans="1:11" s="63" customFormat="1" x14ac:dyDescent="0.2">
      <c r="C51" s="65"/>
      <c r="D51" s="65"/>
      <c r="E51" s="66"/>
      <c r="F51" s="74" t="s">
        <v>343</v>
      </c>
      <c r="G51" s="159"/>
      <c r="H51" s="75"/>
      <c r="I51" s="149">
        <v>13</v>
      </c>
    </row>
    <row r="52" spans="1:11" s="63" customFormat="1" ht="13.5" thickBot="1" x14ac:dyDescent="0.25">
      <c r="C52" s="255" t="s">
        <v>102</v>
      </c>
      <c r="D52" s="160"/>
      <c r="E52" s="75"/>
      <c r="F52" s="82">
        <v>0</v>
      </c>
      <c r="G52" s="65"/>
      <c r="H52" s="159"/>
      <c r="I52" s="162"/>
      <c r="J52" s="71" t="s">
        <v>348</v>
      </c>
      <c r="K52" s="79"/>
    </row>
    <row r="53" spans="1:11" s="63" customFormat="1" x14ac:dyDescent="0.2">
      <c r="C53" s="159"/>
      <c r="D53" s="159"/>
      <c r="E53" s="159"/>
      <c r="F53" s="159"/>
      <c r="G53" s="159"/>
      <c r="H53" s="159"/>
      <c r="I53" s="162"/>
      <c r="J53" s="77" t="s">
        <v>93</v>
      </c>
      <c r="K53" s="71"/>
    </row>
    <row r="54" spans="1:11" s="63" customFormat="1" x14ac:dyDescent="0.2">
      <c r="C54" s="159"/>
      <c r="D54" s="159"/>
      <c r="E54" s="159"/>
      <c r="F54" s="159"/>
      <c r="G54" s="159"/>
      <c r="H54" s="159"/>
      <c r="I54" s="162"/>
      <c r="J54" s="81"/>
      <c r="K54" s="71"/>
    </row>
    <row r="55" spans="1:11" s="63" customFormat="1" x14ac:dyDescent="0.2">
      <c r="A55" s="62" t="s">
        <v>369</v>
      </c>
      <c r="C55" s="159"/>
      <c r="D55" s="159"/>
      <c r="E55" s="159"/>
      <c r="F55" s="159"/>
      <c r="G55" s="159"/>
      <c r="H55" s="159"/>
      <c r="I55" s="162"/>
      <c r="J55" s="81"/>
      <c r="K55" s="71"/>
    </row>
    <row r="56" spans="1:11" s="159" customFormat="1" x14ac:dyDescent="0.2">
      <c r="A56" s="62"/>
      <c r="I56" s="162"/>
      <c r="J56" s="81"/>
      <c r="K56" s="162"/>
    </row>
    <row r="57" spans="1:11" s="56" customFormat="1" x14ac:dyDescent="0.2">
      <c r="A57" s="55"/>
    </row>
    <row r="58" spans="1:11" s="56" customFormat="1" x14ac:dyDescent="0.2">
      <c r="A58" s="233" t="s">
        <v>372</v>
      </c>
      <c r="B58" s="56" t="s">
        <v>349</v>
      </c>
      <c r="C58" s="256">
        <v>13</v>
      </c>
    </row>
    <row r="59" spans="1:11" s="56" customFormat="1" x14ac:dyDescent="0.2">
      <c r="A59" s="276"/>
      <c r="B59" s="257"/>
      <c r="C59" s="258" t="s">
        <v>349</v>
      </c>
      <c r="D59" s="259"/>
      <c r="F59" s="256">
        <v>2</v>
      </c>
    </row>
    <row r="60" spans="1:11" s="56" customFormat="1" x14ac:dyDescent="0.2">
      <c r="A60" s="233" t="s">
        <v>104</v>
      </c>
      <c r="B60" s="252" t="s">
        <v>128</v>
      </c>
      <c r="C60" s="268">
        <v>10</v>
      </c>
      <c r="E60" s="260"/>
    </row>
    <row r="61" spans="1:11" s="56" customFormat="1" x14ac:dyDescent="0.2">
      <c r="A61" s="276"/>
      <c r="D61" s="59"/>
      <c r="E61" s="261"/>
      <c r="F61" s="56" t="s">
        <v>344</v>
      </c>
      <c r="I61" s="256">
        <v>9</v>
      </c>
    </row>
    <row r="62" spans="1:11" s="56" customFormat="1" x14ac:dyDescent="0.2">
      <c r="A62" s="233" t="s">
        <v>105</v>
      </c>
      <c r="B62" s="60" t="s">
        <v>344</v>
      </c>
      <c r="C62" s="262">
        <v>13</v>
      </c>
      <c r="E62" s="261"/>
      <c r="F62" s="257"/>
      <c r="G62" s="257"/>
      <c r="H62" s="260"/>
    </row>
    <row r="63" spans="1:11" s="56" customFormat="1" x14ac:dyDescent="0.2">
      <c r="A63" s="276"/>
      <c r="B63" s="257"/>
      <c r="C63" s="274" t="s">
        <v>344</v>
      </c>
      <c r="E63" s="264"/>
      <c r="F63" s="262">
        <v>13</v>
      </c>
      <c r="G63" s="59"/>
      <c r="H63" s="261"/>
    </row>
    <row r="64" spans="1:11" s="56" customFormat="1" x14ac:dyDescent="0.2">
      <c r="A64" s="233"/>
      <c r="B64" s="252" t="s">
        <v>102</v>
      </c>
      <c r="C64" s="270">
        <v>0</v>
      </c>
      <c r="D64" s="257"/>
      <c r="F64" s="59"/>
      <c r="G64" s="59"/>
      <c r="H64" s="261"/>
    </row>
    <row r="65" spans="1:11" s="56" customFormat="1" ht="13.5" thickBot="1" x14ac:dyDescent="0.25">
      <c r="A65" s="276"/>
      <c r="F65" s="59"/>
      <c r="G65" s="59"/>
      <c r="H65" s="261"/>
      <c r="J65" s="56" t="s">
        <v>340</v>
      </c>
    </row>
    <row r="66" spans="1:11" s="56" customFormat="1" x14ac:dyDescent="0.2">
      <c r="A66" s="233" t="s">
        <v>106</v>
      </c>
      <c r="B66" s="56" t="s">
        <v>347</v>
      </c>
      <c r="C66" s="256">
        <v>13</v>
      </c>
      <c r="F66" s="59"/>
      <c r="G66" s="59"/>
      <c r="H66" s="261"/>
      <c r="I66" s="265"/>
      <c r="J66" s="266" t="s">
        <v>94</v>
      </c>
      <c r="K66" s="267"/>
    </row>
    <row r="67" spans="1:11" s="56" customFormat="1" x14ac:dyDescent="0.2">
      <c r="A67" s="276"/>
      <c r="B67" s="257"/>
      <c r="C67" s="258" t="s">
        <v>347</v>
      </c>
      <c r="D67" s="259"/>
      <c r="F67" s="262">
        <v>12</v>
      </c>
      <c r="G67" s="59"/>
      <c r="H67" s="261"/>
    </row>
    <row r="68" spans="1:11" s="56" customFormat="1" ht="13.5" thickBot="1" x14ac:dyDescent="0.25">
      <c r="A68" s="233"/>
      <c r="B68" s="273" t="s">
        <v>102</v>
      </c>
      <c r="C68" s="268">
        <v>0</v>
      </c>
      <c r="E68" s="260"/>
      <c r="F68" s="59"/>
      <c r="G68" s="59"/>
      <c r="H68" s="261"/>
      <c r="J68" s="269" t="s">
        <v>344</v>
      </c>
      <c r="K68" s="269"/>
    </row>
    <row r="69" spans="1:11" s="56" customFormat="1" x14ac:dyDescent="0.2">
      <c r="A69" s="276"/>
      <c r="D69" s="59"/>
      <c r="E69" s="261"/>
      <c r="F69" s="259" t="s">
        <v>340</v>
      </c>
      <c r="G69" s="259"/>
      <c r="H69" s="264"/>
      <c r="I69" s="256">
        <v>13</v>
      </c>
      <c r="J69" s="266" t="s">
        <v>95</v>
      </c>
    </row>
    <row r="70" spans="1:11" s="56" customFormat="1" x14ac:dyDescent="0.2">
      <c r="A70" s="233" t="s">
        <v>103</v>
      </c>
      <c r="B70" s="56" t="s">
        <v>340</v>
      </c>
      <c r="C70" s="262">
        <v>13</v>
      </c>
      <c r="E70" s="261"/>
    </row>
    <row r="71" spans="1:11" s="56" customFormat="1" x14ac:dyDescent="0.2">
      <c r="A71" s="276"/>
      <c r="B71" s="257"/>
      <c r="C71" s="263" t="s">
        <v>340</v>
      </c>
      <c r="E71" s="264"/>
      <c r="F71" s="256">
        <v>13</v>
      </c>
    </row>
    <row r="72" spans="1:11" s="56" customFormat="1" x14ac:dyDescent="0.2">
      <c r="A72" s="233"/>
      <c r="B72" s="273" t="s">
        <v>102</v>
      </c>
      <c r="C72" s="270">
        <v>0</v>
      </c>
      <c r="D72" s="257"/>
    </row>
    <row r="73" spans="1:11" s="56" customFormat="1" x14ac:dyDescent="0.2">
      <c r="F73" s="272" t="s">
        <v>349</v>
      </c>
      <c r="I73" s="262">
        <v>13</v>
      </c>
      <c r="J73" s="59"/>
      <c r="K73" s="59"/>
    </row>
    <row r="74" spans="1:11" s="56" customFormat="1" ht="13.5" thickBot="1" x14ac:dyDescent="0.25">
      <c r="F74" s="257"/>
      <c r="G74" s="257"/>
      <c r="H74" s="260"/>
      <c r="I74" s="269"/>
      <c r="J74" s="269" t="s">
        <v>349</v>
      </c>
      <c r="K74" s="269"/>
    </row>
    <row r="75" spans="1:11" s="56" customFormat="1" x14ac:dyDescent="0.2">
      <c r="F75" s="259" t="s">
        <v>347</v>
      </c>
      <c r="G75" s="259"/>
      <c r="H75" s="264"/>
      <c r="I75" s="256">
        <v>5</v>
      </c>
      <c r="J75" s="271" t="s">
        <v>107</v>
      </c>
      <c r="K75" s="59"/>
    </row>
    <row r="76" spans="1:11" s="56" customFormat="1" x14ac:dyDescent="0.2">
      <c r="J76" s="59"/>
      <c r="K76" s="59"/>
    </row>
    <row r="77" spans="1:11" s="56" customFormat="1" ht="13.5" thickBot="1" x14ac:dyDescent="0.25">
      <c r="G77" s="59"/>
      <c r="H77" s="59"/>
      <c r="J77" s="269" t="s">
        <v>347</v>
      </c>
      <c r="K77" s="269"/>
    </row>
    <row r="78" spans="1:11" s="56" customFormat="1" x14ac:dyDescent="0.2">
      <c r="C78" s="56" t="s">
        <v>128</v>
      </c>
      <c r="F78" s="275">
        <v>13</v>
      </c>
      <c r="J78" s="57" t="s">
        <v>108</v>
      </c>
    </row>
    <row r="79" spans="1:11" s="56" customFormat="1" x14ac:dyDescent="0.2">
      <c r="C79" s="257"/>
      <c r="D79" s="257"/>
      <c r="E79" s="260"/>
      <c r="F79" s="258" t="s">
        <v>128</v>
      </c>
      <c r="G79" s="259"/>
      <c r="H79" s="259"/>
      <c r="I79" s="256">
        <v>13</v>
      </c>
    </row>
    <row r="80" spans="1:11" s="56" customFormat="1" x14ac:dyDescent="0.2">
      <c r="C80" s="59"/>
      <c r="D80" s="259"/>
      <c r="E80" s="264"/>
      <c r="F80" s="270">
        <v>0</v>
      </c>
      <c r="H80" s="261"/>
    </row>
    <row r="81" spans="1:11" s="56" customFormat="1" ht="13.5" thickBot="1" x14ac:dyDescent="0.25">
      <c r="A81" s="101">
        <v>1</v>
      </c>
      <c r="B81" s="102" t="s">
        <v>346</v>
      </c>
      <c r="C81" s="59"/>
      <c r="F81" s="59"/>
      <c r="H81" s="261"/>
      <c r="J81" s="272" t="s">
        <v>128</v>
      </c>
    </row>
    <row r="82" spans="1:11" s="56" customFormat="1" x14ac:dyDescent="0.2">
      <c r="A82" s="101">
        <v>2</v>
      </c>
      <c r="B82" s="103" t="s">
        <v>342</v>
      </c>
      <c r="C82" s="59"/>
      <c r="F82" s="262"/>
      <c r="H82" s="261"/>
      <c r="I82" s="265"/>
      <c r="J82" s="266" t="s">
        <v>109</v>
      </c>
      <c r="K82" s="267"/>
    </row>
    <row r="83" spans="1:11" s="56" customFormat="1" x14ac:dyDescent="0.2">
      <c r="A83" s="101">
        <v>3</v>
      </c>
      <c r="B83" s="104" t="s">
        <v>341</v>
      </c>
      <c r="C83" s="59"/>
      <c r="D83" s="257"/>
      <c r="E83" s="260"/>
      <c r="F83" s="263"/>
      <c r="H83" s="264"/>
      <c r="I83" s="262">
        <v>0</v>
      </c>
    </row>
    <row r="84" spans="1:11" s="56" customFormat="1" ht="13.5" thickBot="1" x14ac:dyDescent="0.25">
      <c r="A84" s="101">
        <v>4</v>
      </c>
      <c r="B84" s="105" t="s">
        <v>345</v>
      </c>
      <c r="C84" s="59"/>
      <c r="D84" s="259"/>
      <c r="E84" s="264"/>
      <c r="F84" s="270"/>
      <c r="G84" s="257"/>
      <c r="I84" s="59"/>
      <c r="J84" s="59"/>
      <c r="K84" s="269"/>
    </row>
    <row r="85" spans="1:11" s="56" customFormat="1" x14ac:dyDescent="0.2">
      <c r="A85" s="101">
        <v>5</v>
      </c>
      <c r="B85" s="105" t="s">
        <v>343</v>
      </c>
      <c r="C85" s="59"/>
      <c r="I85" s="59"/>
      <c r="J85" s="266" t="s">
        <v>127</v>
      </c>
      <c r="K85" s="59"/>
    </row>
    <row r="86" spans="1:11" s="56" customFormat="1" x14ac:dyDescent="0.2">
      <c r="A86" s="101">
        <v>6</v>
      </c>
      <c r="B86" s="105" t="s">
        <v>348</v>
      </c>
      <c r="I86" s="262"/>
      <c r="J86" s="59"/>
      <c r="K86" s="59"/>
    </row>
    <row r="87" spans="1:11" s="56" customFormat="1" ht="13.5" thickBot="1" x14ac:dyDescent="0.25">
      <c r="A87" s="101">
        <v>7</v>
      </c>
      <c r="B87" s="105" t="s">
        <v>340</v>
      </c>
      <c r="F87" s="257"/>
      <c r="G87" s="257"/>
      <c r="H87" s="260"/>
      <c r="I87" s="269"/>
      <c r="J87" s="269"/>
      <c r="K87" s="269"/>
    </row>
    <row r="88" spans="1:11" s="56" customFormat="1" x14ac:dyDescent="0.2">
      <c r="A88" s="101">
        <v>8</v>
      </c>
      <c r="B88" s="105" t="s">
        <v>344</v>
      </c>
      <c r="F88" s="259"/>
      <c r="G88" s="259"/>
      <c r="H88" s="264"/>
      <c r="I88" s="256"/>
      <c r="J88" s="271" t="s">
        <v>370</v>
      </c>
      <c r="K88" s="59"/>
    </row>
    <row r="89" spans="1:11" s="56" customFormat="1" x14ac:dyDescent="0.2">
      <c r="A89" s="101">
        <v>9</v>
      </c>
      <c r="B89" s="106" t="s">
        <v>349</v>
      </c>
      <c r="J89" s="59"/>
      <c r="K89" s="59"/>
    </row>
    <row r="90" spans="1:11" s="56" customFormat="1" ht="13.5" thickBot="1" x14ac:dyDescent="0.25">
      <c r="A90" s="101">
        <v>10</v>
      </c>
      <c r="B90" s="54" t="s">
        <v>347</v>
      </c>
      <c r="G90" s="59"/>
      <c r="H90" s="59"/>
      <c r="J90" s="269"/>
      <c r="K90" s="269"/>
    </row>
    <row r="91" spans="1:11" s="56" customFormat="1" x14ac:dyDescent="0.2">
      <c r="A91" s="101">
        <v>11</v>
      </c>
      <c r="B91" s="54" t="s">
        <v>128</v>
      </c>
      <c r="G91" s="59"/>
      <c r="H91" s="59"/>
      <c r="J91" s="57" t="s">
        <v>371</v>
      </c>
    </row>
    <row r="92" spans="1:11" s="63" customFormat="1" x14ac:dyDescent="0.2"/>
  </sheetData>
  <conditionalFormatting sqref="C6:I91">
    <cfRule type="cellIs" dxfId="267" priority="2" operator="equal">
      <formula>13</formula>
    </cfRule>
  </conditionalFormatting>
  <conditionalFormatting sqref="J81">
    <cfRule type="cellIs" dxfId="266" priority="1"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2" max="16383" man="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K84"/>
  <sheetViews>
    <sheetView showGridLines="0" showRowColHeaders="0" zoomScaleNormal="100" workbookViewId="0">
      <pane ySplit="2" topLeftCell="A3" activePane="bottomLeft" state="frozen"/>
      <selection activeCell="G1" sqref="G1"/>
      <selection pane="bottomLeft" activeCell="H1" sqref="H1"/>
    </sheetView>
  </sheetViews>
  <sheetFormatPr defaultRowHeight="12.75" x14ac:dyDescent="0.2"/>
  <cols>
    <col min="1" max="1" width="5.5703125" style="148" customWidth="1"/>
    <col min="2" max="2" width="36.7109375" style="148" bestFit="1" customWidth="1"/>
    <col min="3" max="3" width="7.28515625" style="148" bestFit="1" customWidth="1"/>
    <col min="4" max="4" width="7.42578125" style="148" bestFit="1" customWidth="1"/>
    <col min="5" max="5" width="9.140625" style="148"/>
    <col min="6" max="6" width="6.7109375" style="148" bestFit="1" customWidth="1"/>
    <col min="7" max="7" width="5.140625" style="148" bestFit="1" customWidth="1"/>
    <col min="8" max="8" width="5.140625" style="148" customWidth="1"/>
    <col min="9" max="9" width="4.7109375" style="148" customWidth="1"/>
    <col min="10" max="13" width="9.140625" style="148" customWidth="1"/>
    <col min="14" max="16" width="2.7109375" style="148" customWidth="1"/>
    <col min="17" max="16384" width="9.140625" style="148"/>
  </cols>
  <sheetData>
    <row r="1" spans="1:7" x14ac:dyDescent="0.2">
      <c r="A1" s="138" t="str">
        <f>UPPER((Kalend!D13)&amp;" - "&amp;(Kalend!C13)&amp;" - "&amp;(Kalend!E13))</f>
        <v>3 - EESTI REITINGUVÕISTLUS - TRIO</v>
      </c>
      <c r="F1" s="61" t="str">
        <f>HYPERLINK("#Üldreiting!K1","Reiting")</f>
        <v>Reiting</v>
      </c>
    </row>
    <row r="2" spans="1:7" x14ac:dyDescent="0.2">
      <c r="A2" s="148" t="str">
        <f>"Toimumisaeg: "&amp;(Kalend!A13)&amp;" kell "&amp;(Kalend!B13)</f>
        <v>Toimumisaeg: P, 11.12.2016 kell 10:00</v>
      </c>
    </row>
    <row r="3" spans="1:7" x14ac:dyDescent="0.2">
      <c r="A3" s="148" t="str">
        <f>"Toimumiskoht: "&amp;(Kalend!F13)</f>
        <v>Toimumiskoht: Tallinn, Algi 38</v>
      </c>
    </row>
    <row r="4" spans="1:7" x14ac:dyDescent="0.2">
      <c r="A4" s="148" t="str">
        <f>"Korraldaja: "&amp;(Kalend!G13)</f>
        <v>Korraldaja: EPKL</v>
      </c>
    </row>
    <row r="6" spans="1:7" x14ac:dyDescent="0.2">
      <c r="A6" s="351" t="s">
        <v>394</v>
      </c>
    </row>
    <row r="8" spans="1:7" s="43" customFormat="1" x14ac:dyDescent="0.2">
      <c r="A8" s="283" t="s">
        <v>385</v>
      </c>
      <c r="B8" s="285"/>
      <c r="C8" s="42" t="s">
        <v>70</v>
      </c>
      <c r="D8" s="42" t="s">
        <v>71</v>
      </c>
      <c r="E8" s="42" t="s">
        <v>72</v>
      </c>
      <c r="F8" s="42" t="s">
        <v>73</v>
      </c>
      <c r="G8" s="42" t="s">
        <v>19</v>
      </c>
    </row>
    <row r="9" spans="1:7" s="43" customFormat="1" x14ac:dyDescent="0.2">
      <c r="A9" s="41">
        <v>1</v>
      </c>
      <c r="B9" s="227" t="s">
        <v>111</v>
      </c>
      <c r="C9" s="45">
        <v>13</v>
      </c>
      <c r="D9" s="45">
        <v>9</v>
      </c>
      <c r="E9" s="45"/>
      <c r="F9" s="45">
        <v>4</v>
      </c>
      <c r="G9" s="232" t="s">
        <v>76</v>
      </c>
    </row>
    <row r="10" spans="1:7" s="43" customFormat="1" x14ac:dyDescent="0.2">
      <c r="A10" s="41">
        <v>2</v>
      </c>
      <c r="B10" s="226" t="s">
        <v>334</v>
      </c>
      <c r="C10" s="45">
        <v>11</v>
      </c>
      <c r="D10" s="45"/>
      <c r="E10" s="45">
        <v>13</v>
      </c>
      <c r="F10" s="45">
        <v>13</v>
      </c>
      <c r="G10" s="232" t="s">
        <v>75</v>
      </c>
    </row>
    <row r="11" spans="1:7" s="43" customFormat="1" x14ac:dyDescent="0.2">
      <c r="A11" s="41">
        <v>3</v>
      </c>
      <c r="B11" s="227" t="s">
        <v>386</v>
      </c>
      <c r="C11" s="45">
        <v>13</v>
      </c>
      <c r="D11" s="45">
        <v>13</v>
      </c>
      <c r="E11" s="45"/>
      <c r="F11" s="231"/>
      <c r="G11" s="232" t="s">
        <v>74</v>
      </c>
    </row>
    <row r="12" spans="1:7" s="43" customFormat="1" x14ac:dyDescent="0.2">
      <c r="A12" s="41">
        <v>4</v>
      </c>
      <c r="B12" s="246" t="s">
        <v>387</v>
      </c>
      <c r="C12" s="45">
        <v>5</v>
      </c>
      <c r="D12" s="45"/>
      <c r="E12" s="45">
        <v>7</v>
      </c>
      <c r="F12" s="45"/>
      <c r="G12" s="232" t="s">
        <v>98</v>
      </c>
    </row>
    <row r="13" spans="1:7" s="43" customFormat="1" x14ac:dyDescent="0.2">
      <c r="A13" s="47"/>
      <c r="B13" s="48"/>
      <c r="C13" s="49"/>
      <c r="D13" s="49"/>
      <c r="E13" s="49"/>
      <c r="F13" s="50"/>
      <c r="G13" s="51"/>
    </row>
    <row r="14" spans="1:7" s="43" customFormat="1" x14ac:dyDescent="0.2">
      <c r="A14" s="283" t="s">
        <v>180</v>
      </c>
      <c r="B14" s="285"/>
      <c r="C14" s="42" t="s">
        <v>70</v>
      </c>
      <c r="D14" s="42" t="s">
        <v>71</v>
      </c>
      <c r="E14" s="42" t="s">
        <v>72</v>
      </c>
      <c r="F14" s="42" t="s">
        <v>73</v>
      </c>
      <c r="G14" s="42" t="s">
        <v>19</v>
      </c>
    </row>
    <row r="15" spans="1:7" s="43" customFormat="1" x14ac:dyDescent="0.2">
      <c r="A15" s="41">
        <v>1</v>
      </c>
      <c r="B15" s="227" t="s">
        <v>326</v>
      </c>
      <c r="C15" s="45">
        <v>12</v>
      </c>
      <c r="D15" s="45"/>
      <c r="E15" s="44">
        <v>11</v>
      </c>
      <c r="F15" s="45">
        <v>13</v>
      </c>
      <c r="G15" s="232" t="s">
        <v>75</v>
      </c>
    </row>
    <row r="16" spans="1:7" s="43" customFormat="1" x14ac:dyDescent="0.2">
      <c r="A16" s="41">
        <v>2</v>
      </c>
      <c r="B16" s="227" t="s">
        <v>124</v>
      </c>
      <c r="C16" s="45">
        <v>10</v>
      </c>
      <c r="D16" s="45"/>
      <c r="E16" s="45">
        <v>10</v>
      </c>
      <c r="F16" s="45"/>
      <c r="G16" s="232" t="s">
        <v>98</v>
      </c>
    </row>
    <row r="17" spans="1:7" s="43" customFormat="1" x14ac:dyDescent="0.2">
      <c r="A17" s="41">
        <v>3</v>
      </c>
      <c r="B17" s="227" t="s">
        <v>388</v>
      </c>
      <c r="C17" s="45">
        <v>13</v>
      </c>
      <c r="D17" s="45">
        <v>13</v>
      </c>
      <c r="E17" s="45"/>
      <c r="F17" s="45"/>
      <c r="G17" s="232" t="s">
        <v>74</v>
      </c>
    </row>
    <row r="18" spans="1:7" s="43" customFormat="1" x14ac:dyDescent="0.2">
      <c r="A18" s="41">
        <v>4</v>
      </c>
      <c r="B18" s="230" t="s">
        <v>333</v>
      </c>
      <c r="C18" s="45">
        <v>13</v>
      </c>
      <c r="D18" s="45">
        <v>4</v>
      </c>
      <c r="E18" s="45"/>
      <c r="F18" s="45"/>
      <c r="G18" s="232" t="s">
        <v>76</v>
      </c>
    </row>
    <row r="19" spans="1:7" s="43" customFormat="1" x14ac:dyDescent="0.2">
      <c r="A19" s="47"/>
      <c r="B19" s="48"/>
      <c r="C19" s="49"/>
      <c r="D19" s="49"/>
      <c r="E19" s="49"/>
      <c r="F19" s="50"/>
      <c r="G19" s="51"/>
    </row>
    <row r="20" spans="1:7" s="43" customFormat="1" x14ac:dyDescent="0.2">
      <c r="A20" s="283" t="s">
        <v>351</v>
      </c>
      <c r="B20" s="285"/>
      <c r="C20" s="42" t="s">
        <v>70</v>
      </c>
      <c r="D20" s="42" t="s">
        <v>71</v>
      </c>
      <c r="E20" s="42" t="s">
        <v>72</v>
      </c>
      <c r="F20" s="42" t="s">
        <v>73</v>
      </c>
      <c r="G20" s="42" t="s">
        <v>19</v>
      </c>
    </row>
    <row r="21" spans="1:7" s="43" customFormat="1" x14ac:dyDescent="0.2">
      <c r="A21" s="41">
        <v>1</v>
      </c>
      <c r="B21" s="247" t="s">
        <v>389</v>
      </c>
      <c r="C21" s="45">
        <v>13</v>
      </c>
      <c r="D21" s="45">
        <v>11</v>
      </c>
      <c r="E21" s="45"/>
      <c r="F21" s="45">
        <v>7</v>
      </c>
      <c r="G21" s="232" t="s">
        <v>76</v>
      </c>
    </row>
    <row r="22" spans="1:7" s="43" customFormat="1" x14ac:dyDescent="0.2">
      <c r="A22" s="41">
        <v>2</v>
      </c>
      <c r="B22" s="227" t="s">
        <v>178</v>
      </c>
      <c r="C22" s="45">
        <v>13</v>
      </c>
      <c r="D22" s="45">
        <v>13</v>
      </c>
      <c r="E22" s="45"/>
      <c r="F22" s="45"/>
      <c r="G22" s="232" t="s">
        <v>74</v>
      </c>
    </row>
    <row r="23" spans="1:7" s="43" customFormat="1" x14ac:dyDescent="0.2">
      <c r="A23" s="41">
        <v>3</v>
      </c>
      <c r="B23" s="226" t="s">
        <v>330</v>
      </c>
      <c r="C23" s="45">
        <v>8</v>
      </c>
      <c r="D23" s="45"/>
      <c r="E23" s="45">
        <v>13</v>
      </c>
      <c r="F23" s="45">
        <v>13</v>
      </c>
      <c r="G23" s="232" t="s">
        <v>75</v>
      </c>
    </row>
    <row r="24" spans="1:7" s="43" customFormat="1" x14ac:dyDescent="0.2">
      <c r="A24" s="41">
        <v>4</v>
      </c>
      <c r="B24" s="246" t="s">
        <v>390</v>
      </c>
      <c r="C24" s="45">
        <v>1</v>
      </c>
      <c r="D24" s="45"/>
      <c r="E24" s="45">
        <v>4</v>
      </c>
      <c r="F24" s="45"/>
      <c r="G24" s="232" t="s">
        <v>98</v>
      </c>
    </row>
    <row r="25" spans="1:7" s="43" customFormat="1" x14ac:dyDescent="0.2">
      <c r="A25" s="47"/>
      <c r="B25" s="48"/>
      <c r="C25" s="49"/>
      <c r="D25" s="49"/>
      <c r="E25" s="49"/>
      <c r="F25" s="50"/>
      <c r="G25" s="51"/>
    </row>
    <row r="26" spans="1:7" s="43" customFormat="1" x14ac:dyDescent="0.2">
      <c r="A26" s="283" t="s">
        <v>181</v>
      </c>
      <c r="B26" s="285"/>
      <c r="C26" s="42" t="s">
        <v>70</v>
      </c>
      <c r="D26" s="42" t="s">
        <v>71</v>
      </c>
      <c r="E26" s="42" t="s">
        <v>72</v>
      </c>
      <c r="F26" s="42" t="s">
        <v>73</v>
      </c>
      <c r="G26" s="42" t="s">
        <v>19</v>
      </c>
    </row>
    <row r="27" spans="1:7" s="43" customFormat="1" x14ac:dyDescent="0.2">
      <c r="A27" s="41">
        <v>1</v>
      </c>
      <c r="B27" s="247" t="s">
        <v>391</v>
      </c>
      <c r="C27" s="45">
        <v>5</v>
      </c>
      <c r="D27" s="45"/>
      <c r="E27" s="45">
        <v>8</v>
      </c>
      <c r="F27" s="45"/>
      <c r="G27" s="232" t="s">
        <v>98</v>
      </c>
    </row>
    <row r="28" spans="1:7" s="43" customFormat="1" x14ac:dyDescent="0.2">
      <c r="A28" s="41">
        <v>2</v>
      </c>
      <c r="B28" s="230" t="s">
        <v>99</v>
      </c>
      <c r="C28" s="45">
        <v>12</v>
      </c>
      <c r="D28" s="45"/>
      <c r="E28" s="44">
        <v>11</v>
      </c>
      <c r="F28" s="45">
        <v>13</v>
      </c>
      <c r="G28" s="232" t="s">
        <v>75</v>
      </c>
    </row>
    <row r="29" spans="1:7" s="43" customFormat="1" x14ac:dyDescent="0.2">
      <c r="A29" s="41">
        <v>3</v>
      </c>
      <c r="B29" s="227" t="s">
        <v>392</v>
      </c>
      <c r="C29" s="45">
        <v>13</v>
      </c>
      <c r="D29" s="45">
        <v>13</v>
      </c>
      <c r="E29" s="45"/>
      <c r="F29" s="45"/>
      <c r="G29" s="232" t="s">
        <v>74</v>
      </c>
    </row>
    <row r="30" spans="1:7" s="43" customFormat="1" x14ac:dyDescent="0.2">
      <c r="A30" s="41">
        <v>4</v>
      </c>
      <c r="B30" s="246" t="s">
        <v>393</v>
      </c>
      <c r="C30" s="45">
        <v>13</v>
      </c>
      <c r="D30" s="45">
        <v>11</v>
      </c>
      <c r="E30" s="45"/>
      <c r="F30" s="45">
        <v>6</v>
      </c>
      <c r="G30" s="232" t="s">
        <v>76</v>
      </c>
    </row>
    <row r="32" spans="1:7" s="159" customFormat="1" x14ac:dyDescent="0.2">
      <c r="A32" s="62" t="s">
        <v>79</v>
      </c>
    </row>
    <row r="33" spans="1:11" s="159" customFormat="1" x14ac:dyDescent="0.2">
      <c r="A33" s="62"/>
    </row>
    <row r="34" spans="1:11" s="159" customFormat="1" x14ac:dyDescent="0.2">
      <c r="A34" s="85" t="s">
        <v>80</v>
      </c>
      <c r="B34" s="159" t="s">
        <v>392</v>
      </c>
      <c r="C34" s="69">
        <v>13</v>
      </c>
    </row>
    <row r="35" spans="1:11" s="159" customFormat="1" x14ac:dyDescent="0.2">
      <c r="A35" s="85"/>
      <c r="B35" s="65"/>
      <c r="C35" s="67" t="s">
        <v>392</v>
      </c>
      <c r="D35" s="160"/>
      <c r="F35" s="69">
        <v>10</v>
      </c>
    </row>
    <row r="36" spans="1:11" s="159" customFormat="1" x14ac:dyDescent="0.2">
      <c r="A36" s="85" t="s">
        <v>83</v>
      </c>
      <c r="B36" s="252" t="s">
        <v>330</v>
      </c>
      <c r="C36" s="70">
        <v>2</v>
      </c>
      <c r="E36" s="66"/>
    </row>
    <row r="37" spans="1:11" s="159" customFormat="1" x14ac:dyDescent="0.2">
      <c r="A37" s="85"/>
      <c r="D37" s="162"/>
      <c r="E37" s="72"/>
      <c r="F37" s="159" t="s">
        <v>334</v>
      </c>
      <c r="I37" s="235">
        <v>13</v>
      </c>
    </row>
    <row r="38" spans="1:11" s="159" customFormat="1" x14ac:dyDescent="0.2">
      <c r="A38" s="85" t="s">
        <v>84</v>
      </c>
      <c r="B38" s="60" t="s">
        <v>388</v>
      </c>
      <c r="C38" s="149">
        <v>8</v>
      </c>
      <c r="E38" s="72"/>
      <c r="F38" s="65"/>
      <c r="G38" s="65"/>
      <c r="H38" s="66"/>
    </row>
    <row r="39" spans="1:11" s="159" customFormat="1" x14ac:dyDescent="0.2">
      <c r="A39" s="85"/>
      <c r="B39" s="65"/>
      <c r="C39" s="74" t="s">
        <v>334</v>
      </c>
      <c r="E39" s="75"/>
      <c r="F39" s="149">
        <v>13</v>
      </c>
      <c r="G39" s="162"/>
      <c r="H39" s="72"/>
    </row>
    <row r="40" spans="1:11" s="159" customFormat="1" x14ac:dyDescent="0.2">
      <c r="A40" s="85" t="s">
        <v>89</v>
      </c>
      <c r="B40" s="158" t="s">
        <v>334</v>
      </c>
      <c r="C40" s="82">
        <v>13</v>
      </c>
      <c r="D40" s="65"/>
      <c r="F40" s="162"/>
      <c r="G40" s="162"/>
      <c r="H40" s="72"/>
    </row>
    <row r="41" spans="1:11" s="159" customFormat="1" ht="13.5" thickBot="1" x14ac:dyDescent="0.25">
      <c r="A41" s="85"/>
      <c r="F41" s="162"/>
      <c r="G41" s="162"/>
      <c r="H41" s="72"/>
      <c r="J41" s="159" t="s">
        <v>334</v>
      </c>
    </row>
    <row r="42" spans="1:11" s="159" customFormat="1" x14ac:dyDescent="0.2">
      <c r="A42" s="85" t="s">
        <v>88</v>
      </c>
      <c r="B42" s="159" t="s">
        <v>178</v>
      </c>
      <c r="C42" s="69">
        <v>13</v>
      </c>
      <c r="F42" s="162"/>
      <c r="G42" s="162"/>
      <c r="H42" s="72"/>
      <c r="I42" s="76"/>
      <c r="J42" s="77" t="s">
        <v>85</v>
      </c>
      <c r="K42" s="78"/>
    </row>
    <row r="43" spans="1:11" s="159" customFormat="1" x14ac:dyDescent="0.2">
      <c r="A43" s="85"/>
      <c r="B43" s="65"/>
      <c r="C43" s="67" t="s">
        <v>178</v>
      </c>
      <c r="D43" s="160"/>
      <c r="F43" s="149">
        <v>8</v>
      </c>
      <c r="G43" s="162"/>
      <c r="H43" s="72"/>
    </row>
    <row r="44" spans="1:11" s="159" customFormat="1" ht="13.5" thickBot="1" x14ac:dyDescent="0.25">
      <c r="A44" s="85" t="s">
        <v>81</v>
      </c>
      <c r="B44" s="160" t="s">
        <v>326</v>
      </c>
      <c r="C44" s="238">
        <v>4</v>
      </c>
      <c r="D44" s="239"/>
      <c r="E44" s="240"/>
      <c r="F44" s="73"/>
      <c r="G44" s="73"/>
      <c r="H44" s="241"/>
      <c r="I44" s="239"/>
      <c r="J44" s="254" t="s">
        <v>386</v>
      </c>
      <c r="K44" s="161"/>
    </row>
    <row r="45" spans="1:11" s="159" customFormat="1" x14ac:dyDescent="0.2">
      <c r="A45" s="85"/>
      <c r="C45" s="239"/>
      <c r="D45" s="73"/>
      <c r="E45" s="241"/>
      <c r="F45" s="60" t="s">
        <v>386</v>
      </c>
      <c r="G45" s="60"/>
      <c r="H45" s="158"/>
      <c r="I45" s="113">
        <v>8</v>
      </c>
      <c r="J45" s="77" t="s">
        <v>87</v>
      </c>
    </row>
    <row r="46" spans="1:11" s="159" customFormat="1" x14ac:dyDescent="0.2">
      <c r="A46" s="85" t="s">
        <v>82</v>
      </c>
      <c r="B46" s="159" t="s">
        <v>386</v>
      </c>
      <c r="C46" s="80">
        <v>13</v>
      </c>
      <c r="D46" s="239"/>
      <c r="E46" s="241"/>
      <c r="F46" s="239"/>
      <c r="G46" s="239"/>
      <c r="H46" s="239"/>
      <c r="I46" s="239"/>
    </row>
    <row r="47" spans="1:11" s="159" customFormat="1" x14ac:dyDescent="0.2">
      <c r="A47" s="85"/>
      <c r="B47" s="65"/>
      <c r="C47" s="242" t="s">
        <v>386</v>
      </c>
      <c r="D47" s="239"/>
      <c r="E47" s="158"/>
      <c r="F47" s="113">
        <v>13</v>
      </c>
      <c r="G47" s="239"/>
      <c r="H47" s="239"/>
      <c r="I47" s="239"/>
    </row>
    <row r="48" spans="1:11" s="159" customFormat="1" x14ac:dyDescent="0.2">
      <c r="A48" s="85" t="s">
        <v>86</v>
      </c>
      <c r="B48" s="255" t="s">
        <v>99</v>
      </c>
      <c r="C48" s="245">
        <v>5</v>
      </c>
      <c r="D48" s="243"/>
      <c r="E48" s="239"/>
      <c r="F48" s="239"/>
      <c r="G48" s="239"/>
      <c r="H48" s="239"/>
      <c r="I48" s="239"/>
    </row>
    <row r="49" spans="3:11" s="159" customFormat="1" x14ac:dyDescent="0.2">
      <c r="C49" s="239"/>
      <c r="D49" s="239"/>
      <c r="E49" s="239"/>
      <c r="F49" s="239" t="s">
        <v>392</v>
      </c>
      <c r="G49" s="239"/>
      <c r="H49" s="239"/>
      <c r="I49" s="80">
        <v>13</v>
      </c>
      <c r="J49" s="162"/>
      <c r="K49" s="162"/>
    </row>
    <row r="50" spans="3:11" s="159" customFormat="1" ht="13.5" thickBot="1" x14ac:dyDescent="0.25">
      <c r="C50" s="239"/>
      <c r="D50" s="239"/>
      <c r="E50" s="239"/>
      <c r="F50" s="243"/>
      <c r="G50" s="243"/>
      <c r="H50" s="240"/>
      <c r="I50" s="244"/>
      <c r="J50" s="161" t="s">
        <v>392</v>
      </c>
      <c r="K50" s="161"/>
    </row>
    <row r="51" spans="3:11" s="159" customFormat="1" x14ac:dyDescent="0.2">
      <c r="C51" s="239"/>
      <c r="D51" s="239"/>
      <c r="E51" s="239"/>
      <c r="F51" s="60" t="s">
        <v>178</v>
      </c>
      <c r="G51" s="60"/>
      <c r="H51" s="158"/>
      <c r="I51" s="113">
        <v>3</v>
      </c>
      <c r="J51" s="81" t="s">
        <v>90</v>
      </c>
      <c r="K51" s="162"/>
    </row>
    <row r="52" spans="3:11" s="159" customFormat="1" x14ac:dyDescent="0.2">
      <c r="J52" s="162"/>
      <c r="K52" s="162"/>
    </row>
    <row r="53" spans="3:11" s="159" customFormat="1" ht="13.5" thickBot="1" x14ac:dyDescent="0.25">
      <c r="G53" s="162"/>
      <c r="H53" s="162"/>
      <c r="J53" s="161" t="s">
        <v>178</v>
      </c>
      <c r="K53" s="161"/>
    </row>
    <row r="54" spans="3:11" s="159" customFormat="1" x14ac:dyDescent="0.2">
      <c r="C54" s="253" t="s">
        <v>330</v>
      </c>
      <c r="F54" s="69">
        <v>13</v>
      </c>
      <c r="J54" s="64" t="s">
        <v>91</v>
      </c>
    </row>
    <row r="55" spans="3:11" s="159" customFormat="1" x14ac:dyDescent="0.2">
      <c r="C55" s="65"/>
      <c r="D55" s="65"/>
      <c r="E55" s="66"/>
      <c r="F55" s="67" t="s">
        <v>330</v>
      </c>
      <c r="G55" s="160"/>
      <c r="H55" s="160"/>
      <c r="I55" s="69">
        <v>13</v>
      </c>
    </row>
    <row r="56" spans="3:11" s="159" customFormat="1" x14ac:dyDescent="0.2">
      <c r="C56" s="160" t="s">
        <v>388</v>
      </c>
      <c r="D56" s="160"/>
      <c r="E56" s="75"/>
      <c r="F56" s="70">
        <v>3</v>
      </c>
      <c r="H56" s="72"/>
    </row>
    <row r="57" spans="3:11" s="159" customFormat="1" ht="13.5" thickBot="1" x14ac:dyDescent="0.25">
      <c r="F57" s="162"/>
      <c r="H57" s="72"/>
      <c r="J57" s="159" t="s">
        <v>330</v>
      </c>
    </row>
    <row r="58" spans="3:11" s="159" customFormat="1" x14ac:dyDescent="0.2">
      <c r="C58" s="159" t="s">
        <v>326</v>
      </c>
      <c r="F58" s="149">
        <v>13</v>
      </c>
      <c r="H58" s="72"/>
      <c r="I58" s="76"/>
      <c r="J58" s="77" t="s">
        <v>92</v>
      </c>
      <c r="K58" s="78"/>
    </row>
    <row r="59" spans="3:11" s="159" customFormat="1" x14ac:dyDescent="0.2">
      <c r="C59" s="65"/>
      <c r="D59" s="65"/>
      <c r="E59" s="66"/>
      <c r="F59" s="74" t="s">
        <v>326</v>
      </c>
      <c r="H59" s="75"/>
      <c r="I59" s="149">
        <v>1</v>
      </c>
    </row>
    <row r="60" spans="3:11" s="159" customFormat="1" ht="13.5" thickBot="1" x14ac:dyDescent="0.25">
      <c r="C60" s="255" t="s">
        <v>99</v>
      </c>
      <c r="D60" s="160"/>
      <c r="E60" s="75"/>
      <c r="F60" s="82">
        <v>5</v>
      </c>
      <c r="G60" s="65"/>
      <c r="I60" s="162"/>
      <c r="J60" s="162" t="s">
        <v>326</v>
      </c>
      <c r="K60" s="161"/>
    </row>
    <row r="61" spans="3:11" s="159" customFormat="1" x14ac:dyDescent="0.2">
      <c r="I61" s="162"/>
      <c r="J61" s="77" t="s">
        <v>93</v>
      </c>
      <c r="K61" s="162"/>
    </row>
    <row r="62" spans="3:11" s="56" customFormat="1" x14ac:dyDescent="0.2">
      <c r="F62" s="56" t="s">
        <v>388</v>
      </c>
      <c r="I62" s="262">
        <v>13</v>
      </c>
      <c r="J62" s="59"/>
      <c r="K62" s="59"/>
    </row>
    <row r="63" spans="3:11" s="56" customFormat="1" ht="13.5" thickBot="1" x14ac:dyDescent="0.25">
      <c r="F63" s="257"/>
      <c r="G63" s="257"/>
      <c r="H63" s="260"/>
      <c r="I63" s="269"/>
      <c r="J63" s="269" t="s">
        <v>388</v>
      </c>
      <c r="K63" s="269"/>
    </row>
    <row r="64" spans="3:11" s="56" customFormat="1" x14ac:dyDescent="0.2">
      <c r="F64" s="259" t="s">
        <v>99</v>
      </c>
      <c r="G64" s="259"/>
      <c r="H64" s="264"/>
      <c r="I64" s="256">
        <v>4</v>
      </c>
      <c r="J64" s="271" t="s">
        <v>94</v>
      </c>
      <c r="K64" s="59"/>
    </row>
    <row r="65" spans="1:11" s="56" customFormat="1" x14ac:dyDescent="0.2">
      <c r="J65" s="59"/>
      <c r="K65" s="59"/>
    </row>
    <row r="66" spans="1:11" s="56" customFormat="1" ht="13.5" thickBot="1" x14ac:dyDescent="0.25">
      <c r="G66" s="59"/>
      <c r="H66" s="59"/>
      <c r="J66" s="269" t="s">
        <v>99</v>
      </c>
      <c r="K66" s="269"/>
    </row>
    <row r="67" spans="1:11" s="56" customFormat="1" x14ac:dyDescent="0.2">
      <c r="G67" s="59"/>
      <c r="H67" s="59"/>
      <c r="J67" s="57" t="s">
        <v>95</v>
      </c>
    </row>
    <row r="68" spans="1:11" s="159" customFormat="1" x14ac:dyDescent="0.2"/>
    <row r="69" spans="1:11" x14ac:dyDescent="0.2">
      <c r="A69" s="101">
        <v>1</v>
      </c>
      <c r="B69" s="102" t="s">
        <v>334</v>
      </c>
    </row>
    <row r="70" spans="1:11" x14ac:dyDescent="0.2">
      <c r="A70" s="101">
        <v>2</v>
      </c>
      <c r="B70" s="103" t="s">
        <v>386</v>
      </c>
    </row>
    <row r="71" spans="1:11" x14ac:dyDescent="0.2">
      <c r="A71" s="101">
        <v>3</v>
      </c>
      <c r="B71" s="104" t="s">
        <v>392</v>
      </c>
    </row>
    <row r="72" spans="1:11" x14ac:dyDescent="0.2">
      <c r="A72" s="101">
        <v>4</v>
      </c>
      <c r="B72" s="105" t="s">
        <v>178</v>
      </c>
    </row>
    <row r="73" spans="1:11" x14ac:dyDescent="0.2">
      <c r="A73" s="101">
        <v>5</v>
      </c>
      <c r="B73" s="105" t="s">
        <v>330</v>
      </c>
    </row>
    <row r="74" spans="1:11" x14ac:dyDescent="0.2">
      <c r="A74" s="101">
        <v>6</v>
      </c>
      <c r="B74" s="352" t="s">
        <v>326</v>
      </c>
    </row>
    <row r="75" spans="1:11" x14ac:dyDescent="0.2">
      <c r="A75" s="101">
        <v>7</v>
      </c>
      <c r="B75" s="105" t="s">
        <v>388</v>
      </c>
    </row>
    <row r="76" spans="1:11" x14ac:dyDescent="0.2">
      <c r="A76" s="101">
        <v>8</v>
      </c>
      <c r="B76" s="105" t="s">
        <v>99</v>
      </c>
    </row>
    <row r="77" spans="1:11" x14ac:dyDescent="0.2">
      <c r="A77" s="353" t="s">
        <v>120</v>
      </c>
      <c r="B77" s="357" t="s">
        <v>389</v>
      </c>
    </row>
    <row r="78" spans="1:11" x14ac:dyDescent="0.2">
      <c r="A78" s="353" t="s">
        <v>120</v>
      </c>
      <c r="B78" s="355" t="s">
        <v>111</v>
      </c>
    </row>
    <row r="79" spans="1:11" x14ac:dyDescent="0.2">
      <c r="A79" s="353" t="s">
        <v>120</v>
      </c>
      <c r="B79" s="354" t="s">
        <v>393</v>
      </c>
    </row>
    <row r="80" spans="1:11" x14ac:dyDescent="0.2">
      <c r="A80" s="353" t="s">
        <v>120</v>
      </c>
      <c r="B80" s="356" t="s">
        <v>333</v>
      </c>
    </row>
    <row r="81" spans="1:2" x14ac:dyDescent="0.2">
      <c r="A81" s="353" t="s">
        <v>457</v>
      </c>
      <c r="B81" s="354" t="s">
        <v>387</v>
      </c>
    </row>
    <row r="82" spans="1:2" x14ac:dyDescent="0.2">
      <c r="A82" s="353" t="s">
        <v>457</v>
      </c>
      <c r="B82" s="357" t="s">
        <v>391</v>
      </c>
    </row>
    <row r="83" spans="1:2" x14ac:dyDescent="0.2">
      <c r="A83" s="353" t="s">
        <v>457</v>
      </c>
      <c r="B83" s="355" t="s">
        <v>124</v>
      </c>
    </row>
    <row r="84" spans="1:2" x14ac:dyDescent="0.2">
      <c r="A84" s="353" t="s">
        <v>457</v>
      </c>
      <c r="B84" s="354" t="s">
        <v>390</v>
      </c>
    </row>
  </sheetData>
  <conditionalFormatting sqref="C8:I24 C31:I61">
    <cfRule type="cellIs" dxfId="265" priority="4" operator="equal">
      <formula>13</formula>
    </cfRule>
  </conditionalFormatting>
  <conditionalFormatting sqref="C62:I67">
    <cfRule type="cellIs" dxfId="264" priority="2" operator="equal">
      <formula>13</formula>
    </cfRule>
  </conditionalFormatting>
  <conditionalFormatting sqref="C25:I30">
    <cfRule type="cellIs" dxfId="263" priority="1"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30" max="16383" man="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31"/>
  <sheetViews>
    <sheetView showGridLines="0" showRowColHeaders="0" zoomScaleNormal="100" workbookViewId="0">
      <pane ySplit="2" topLeftCell="A3" activePane="bottomLeft" state="frozen"/>
      <selection activeCell="I1" sqref="I1"/>
      <selection pane="bottomLeft" activeCell="M45" sqref="M45"/>
    </sheetView>
  </sheetViews>
  <sheetFormatPr defaultRowHeight="12.75" x14ac:dyDescent="0.2"/>
  <cols>
    <col min="1" max="1" width="5.5703125" style="40" customWidth="1"/>
    <col min="2" max="2" width="19.85546875" style="40" bestFit="1" customWidth="1"/>
    <col min="3" max="3" width="7.28515625" style="40" customWidth="1"/>
    <col min="4" max="4" width="7.42578125" style="40" bestFit="1" customWidth="1"/>
    <col min="5" max="5" width="9.140625" style="40" bestFit="1" customWidth="1"/>
    <col min="6" max="6" width="6.7109375" style="40" customWidth="1"/>
    <col min="7" max="7" width="5.140625" style="40" bestFit="1" customWidth="1"/>
    <col min="8" max="8" width="8" style="40" customWidth="1"/>
    <col min="9" max="9" width="3" style="40" customWidth="1"/>
    <col min="10" max="10" width="19.85546875" style="40" bestFit="1" customWidth="1"/>
    <col min="11" max="11" width="7.28515625" style="40" bestFit="1" customWidth="1"/>
    <col min="12" max="12" width="7.42578125" style="40" customWidth="1"/>
    <col min="13" max="13" width="9.140625" style="40" customWidth="1"/>
    <col min="14" max="14" width="6.7109375" style="40" bestFit="1" customWidth="1"/>
    <col min="15" max="15" width="5.140625" style="40" bestFit="1" customWidth="1"/>
    <col min="16" max="16384" width="9.140625" style="40"/>
  </cols>
  <sheetData>
    <row r="1" spans="1:16" x14ac:dyDescent="0.2">
      <c r="A1" s="138" t="str">
        <f>UPPER((Kalend!D17)&amp;" - "&amp;(Kalend!C17)&amp;" - "&amp;(Kalend!E17))</f>
        <v>4 - EESTI SISE-MV - ÜKSIK</v>
      </c>
      <c r="H1" s="61" t="str">
        <f>HYPERLINK("#'Üldreiting'!T1","Reiting")</f>
        <v>Reiting</v>
      </c>
    </row>
    <row r="2" spans="1:16" x14ac:dyDescent="0.2">
      <c r="A2" s="148" t="str">
        <f>"Toimumisaeg: "&amp;(Kalend!A17)&amp;" kell "&amp;(Kalend!B17)</f>
        <v>Toimumisaeg: L, 07.01.2017 kell 10:00</v>
      </c>
    </row>
    <row r="3" spans="1:16" x14ac:dyDescent="0.2">
      <c r="A3" s="148" t="str">
        <f>"Toimumiskoht: "&amp;(Kalend!F17)</f>
        <v>Toimumiskoht: Tallinn, Algi 38</v>
      </c>
      <c r="P3" s="148"/>
    </row>
    <row r="4" spans="1:16" x14ac:dyDescent="0.2">
      <c r="A4" s="148" t="str">
        <f>"Korraldaja: "&amp;(Kalend!G17)</f>
        <v>Korraldaja: EPKL</v>
      </c>
      <c r="D4" s="351" t="s">
        <v>477</v>
      </c>
      <c r="P4" s="148"/>
    </row>
    <row r="5" spans="1:16" x14ac:dyDescent="0.2">
      <c r="P5" s="148"/>
    </row>
    <row r="6" spans="1:16" s="43" customFormat="1" x14ac:dyDescent="0.2">
      <c r="A6" s="283" t="s">
        <v>449</v>
      </c>
      <c r="B6" s="284"/>
      <c r="C6" s="42" t="s">
        <v>70</v>
      </c>
      <c r="D6" s="42" t="s">
        <v>71</v>
      </c>
      <c r="E6" s="42" t="s">
        <v>72</v>
      </c>
      <c r="F6" s="42" t="s">
        <v>73</v>
      </c>
      <c r="G6" s="42" t="s">
        <v>19</v>
      </c>
      <c r="I6" s="283" t="s">
        <v>446</v>
      </c>
      <c r="J6" s="284"/>
      <c r="K6" s="42" t="s">
        <v>70</v>
      </c>
      <c r="L6" s="42" t="s">
        <v>71</v>
      </c>
      <c r="M6" s="42" t="s">
        <v>72</v>
      </c>
      <c r="N6" s="42" t="s">
        <v>73</v>
      </c>
      <c r="O6" s="42" t="s">
        <v>19</v>
      </c>
      <c r="P6" s="148"/>
    </row>
    <row r="7" spans="1:16" s="43" customFormat="1" x14ac:dyDescent="0.2">
      <c r="A7" s="41">
        <v>1</v>
      </c>
      <c r="B7" s="106" t="s">
        <v>58</v>
      </c>
      <c r="C7" s="45">
        <v>13</v>
      </c>
      <c r="D7" s="45">
        <v>7</v>
      </c>
      <c r="E7" s="45"/>
      <c r="F7" s="45">
        <v>13</v>
      </c>
      <c r="G7" s="232" t="s">
        <v>75</v>
      </c>
      <c r="I7" s="41">
        <v>1</v>
      </c>
      <c r="J7" s="111" t="s">
        <v>177</v>
      </c>
      <c r="K7" s="45">
        <v>13</v>
      </c>
      <c r="L7" s="45">
        <v>5</v>
      </c>
      <c r="M7" s="45"/>
      <c r="N7" s="45">
        <v>11</v>
      </c>
      <c r="O7" s="232" t="s">
        <v>76</v>
      </c>
      <c r="P7" s="148"/>
    </row>
    <row r="8" spans="1:16" s="43" customFormat="1" x14ac:dyDescent="0.2">
      <c r="A8" s="41">
        <v>2</v>
      </c>
      <c r="B8" s="108" t="s">
        <v>45</v>
      </c>
      <c r="C8" s="45">
        <v>7</v>
      </c>
      <c r="D8" s="45"/>
      <c r="E8" s="44">
        <v>12</v>
      </c>
      <c r="F8" s="45">
        <v>5</v>
      </c>
      <c r="G8" s="232" t="s">
        <v>76</v>
      </c>
      <c r="I8" s="41">
        <v>2</v>
      </c>
      <c r="J8" s="108" t="s">
        <v>66</v>
      </c>
      <c r="K8" s="45">
        <v>9</v>
      </c>
      <c r="L8" s="45"/>
      <c r="M8" s="45">
        <v>13</v>
      </c>
      <c r="N8" s="45">
        <v>13</v>
      </c>
      <c r="O8" s="232" t="s">
        <v>75</v>
      </c>
      <c r="P8" s="148"/>
    </row>
    <row r="9" spans="1:16" s="43" customFormat="1" x14ac:dyDescent="0.2">
      <c r="A9" s="41">
        <v>3</v>
      </c>
      <c r="B9" s="108" t="s">
        <v>50</v>
      </c>
      <c r="C9" s="45">
        <v>13</v>
      </c>
      <c r="D9" s="45">
        <v>13</v>
      </c>
      <c r="E9" s="45"/>
      <c r="F9" s="45"/>
      <c r="G9" s="232" t="s">
        <v>74</v>
      </c>
      <c r="I9" s="41">
        <v>3</v>
      </c>
      <c r="J9" s="108" t="s">
        <v>43</v>
      </c>
      <c r="K9" s="45">
        <v>13</v>
      </c>
      <c r="L9" s="45">
        <v>13</v>
      </c>
      <c r="M9" s="45"/>
      <c r="N9" s="45"/>
      <c r="O9" s="232" t="s">
        <v>74</v>
      </c>
      <c r="P9" s="148"/>
    </row>
    <row r="10" spans="1:16" s="43" customFormat="1" x14ac:dyDescent="0.2">
      <c r="A10" s="41">
        <v>4</v>
      </c>
      <c r="B10" s="109" t="s">
        <v>434</v>
      </c>
      <c r="C10" s="45">
        <v>2</v>
      </c>
      <c r="D10" s="45"/>
      <c r="E10" s="45">
        <v>8</v>
      </c>
      <c r="F10" s="45"/>
      <c r="G10" s="232" t="s">
        <v>98</v>
      </c>
      <c r="I10" s="41">
        <v>4</v>
      </c>
      <c r="J10" s="108"/>
      <c r="K10" s="45">
        <v>0</v>
      </c>
      <c r="L10" s="45"/>
      <c r="M10" s="45">
        <v>0</v>
      </c>
      <c r="N10" s="45"/>
      <c r="O10" s="153"/>
      <c r="P10" s="148"/>
    </row>
    <row r="11" spans="1:16" s="43" customFormat="1" x14ac:dyDescent="0.2">
      <c r="A11" s="47"/>
      <c r="B11" s="110"/>
      <c r="C11" s="49"/>
      <c r="D11" s="49"/>
      <c r="E11" s="49"/>
      <c r="F11" s="50"/>
      <c r="G11" s="51"/>
      <c r="P11" s="148"/>
    </row>
    <row r="12" spans="1:16" s="43" customFormat="1" x14ac:dyDescent="0.2">
      <c r="A12" s="283" t="s">
        <v>180</v>
      </c>
      <c r="B12" s="284"/>
      <c r="C12" s="42" t="s">
        <v>70</v>
      </c>
      <c r="D12" s="42" t="s">
        <v>71</v>
      </c>
      <c r="E12" s="42" t="s">
        <v>72</v>
      </c>
      <c r="F12" s="42" t="s">
        <v>73</v>
      </c>
      <c r="G12" s="42" t="s">
        <v>19</v>
      </c>
      <c r="I12" s="283" t="s">
        <v>447</v>
      </c>
      <c r="J12" s="284"/>
      <c r="K12" s="42" t="s">
        <v>70</v>
      </c>
      <c r="L12" s="42" t="s">
        <v>71</v>
      </c>
      <c r="M12" s="42" t="s">
        <v>72</v>
      </c>
      <c r="N12" s="42" t="s">
        <v>73</v>
      </c>
      <c r="O12" s="42" t="s">
        <v>19</v>
      </c>
      <c r="P12" s="148"/>
    </row>
    <row r="13" spans="1:16" s="43" customFormat="1" x14ac:dyDescent="0.2">
      <c r="A13" s="41">
        <v>1</v>
      </c>
      <c r="B13" s="108" t="s">
        <v>55</v>
      </c>
      <c r="C13" s="45">
        <v>11</v>
      </c>
      <c r="D13" s="45"/>
      <c r="E13" s="45">
        <v>5</v>
      </c>
      <c r="F13" s="45"/>
      <c r="G13" s="232" t="s">
        <v>98</v>
      </c>
      <c r="I13" s="41">
        <v>1</v>
      </c>
      <c r="J13" s="111" t="s">
        <v>59</v>
      </c>
      <c r="K13" s="45">
        <v>13</v>
      </c>
      <c r="L13" s="45">
        <v>13</v>
      </c>
      <c r="M13" s="45"/>
      <c r="N13" s="45"/>
      <c r="O13" s="232" t="s">
        <v>74</v>
      </c>
      <c r="P13" s="148"/>
    </row>
    <row r="14" spans="1:16" s="43" customFormat="1" x14ac:dyDescent="0.2">
      <c r="A14" s="41">
        <v>2</v>
      </c>
      <c r="B14" s="108" t="s">
        <v>261</v>
      </c>
      <c r="C14" s="45">
        <v>13</v>
      </c>
      <c r="D14" s="45">
        <v>13</v>
      </c>
      <c r="E14" s="45"/>
      <c r="F14" s="45"/>
      <c r="G14" s="232" t="s">
        <v>74</v>
      </c>
      <c r="I14" s="41">
        <v>2</v>
      </c>
      <c r="J14" s="108" t="s">
        <v>38</v>
      </c>
      <c r="K14" s="45">
        <v>12</v>
      </c>
      <c r="L14" s="45"/>
      <c r="M14" s="45">
        <v>13</v>
      </c>
      <c r="N14" s="45">
        <v>6</v>
      </c>
      <c r="O14" s="232" t="s">
        <v>76</v>
      </c>
      <c r="P14" s="148"/>
    </row>
    <row r="15" spans="1:16" s="43" customFormat="1" x14ac:dyDescent="0.2">
      <c r="A15" s="41">
        <v>3</v>
      </c>
      <c r="B15" s="108" t="s">
        <v>33</v>
      </c>
      <c r="C15" s="45">
        <v>12</v>
      </c>
      <c r="D15" s="45"/>
      <c r="E15" s="45">
        <v>13</v>
      </c>
      <c r="F15" s="45">
        <v>13</v>
      </c>
      <c r="G15" s="232" t="s">
        <v>75</v>
      </c>
      <c r="I15" s="41">
        <v>3</v>
      </c>
      <c r="J15" s="108" t="s">
        <v>255</v>
      </c>
      <c r="K15" s="45">
        <v>13</v>
      </c>
      <c r="L15" s="45">
        <v>2</v>
      </c>
      <c r="M15" s="45"/>
      <c r="N15" s="45">
        <v>13</v>
      </c>
      <c r="O15" s="232" t="s">
        <v>75</v>
      </c>
      <c r="P15" s="148"/>
    </row>
    <row r="16" spans="1:16" s="43" customFormat="1" x14ac:dyDescent="0.2">
      <c r="A16" s="41">
        <v>4</v>
      </c>
      <c r="B16" s="154" t="s">
        <v>48</v>
      </c>
      <c r="C16" s="45">
        <v>13</v>
      </c>
      <c r="D16" s="45">
        <v>10</v>
      </c>
      <c r="E16" s="45"/>
      <c r="F16" s="45">
        <v>4</v>
      </c>
      <c r="G16" s="232" t="s">
        <v>76</v>
      </c>
      <c r="I16" s="41">
        <v>4</v>
      </c>
      <c r="J16" s="108"/>
      <c r="K16" s="45">
        <v>0</v>
      </c>
      <c r="L16" s="45"/>
      <c r="M16" s="45">
        <v>0</v>
      </c>
      <c r="N16" s="45"/>
      <c r="O16" s="153"/>
      <c r="P16" s="148"/>
    </row>
    <row r="17" spans="1:16" s="43" customFormat="1" x14ac:dyDescent="0.2">
      <c r="A17" s="47"/>
      <c r="B17" s="110"/>
      <c r="C17" s="49"/>
      <c r="D17" s="49"/>
      <c r="E17" s="49"/>
      <c r="F17" s="50"/>
      <c r="G17" s="51"/>
      <c r="P17" s="148"/>
    </row>
    <row r="18" spans="1:16" s="43" customFormat="1" x14ac:dyDescent="0.2">
      <c r="A18" s="283" t="s">
        <v>450</v>
      </c>
      <c r="B18" s="284"/>
      <c r="C18" s="42" t="s">
        <v>70</v>
      </c>
      <c r="D18" s="42" t="s">
        <v>71</v>
      </c>
      <c r="E18" s="42" t="s">
        <v>72</v>
      </c>
      <c r="F18" s="42" t="s">
        <v>73</v>
      </c>
      <c r="G18" s="42" t="s">
        <v>19</v>
      </c>
      <c r="I18" s="283" t="s">
        <v>448</v>
      </c>
      <c r="J18" s="284"/>
      <c r="K18" s="42" t="s">
        <v>70</v>
      </c>
      <c r="L18" s="42" t="s">
        <v>71</v>
      </c>
      <c r="M18" s="42" t="s">
        <v>72</v>
      </c>
      <c r="N18" s="42" t="s">
        <v>73</v>
      </c>
      <c r="O18" s="42" t="s">
        <v>19</v>
      </c>
      <c r="P18" s="148"/>
    </row>
    <row r="19" spans="1:16" s="43" customFormat="1" x14ac:dyDescent="0.2">
      <c r="A19" s="41">
        <v>1</v>
      </c>
      <c r="B19" s="111" t="s">
        <v>54</v>
      </c>
      <c r="C19" s="45">
        <v>8</v>
      </c>
      <c r="D19" s="45"/>
      <c r="E19" s="45">
        <v>13</v>
      </c>
      <c r="F19" s="45">
        <v>8</v>
      </c>
      <c r="G19" s="232" t="s">
        <v>76</v>
      </c>
      <c r="I19" s="41">
        <v>1</v>
      </c>
      <c r="J19" s="356" t="s">
        <v>46</v>
      </c>
      <c r="K19" s="45">
        <v>13</v>
      </c>
      <c r="L19" s="45">
        <v>13</v>
      </c>
      <c r="M19" s="45"/>
      <c r="N19" s="45"/>
      <c r="O19" s="232" t="s">
        <v>74</v>
      </c>
      <c r="P19" s="148"/>
    </row>
    <row r="20" spans="1:16" s="43" customFormat="1" x14ac:dyDescent="0.2">
      <c r="A20" s="41">
        <v>2</v>
      </c>
      <c r="B20" s="111" t="s">
        <v>270</v>
      </c>
      <c r="C20" s="45">
        <v>13</v>
      </c>
      <c r="D20" s="45">
        <v>12</v>
      </c>
      <c r="E20" s="45"/>
      <c r="F20" s="45">
        <v>13</v>
      </c>
      <c r="G20" s="232" t="s">
        <v>75</v>
      </c>
      <c r="I20" s="41">
        <v>2</v>
      </c>
      <c r="J20" s="108" t="s">
        <v>41</v>
      </c>
      <c r="K20" s="45">
        <v>13</v>
      </c>
      <c r="L20" s="45">
        <v>7</v>
      </c>
      <c r="M20" s="45"/>
      <c r="N20" s="45">
        <v>6</v>
      </c>
      <c r="O20" s="232" t="s">
        <v>76</v>
      </c>
      <c r="P20" s="148"/>
    </row>
    <row r="21" spans="1:16" s="43" customFormat="1" x14ac:dyDescent="0.2">
      <c r="A21" s="41">
        <v>3</v>
      </c>
      <c r="B21" s="108" t="s">
        <v>40</v>
      </c>
      <c r="C21" s="45">
        <v>2</v>
      </c>
      <c r="D21" s="45"/>
      <c r="E21" s="45">
        <v>5</v>
      </c>
      <c r="F21" s="45"/>
      <c r="G21" s="232" t="s">
        <v>98</v>
      </c>
      <c r="I21" s="41">
        <v>3</v>
      </c>
      <c r="J21" s="108" t="s">
        <v>251</v>
      </c>
      <c r="K21" s="45">
        <v>3</v>
      </c>
      <c r="L21" s="45"/>
      <c r="M21" s="45">
        <v>5</v>
      </c>
      <c r="N21" s="45"/>
      <c r="O21" s="232" t="s">
        <v>98</v>
      </c>
      <c r="P21" s="148"/>
    </row>
    <row r="22" spans="1:16" s="43" customFormat="1" x14ac:dyDescent="0.2">
      <c r="A22" s="41">
        <v>4</v>
      </c>
      <c r="B22" s="226" t="s">
        <v>438</v>
      </c>
      <c r="C22" s="45">
        <v>13</v>
      </c>
      <c r="D22" s="45">
        <v>13</v>
      </c>
      <c r="E22" s="45"/>
      <c r="F22" s="45"/>
      <c r="G22" s="232" t="s">
        <v>74</v>
      </c>
      <c r="I22" s="41">
        <v>4</v>
      </c>
      <c r="J22" s="108" t="s">
        <v>433</v>
      </c>
      <c r="K22" s="45">
        <v>11</v>
      </c>
      <c r="L22" s="45"/>
      <c r="M22" s="45">
        <v>13</v>
      </c>
      <c r="N22" s="45">
        <v>13</v>
      </c>
      <c r="O22" s="232" t="s">
        <v>75</v>
      </c>
      <c r="P22" s="148"/>
    </row>
    <row r="23" spans="1:16" s="43" customFormat="1" x14ac:dyDescent="0.2">
      <c r="A23" s="47"/>
      <c r="B23" s="110"/>
      <c r="C23" s="49"/>
      <c r="D23" s="49"/>
      <c r="E23" s="49"/>
      <c r="F23" s="50"/>
      <c r="G23" s="51"/>
      <c r="P23" s="148"/>
    </row>
    <row r="24" spans="1:16" s="43" customFormat="1" x14ac:dyDescent="0.2">
      <c r="A24" s="283" t="s">
        <v>324</v>
      </c>
      <c r="B24" s="284"/>
      <c r="C24" s="42" t="s">
        <v>70</v>
      </c>
      <c r="D24" s="42" t="s">
        <v>71</v>
      </c>
      <c r="E24" s="42" t="s">
        <v>72</v>
      </c>
      <c r="F24" s="42" t="s">
        <v>73</v>
      </c>
      <c r="G24" s="42" t="s">
        <v>19</v>
      </c>
      <c r="I24" s="283" t="s">
        <v>451</v>
      </c>
      <c r="J24" s="284"/>
      <c r="K24" s="42" t="s">
        <v>70</v>
      </c>
      <c r="L24" s="42" t="s">
        <v>71</v>
      </c>
      <c r="M24" s="42" t="s">
        <v>72</v>
      </c>
      <c r="N24" s="42" t="s">
        <v>73</v>
      </c>
      <c r="O24" s="42" t="s">
        <v>19</v>
      </c>
      <c r="P24" s="148"/>
    </row>
    <row r="25" spans="1:16" s="43" customFormat="1" x14ac:dyDescent="0.2">
      <c r="A25" s="41">
        <v>1</v>
      </c>
      <c r="B25" s="111" t="s">
        <v>27</v>
      </c>
      <c r="C25" s="45">
        <v>4</v>
      </c>
      <c r="D25" s="45"/>
      <c r="E25" s="45">
        <v>8</v>
      </c>
      <c r="F25" s="45"/>
      <c r="G25" s="232" t="s">
        <v>98</v>
      </c>
      <c r="I25" s="41">
        <v>1</v>
      </c>
      <c r="J25" s="111" t="s">
        <v>25</v>
      </c>
      <c r="K25" s="45">
        <v>13</v>
      </c>
      <c r="L25" s="45">
        <v>6</v>
      </c>
      <c r="M25" s="45"/>
      <c r="N25" s="45">
        <v>13</v>
      </c>
      <c r="O25" s="232" t="s">
        <v>75</v>
      </c>
      <c r="P25" s="148"/>
    </row>
    <row r="26" spans="1:16" s="43" customFormat="1" x14ac:dyDescent="0.2">
      <c r="A26" s="41">
        <v>2</v>
      </c>
      <c r="B26" s="226" t="s">
        <v>47</v>
      </c>
      <c r="C26" s="45">
        <v>13</v>
      </c>
      <c r="D26" s="45">
        <v>0</v>
      </c>
      <c r="E26" s="45"/>
      <c r="F26" s="45">
        <v>2</v>
      </c>
      <c r="G26" s="232" t="s">
        <v>76</v>
      </c>
      <c r="I26" s="41">
        <v>2</v>
      </c>
      <c r="J26" s="108" t="s">
        <v>250</v>
      </c>
      <c r="K26" s="45">
        <v>10</v>
      </c>
      <c r="L26" s="45"/>
      <c r="M26" s="45">
        <v>13</v>
      </c>
      <c r="N26" s="45">
        <v>4</v>
      </c>
      <c r="O26" s="232" t="s">
        <v>76</v>
      </c>
      <c r="P26" s="148"/>
    </row>
    <row r="27" spans="1:16" s="43" customFormat="1" x14ac:dyDescent="0.2">
      <c r="A27" s="41">
        <v>3</v>
      </c>
      <c r="B27" s="108" t="s">
        <v>37</v>
      </c>
      <c r="C27" s="45">
        <v>11</v>
      </c>
      <c r="D27" s="45"/>
      <c r="E27" s="45">
        <v>13</v>
      </c>
      <c r="F27" s="45">
        <v>13</v>
      </c>
      <c r="G27" s="232" t="s">
        <v>75</v>
      </c>
      <c r="I27" s="41">
        <v>3</v>
      </c>
      <c r="J27" s="226" t="s">
        <v>44</v>
      </c>
      <c r="K27" s="45">
        <v>13</v>
      </c>
      <c r="L27" s="45">
        <v>13</v>
      </c>
      <c r="M27" s="45"/>
      <c r="N27" s="45"/>
      <c r="O27" s="232" t="s">
        <v>74</v>
      </c>
      <c r="P27" s="148"/>
    </row>
    <row r="28" spans="1:16" s="43" customFormat="1" x14ac:dyDescent="0.2">
      <c r="A28" s="41">
        <v>4</v>
      </c>
      <c r="B28" s="108" t="s">
        <v>435</v>
      </c>
      <c r="C28" s="45">
        <v>13</v>
      </c>
      <c r="D28" s="45">
        <v>13</v>
      </c>
      <c r="E28" s="45"/>
      <c r="F28" s="45"/>
      <c r="G28" s="232" t="s">
        <v>74</v>
      </c>
      <c r="I28" s="41">
        <v>4</v>
      </c>
      <c r="J28" s="108"/>
      <c r="K28" s="45">
        <v>0</v>
      </c>
      <c r="L28" s="45"/>
      <c r="M28" s="45">
        <v>0</v>
      </c>
      <c r="N28" s="45"/>
      <c r="O28" s="153"/>
      <c r="P28" s="148"/>
    </row>
    <row r="29" spans="1:16" s="43" customFormat="1" x14ac:dyDescent="0.2">
      <c r="A29" s="47"/>
      <c r="B29" s="110"/>
      <c r="C29" s="49"/>
      <c r="D29" s="49"/>
      <c r="E29" s="49"/>
      <c r="F29" s="50"/>
      <c r="G29" s="51"/>
      <c r="P29" s="148"/>
    </row>
    <row r="30" spans="1:16" s="43" customFormat="1" x14ac:dyDescent="0.2">
      <c r="A30" s="283" t="s">
        <v>182</v>
      </c>
      <c r="B30" s="284"/>
      <c r="C30" s="42" t="s">
        <v>70</v>
      </c>
      <c r="D30" s="42" t="s">
        <v>71</v>
      </c>
      <c r="E30" s="42" t="s">
        <v>72</v>
      </c>
      <c r="F30" s="42" t="s">
        <v>73</v>
      </c>
      <c r="G30" s="42" t="s">
        <v>19</v>
      </c>
      <c r="I30" s="83"/>
      <c r="J30" s="83"/>
      <c r="K30" s="83"/>
      <c r="L30" s="83"/>
      <c r="M30" s="83"/>
      <c r="N30" s="83"/>
      <c r="O30" s="83"/>
      <c r="P30" s="148"/>
    </row>
    <row r="31" spans="1:16" s="43" customFormat="1" x14ac:dyDescent="0.2">
      <c r="A31" s="41">
        <v>1</v>
      </c>
      <c r="B31" s="111" t="s">
        <v>39</v>
      </c>
      <c r="C31" s="45">
        <v>1</v>
      </c>
      <c r="D31" s="45"/>
      <c r="E31" s="45">
        <v>13</v>
      </c>
      <c r="F31" s="45">
        <v>7</v>
      </c>
      <c r="G31" s="232" t="s">
        <v>76</v>
      </c>
      <c r="I31" s="83"/>
      <c r="J31" s="83"/>
      <c r="K31" s="83"/>
      <c r="L31" s="83"/>
      <c r="M31" s="83"/>
      <c r="N31" s="83"/>
      <c r="O31" s="83"/>
      <c r="P31" s="148"/>
    </row>
    <row r="32" spans="1:16" s="43" customFormat="1" x14ac:dyDescent="0.2">
      <c r="A32" s="41">
        <v>2</v>
      </c>
      <c r="B32" s="108" t="s">
        <v>256</v>
      </c>
      <c r="C32" s="45">
        <v>13</v>
      </c>
      <c r="D32" s="45">
        <v>9</v>
      </c>
      <c r="E32" s="45"/>
      <c r="F32" s="45">
        <v>13</v>
      </c>
      <c r="G32" s="232" t="s">
        <v>75</v>
      </c>
      <c r="I32" s="83"/>
      <c r="J32" s="83"/>
      <c r="K32" s="83"/>
      <c r="L32" s="83"/>
      <c r="M32" s="83"/>
      <c r="N32" s="83"/>
      <c r="O32" s="83"/>
      <c r="P32" s="148"/>
    </row>
    <row r="33" spans="1:16" s="43" customFormat="1" x14ac:dyDescent="0.2">
      <c r="A33" s="41">
        <v>3</v>
      </c>
      <c r="B33" s="108" t="s">
        <v>65</v>
      </c>
      <c r="C33" s="231" t="s">
        <v>102</v>
      </c>
      <c r="D33" s="45"/>
      <c r="E33" s="231" t="s">
        <v>102</v>
      </c>
      <c r="F33" s="45"/>
      <c r="G33" s="153"/>
      <c r="H33" s="43" t="s">
        <v>459</v>
      </c>
      <c r="I33" s="83"/>
      <c r="J33" s="83"/>
      <c r="K33" s="83"/>
      <c r="L33" s="83"/>
      <c r="M33" s="83"/>
      <c r="N33" s="83"/>
      <c r="O33" s="83"/>
      <c r="P33" s="148"/>
    </row>
    <row r="34" spans="1:16" s="43" customFormat="1" x14ac:dyDescent="0.2">
      <c r="A34" s="41">
        <v>4</v>
      </c>
      <c r="B34" s="108" t="s">
        <v>439</v>
      </c>
      <c r="C34" s="45">
        <v>13</v>
      </c>
      <c r="D34" s="45">
        <v>13</v>
      </c>
      <c r="E34" s="45"/>
      <c r="F34" s="45"/>
      <c r="G34" s="232" t="s">
        <v>74</v>
      </c>
      <c r="I34" s="83"/>
      <c r="J34" s="83"/>
      <c r="K34" s="83"/>
      <c r="L34" s="83"/>
      <c r="M34" s="83"/>
      <c r="N34" s="83"/>
      <c r="O34" s="83"/>
      <c r="P34" s="148"/>
    </row>
    <row r="35" spans="1:16" s="43" customFormat="1" x14ac:dyDescent="0.2">
      <c r="A35" s="47"/>
      <c r="B35" s="110"/>
      <c r="C35" s="49"/>
      <c r="D35" s="49"/>
      <c r="E35" s="49"/>
      <c r="F35" s="50"/>
      <c r="G35" s="51"/>
      <c r="P35" s="148"/>
    </row>
    <row r="36" spans="1:16" s="83" customFormat="1" x14ac:dyDescent="0.2">
      <c r="A36" s="114" t="s">
        <v>452</v>
      </c>
      <c r="C36" s="442" t="s">
        <v>118</v>
      </c>
      <c r="D36" s="251" t="s">
        <v>66</v>
      </c>
      <c r="F36" s="156">
        <v>6</v>
      </c>
      <c r="J36" s="84" t="s">
        <v>117</v>
      </c>
      <c r="K36" s="83" t="s">
        <v>256</v>
      </c>
      <c r="M36" s="156">
        <v>13</v>
      </c>
      <c r="P36" s="148"/>
    </row>
    <row r="37" spans="1:16" s="83" customFormat="1" x14ac:dyDescent="0.2">
      <c r="C37" s="84"/>
      <c r="D37" s="155"/>
      <c r="E37" s="89"/>
      <c r="F37" s="87"/>
      <c r="G37" s="157" t="s">
        <v>25</v>
      </c>
      <c r="J37" s="84"/>
      <c r="K37" s="155"/>
      <c r="L37" s="632"/>
      <c r="M37" s="87"/>
      <c r="N37" s="157" t="s">
        <v>256</v>
      </c>
      <c r="P37" s="148"/>
    </row>
    <row r="38" spans="1:16" s="83" customFormat="1" x14ac:dyDescent="0.2">
      <c r="A38" s="115"/>
      <c r="C38" s="84" t="s">
        <v>464</v>
      </c>
      <c r="D38" s="250" t="s">
        <v>25</v>
      </c>
      <c r="E38" s="96"/>
      <c r="F38" s="120">
        <v>13</v>
      </c>
      <c r="G38" s="98" t="s">
        <v>461</v>
      </c>
      <c r="H38" s="155"/>
      <c r="J38" s="84" t="s">
        <v>465</v>
      </c>
      <c r="K38" s="250" t="s">
        <v>255</v>
      </c>
      <c r="L38" s="96"/>
      <c r="M38" s="120">
        <v>9</v>
      </c>
      <c r="N38" s="98" t="s">
        <v>461</v>
      </c>
      <c r="O38" s="155"/>
      <c r="P38" s="148"/>
    </row>
    <row r="39" spans="1:16" s="83" customFormat="1" x14ac:dyDescent="0.2">
      <c r="A39" s="84"/>
      <c r="D39" s="423"/>
      <c r="F39" s="97"/>
      <c r="L39" s="423"/>
      <c r="M39" s="97"/>
      <c r="O39" s="90"/>
      <c r="P39" s="148"/>
    </row>
    <row r="40" spans="1:16" s="83" customFormat="1" ht="13.5" thickBot="1" x14ac:dyDescent="0.25">
      <c r="A40" s="84"/>
      <c r="D40" s="423"/>
      <c r="F40" s="97"/>
      <c r="G40" s="92" t="s">
        <v>66</v>
      </c>
      <c r="H40" s="92"/>
      <c r="K40" s="392"/>
      <c r="L40" s="423"/>
      <c r="M40" s="97"/>
      <c r="N40" s="425" t="s">
        <v>255</v>
      </c>
      <c r="O40" s="92"/>
      <c r="P40" s="148"/>
    </row>
    <row r="41" spans="1:16" s="83" customFormat="1" x14ac:dyDescent="0.2">
      <c r="A41" s="84"/>
      <c r="D41" s="423"/>
      <c r="F41" s="97"/>
      <c r="G41" s="98" t="s">
        <v>460</v>
      </c>
      <c r="H41" s="90"/>
      <c r="K41" s="392"/>
      <c r="L41" s="423"/>
      <c r="M41" s="97"/>
      <c r="N41" s="98" t="s">
        <v>460</v>
      </c>
      <c r="O41" s="90"/>
      <c r="P41" s="148"/>
    </row>
    <row r="42" spans="1:16" s="83" customFormat="1" x14ac:dyDescent="0.2">
      <c r="A42" s="84"/>
      <c r="F42" s="90"/>
      <c r="G42" s="90"/>
      <c r="H42" s="90"/>
      <c r="I42" s="392"/>
    </row>
    <row r="43" spans="1:16" s="83" customFormat="1" x14ac:dyDescent="0.2">
      <c r="A43" s="114" t="s">
        <v>114</v>
      </c>
      <c r="B43" s="90"/>
      <c r="C43" s="49"/>
      <c r="D43" s="49"/>
      <c r="E43" s="49"/>
      <c r="F43" s="50"/>
      <c r="G43" s="51"/>
    </row>
    <row r="44" spans="1:16" s="83" customFormat="1" x14ac:dyDescent="0.2"/>
    <row r="45" spans="1:16" s="83" customFormat="1" x14ac:dyDescent="0.2">
      <c r="A45" s="115" t="s">
        <v>84</v>
      </c>
      <c r="B45" s="251" t="s">
        <v>261</v>
      </c>
      <c r="C45" s="156">
        <v>3</v>
      </c>
    </row>
    <row r="46" spans="1:16" s="83" customFormat="1" x14ac:dyDescent="0.2">
      <c r="A46" s="84"/>
      <c r="B46" s="86"/>
      <c r="C46" s="87" t="s">
        <v>270</v>
      </c>
      <c r="D46" s="157"/>
      <c r="F46" s="156">
        <v>13</v>
      </c>
    </row>
    <row r="47" spans="1:16" s="83" customFormat="1" x14ac:dyDescent="0.2">
      <c r="A47" s="84" t="s">
        <v>118</v>
      </c>
      <c r="B47" s="88" t="s">
        <v>270</v>
      </c>
      <c r="C47" s="120">
        <v>13</v>
      </c>
      <c r="E47" s="89"/>
    </row>
    <row r="48" spans="1:16" s="83" customFormat="1" x14ac:dyDescent="0.2">
      <c r="A48" s="84"/>
      <c r="D48" s="90"/>
      <c r="E48" s="91"/>
      <c r="F48" s="95" t="s">
        <v>270</v>
      </c>
      <c r="I48" s="156">
        <v>13</v>
      </c>
    </row>
    <row r="49" spans="1:13" s="83" customFormat="1" x14ac:dyDescent="0.2">
      <c r="A49" s="84" t="s">
        <v>115</v>
      </c>
      <c r="B49" s="83" t="s">
        <v>439</v>
      </c>
      <c r="C49" s="97">
        <v>13</v>
      </c>
      <c r="E49" s="91"/>
      <c r="F49" s="116"/>
      <c r="G49" s="155"/>
      <c r="H49" s="89"/>
    </row>
    <row r="50" spans="1:13" s="83" customFormat="1" x14ac:dyDescent="0.2">
      <c r="A50" s="84"/>
      <c r="B50" s="86"/>
      <c r="C50" s="95" t="s">
        <v>439</v>
      </c>
      <c r="E50" s="96"/>
      <c r="F50" s="97">
        <v>7</v>
      </c>
      <c r="G50" s="90"/>
      <c r="H50" s="91"/>
    </row>
    <row r="51" spans="1:13" s="83" customFormat="1" x14ac:dyDescent="0.2">
      <c r="A51" s="84" t="s">
        <v>82</v>
      </c>
      <c r="B51" s="250" t="s">
        <v>50</v>
      </c>
      <c r="C51" s="131">
        <v>11</v>
      </c>
      <c r="D51" s="155"/>
      <c r="F51" s="90"/>
      <c r="G51" s="90"/>
      <c r="H51" s="91"/>
    </row>
    <row r="52" spans="1:13" s="83" customFormat="1" x14ac:dyDescent="0.2">
      <c r="A52" s="98"/>
      <c r="F52" s="90"/>
      <c r="G52" s="90"/>
      <c r="H52" s="91"/>
      <c r="I52" s="95" t="s">
        <v>270</v>
      </c>
      <c r="K52" s="156">
        <v>8</v>
      </c>
    </row>
    <row r="53" spans="1:13" s="83" customFormat="1" x14ac:dyDescent="0.2">
      <c r="A53" s="115" t="s">
        <v>462</v>
      </c>
      <c r="B53" s="83" t="s">
        <v>59</v>
      </c>
      <c r="C53" s="156">
        <v>13</v>
      </c>
      <c r="F53" s="90"/>
      <c r="G53" s="90"/>
      <c r="H53" s="91"/>
      <c r="I53" s="155"/>
      <c r="J53" s="89"/>
    </row>
    <row r="54" spans="1:13" s="83" customFormat="1" x14ac:dyDescent="0.2">
      <c r="A54" s="84"/>
      <c r="B54" s="86"/>
      <c r="C54" s="87" t="s">
        <v>59</v>
      </c>
      <c r="D54" s="157"/>
      <c r="F54" s="97">
        <v>12</v>
      </c>
      <c r="G54" s="90"/>
      <c r="H54" s="91"/>
      <c r="I54" s="90"/>
      <c r="J54" s="91"/>
    </row>
    <row r="55" spans="1:13" s="83" customFormat="1" x14ac:dyDescent="0.2">
      <c r="A55" s="84" t="s">
        <v>463</v>
      </c>
      <c r="B55" s="250" t="s">
        <v>25</v>
      </c>
      <c r="C55" s="120">
        <v>11</v>
      </c>
      <c r="E55" s="89"/>
      <c r="F55" s="90"/>
      <c r="G55" s="90"/>
      <c r="H55" s="91"/>
      <c r="I55" s="90"/>
      <c r="J55" s="91"/>
    </row>
    <row r="56" spans="1:13" s="83" customFormat="1" x14ac:dyDescent="0.2">
      <c r="A56" s="84"/>
      <c r="D56" s="90"/>
      <c r="E56" s="91"/>
      <c r="F56" s="157" t="s">
        <v>433</v>
      </c>
      <c r="G56" s="157"/>
      <c r="H56" s="96"/>
      <c r="I56" s="97">
        <v>9</v>
      </c>
      <c r="J56" s="91"/>
    </row>
    <row r="57" spans="1:13" s="83" customFormat="1" x14ac:dyDescent="0.2">
      <c r="A57" s="84" t="s">
        <v>80</v>
      </c>
      <c r="B57" s="251" t="s">
        <v>435</v>
      </c>
      <c r="C57" s="97">
        <v>11</v>
      </c>
      <c r="E57" s="91"/>
      <c r="F57" s="95"/>
      <c r="G57" s="90"/>
      <c r="H57" s="90"/>
      <c r="I57" s="90"/>
      <c r="J57" s="91"/>
    </row>
    <row r="58" spans="1:13" s="83" customFormat="1" x14ac:dyDescent="0.2">
      <c r="A58" s="84"/>
      <c r="B58" s="86"/>
      <c r="C58" s="95" t="s">
        <v>433</v>
      </c>
      <c r="E58" s="96"/>
      <c r="F58" s="97">
        <v>13</v>
      </c>
      <c r="I58" s="90"/>
      <c r="J58" s="91"/>
    </row>
    <row r="59" spans="1:13" s="83" customFormat="1" x14ac:dyDescent="0.2">
      <c r="A59" s="84" t="s">
        <v>466</v>
      </c>
      <c r="B59" s="88" t="s">
        <v>433</v>
      </c>
      <c r="C59" s="119">
        <v>13</v>
      </c>
      <c r="D59" s="155"/>
      <c r="F59" s="90"/>
      <c r="G59" s="90"/>
      <c r="H59" s="90"/>
      <c r="I59" s="90"/>
      <c r="J59" s="91"/>
    </row>
    <row r="60" spans="1:13" s="83" customFormat="1" ht="13.5" thickBot="1" x14ac:dyDescent="0.25">
      <c r="I60" s="90"/>
      <c r="J60" s="91"/>
      <c r="L60" s="83" t="s">
        <v>438</v>
      </c>
    </row>
    <row r="61" spans="1:13" s="83" customFormat="1" x14ac:dyDescent="0.2">
      <c r="A61" s="115" t="s">
        <v>88</v>
      </c>
      <c r="B61" s="83" t="s">
        <v>438</v>
      </c>
      <c r="C61" s="156">
        <v>13</v>
      </c>
      <c r="I61" s="90"/>
      <c r="J61" s="91"/>
      <c r="K61" s="93"/>
      <c r="L61" s="117" t="s">
        <v>85</v>
      </c>
      <c r="M61" s="94"/>
    </row>
    <row r="62" spans="1:13" s="83" customFormat="1" x14ac:dyDescent="0.2">
      <c r="A62" s="84"/>
      <c r="B62" s="86"/>
      <c r="C62" s="87" t="s">
        <v>438</v>
      </c>
      <c r="D62" s="157"/>
      <c r="F62" s="156">
        <v>13</v>
      </c>
      <c r="I62" s="90"/>
      <c r="J62" s="91"/>
    </row>
    <row r="63" spans="1:13" s="83" customFormat="1" x14ac:dyDescent="0.2">
      <c r="A63" s="84" t="s">
        <v>81</v>
      </c>
      <c r="B63" s="250" t="s">
        <v>33</v>
      </c>
      <c r="C63" s="120">
        <v>11</v>
      </c>
      <c r="E63" s="89"/>
      <c r="I63" s="90"/>
      <c r="J63" s="91"/>
    </row>
    <row r="64" spans="1:13" s="83" customFormat="1" x14ac:dyDescent="0.2">
      <c r="A64" s="84"/>
      <c r="D64" s="90"/>
      <c r="E64" s="91"/>
      <c r="F64" s="83" t="s">
        <v>438</v>
      </c>
      <c r="I64" s="97">
        <v>13</v>
      </c>
      <c r="J64" s="91"/>
    </row>
    <row r="65" spans="1:13" s="83" customFormat="1" x14ac:dyDescent="0.2">
      <c r="A65" s="84" t="s">
        <v>467</v>
      </c>
      <c r="B65" s="83" t="s">
        <v>44</v>
      </c>
      <c r="C65" s="97">
        <v>13</v>
      </c>
      <c r="E65" s="91"/>
      <c r="F65" s="116"/>
      <c r="G65" s="155"/>
      <c r="H65" s="89"/>
      <c r="I65" s="90"/>
      <c r="J65" s="91"/>
    </row>
    <row r="66" spans="1:13" s="83" customFormat="1" x14ac:dyDescent="0.2">
      <c r="A66" s="84"/>
      <c r="B66" s="86"/>
      <c r="C66" s="95" t="s">
        <v>44</v>
      </c>
      <c r="E66" s="96"/>
      <c r="F66" s="97">
        <v>5</v>
      </c>
      <c r="G66" s="90"/>
      <c r="H66" s="91"/>
      <c r="I66" s="90"/>
      <c r="J66" s="91"/>
    </row>
    <row r="67" spans="1:13" s="83" customFormat="1" x14ac:dyDescent="0.2">
      <c r="A67" s="84" t="s">
        <v>463</v>
      </c>
      <c r="B67" s="441" t="s">
        <v>256</v>
      </c>
      <c r="C67" s="119">
        <v>11</v>
      </c>
      <c r="D67" s="155"/>
      <c r="F67" s="90"/>
      <c r="G67" s="90"/>
      <c r="H67" s="91"/>
      <c r="I67" s="90"/>
      <c r="J67" s="91"/>
    </row>
    <row r="68" spans="1:13" s="83" customFormat="1" x14ac:dyDescent="0.2">
      <c r="F68" s="90"/>
      <c r="G68" s="90"/>
      <c r="H68" s="91"/>
      <c r="I68" s="157" t="s">
        <v>438</v>
      </c>
      <c r="J68" s="96"/>
      <c r="K68" s="156">
        <v>13</v>
      </c>
    </row>
    <row r="69" spans="1:13" s="83" customFormat="1" ht="13.5" thickBot="1" x14ac:dyDescent="0.25">
      <c r="A69" s="115" t="s">
        <v>468</v>
      </c>
      <c r="B69" s="83" t="s">
        <v>46</v>
      </c>
      <c r="C69" s="156">
        <v>13</v>
      </c>
      <c r="F69" s="90"/>
      <c r="G69" s="90"/>
      <c r="H69" s="91"/>
      <c r="L69" s="423" t="s">
        <v>270</v>
      </c>
      <c r="M69" s="92"/>
    </row>
    <row r="70" spans="1:13" s="83" customFormat="1" x14ac:dyDescent="0.2">
      <c r="A70" s="84"/>
      <c r="B70" s="86"/>
      <c r="C70" s="87" t="s">
        <v>46</v>
      </c>
      <c r="D70" s="157"/>
      <c r="F70" s="97">
        <v>9</v>
      </c>
      <c r="G70" s="90"/>
      <c r="H70" s="91"/>
      <c r="L70" s="117" t="s">
        <v>87</v>
      </c>
      <c r="M70" s="90"/>
    </row>
    <row r="71" spans="1:13" s="83" customFormat="1" x14ac:dyDescent="0.2">
      <c r="A71" s="84" t="s">
        <v>86</v>
      </c>
      <c r="B71" s="250" t="s">
        <v>37</v>
      </c>
      <c r="C71" s="120">
        <v>5</v>
      </c>
      <c r="E71" s="89"/>
      <c r="F71" s="90"/>
      <c r="G71" s="90"/>
      <c r="H71" s="91"/>
    </row>
    <row r="72" spans="1:13" s="83" customFormat="1" x14ac:dyDescent="0.2">
      <c r="A72" s="84"/>
      <c r="D72" s="90"/>
      <c r="E72" s="91"/>
      <c r="F72" s="157" t="s">
        <v>43</v>
      </c>
      <c r="G72" s="157"/>
      <c r="H72" s="96"/>
      <c r="I72" s="156">
        <v>10</v>
      </c>
    </row>
    <row r="73" spans="1:13" s="83" customFormat="1" x14ac:dyDescent="0.2">
      <c r="A73" s="84" t="s">
        <v>116</v>
      </c>
      <c r="B73" s="83" t="s">
        <v>43</v>
      </c>
      <c r="C73" s="97">
        <v>13</v>
      </c>
      <c r="E73" s="91"/>
      <c r="F73" s="95"/>
      <c r="G73" s="90"/>
      <c r="H73" s="90"/>
    </row>
    <row r="74" spans="1:13" s="83" customFormat="1" x14ac:dyDescent="0.2">
      <c r="A74" s="84"/>
      <c r="B74" s="86"/>
      <c r="C74" s="95" t="s">
        <v>43</v>
      </c>
      <c r="E74" s="96"/>
      <c r="F74" s="97">
        <v>13</v>
      </c>
      <c r="I74" s="83" t="s">
        <v>433</v>
      </c>
      <c r="K74" s="97">
        <v>13</v>
      </c>
    </row>
    <row r="75" spans="1:13" s="83" customFormat="1" ht="13.5" thickBot="1" x14ac:dyDescent="0.25">
      <c r="A75" s="84" t="s">
        <v>89</v>
      </c>
      <c r="B75" s="250" t="s">
        <v>58</v>
      </c>
      <c r="C75" s="119">
        <v>4</v>
      </c>
      <c r="D75" s="155"/>
      <c r="F75" s="90"/>
      <c r="G75" s="90"/>
      <c r="H75" s="90"/>
      <c r="I75" s="155"/>
      <c r="J75" s="89"/>
      <c r="K75" s="92"/>
      <c r="L75" s="425" t="s">
        <v>433</v>
      </c>
      <c r="M75" s="92"/>
    </row>
    <row r="76" spans="1:13" s="83" customFormat="1" x14ac:dyDescent="0.2">
      <c r="H76" s="90"/>
      <c r="I76" s="157" t="s">
        <v>43</v>
      </c>
      <c r="J76" s="96"/>
      <c r="K76" s="156">
        <v>5</v>
      </c>
      <c r="L76" s="100" t="s">
        <v>90</v>
      </c>
      <c r="M76" s="90"/>
    </row>
    <row r="77" spans="1:13" s="83" customFormat="1" x14ac:dyDescent="0.2">
      <c r="H77" s="90"/>
      <c r="L77" s="90"/>
      <c r="M77" s="90"/>
    </row>
    <row r="78" spans="1:13" s="83" customFormat="1" ht="13.5" thickBot="1" x14ac:dyDescent="0.25">
      <c r="H78" s="90"/>
      <c r="I78" s="90"/>
      <c r="J78" s="90"/>
      <c r="L78" s="92" t="s">
        <v>43</v>
      </c>
      <c r="M78" s="92"/>
    </row>
    <row r="79" spans="1:13" s="83" customFormat="1" x14ac:dyDescent="0.2">
      <c r="I79" s="90"/>
      <c r="J79" s="90"/>
      <c r="L79" s="98" t="s">
        <v>91</v>
      </c>
    </row>
    <row r="80" spans="1:13" s="83" customFormat="1" x14ac:dyDescent="0.2">
      <c r="I80" s="90"/>
      <c r="J80" s="90"/>
      <c r="L80" s="98"/>
    </row>
    <row r="81" spans="1:13" s="83" customFormat="1" x14ac:dyDescent="0.2">
      <c r="A81" s="121" t="s">
        <v>119</v>
      </c>
      <c r="I81" s="90"/>
      <c r="J81" s="90"/>
      <c r="L81" s="98"/>
    </row>
    <row r="82" spans="1:13" s="83" customFormat="1" x14ac:dyDescent="0.2">
      <c r="A82" s="121"/>
      <c r="I82" s="90"/>
      <c r="J82" s="90"/>
      <c r="L82" s="98"/>
    </row>
    <row r="83" spans="1:13" s="83" customFormat="1" x14ac:dyDescent="0.2">
      <c r="F83" s="99" t="s">
        <v>439</v>
      </c>
      <c r="G83" s="156"/>
      <c r="H83" s="156"/>
      <c r="I83" s="156">
        <v>8</v>
      </c>
      <c r="J83" s="156"/>
      <c r="K83" s="156"/>
    </row>
    <row r="84" spans="1:13" s="83" customFormat="1" x14ac:dyDescent="0.2">
      <c r="F84" s="122"/>
      <c r="G84" s="122"/>
      <c r="H84" s="123"/>
      <c r="I84" s="97" t="s">
        <v>59</v>
      </c>
      <c r="J84" s="156"/>
      <c r="K84" s="156">
        <v>13</v>
      </c>
    </row>
    <row r="85" spans="1:13" s="83" customFormat="1" x14ac:dyDescent="0.2">
      <c r="F85" s="124" t="s">
        <v>59</v>
      </c>
      <c r="G85" s="124"/>
      <c r="H85" s="125"/>
      <c r="I85" s="122">
        <v>13</v>
      </c>
      <c r="J85" s="123"/>
      <c r="K85" s="156"/>
    </row>
    <row r="86" spans="1:13" s="83" customFormat="1" ht="13.5" thickBot="1" x14ac:dyDescent="0.25">
      <c r="F86" s="156"/>
      <c r="G86" s="156"/>
      <c r="H86" s="156"/>
      <c r="I86" s="97"/>
      <c r="J86" s="126"/>
      <c r="K86" s="156"/>
      <c r="L86" s="83" t="s">
        <v>59</v>
      </c>
    </row>
    <row r="87" spans="1:13" s="83" customFormat="1" x14ac:dyDescent="0.2">
      <c r="F87" s="156" t="s">
        <v>44</v>
      </c>
      <c r="G87" s="156"/>
      <c r="H87" s="156"/>
      <c r="I87" s="97">
        <v>7</v>
      </c>
      <c r="J87" s="126"/>
      <c r="K87" s="127"/>
      <c r="L87" s="117" t="s">
        <v>92</v>
      </c>
      <c r="M87" s="94"/>
    </row>
    <row r="88" spans="1:13" s="83" customFormat="1" x14ac:dyDescent="0.2">
      <c r="F88" s="122"/>
      <c r="G88" s="122"/>
      <c r="H88" s="123"/>
      <c r="I88" s="124" t="s">
        <v>46</v>
      </c>
      <c r="J88" s="125"/>
      <c r="K88" s="97">
        <v>6</v>
      </c>
    </row>
    <row r="89" spans="1:13" s="83" customFormat="1" ht="13.5" thickBot="1" x14ac:dyDescent="0.25">
      <c r="F89" s="124" t="s">
        <v>46</v>
      </c>
      <c r="G89" s="124"/>
      <c r="H89" s="125"/>
      <c r="I89" s="97">
        <v>13</v>
      </c>
      <c r="J89" s="156"/>
      <c r="K89" s="97"/>
      <c r="L89" s="90" t="s">
        <v>46</v>
      </c>
      <c r="M89" s="92"/>
    </row>
    <row r="90" spans="1:13" s="83" customFormat="1" x14ac:dyDescent="0.2">
      <c r="F90" s="156"/>
      <c r="G90" s="156"/>
      <c r="H90" s="156"/>
      <c r="I90" s="156"/>
      <c r="J90" s="156"/>
      <c r="K90" s="97"/>
      <c r="L90" s="117" t="s">
        <v>93</v>
      </c>
      <c r="M90" s="90"/>
    </row>
    <row r="91" spans="1:13" s="83" customFormat="1" x14ac:dyDescent="0.2">
      <c r="F91" s="156"/>
      <c r="G91" s="156"/>
      <c r="H91" s="97"/>
      <c r="I91" s="156" t="s">
        <v>439</v>
      </c>
      <c r="J91" s="156"/>
      <c r="K91" s="97">
        <v>13</v>
      </c>
      <c r="L91" s="90"/>
      <c r="M91" s="90"/>
    </row>
    <row r="92" spans="1:13" s="83" customFormat="1" ht="13.5" thickBot="1" x14ac:dyDescent="0.25">
      <c r="F92" s="156"/>
      <c r="G92" s="156"/>
      <c r="H92" s="97"/>
      <c r="I92" s="122"/>
      <c r="J92" s="123"/>
      <c r="K92" s="128"/>
      <c r="L92" s="92" t="s">
        <v>439</v>
      </c>
      <c r="M92" s="92"/>
    </row>
    <row r="93" spans="1:13" s="83" customFormat="1" x14ac:dyDescent="0.2">
      <c r="F93" s="156"/>
      <c r="G93" s="156"/>
      <c r="H93" s="97"/>
      <c r="I93" s="124" t="s">
        <v>44</v>
      </c>
      <c r="J93" s="125"/>
      <c r="K93" s="156">
        <v>8</v>
      </c>
      <c r="L93" s="100" t="s">
        <v>94</v>
      </c>
      <c r="M93" s="90"/>
    </row>
    <row r="94" spans="1:13" s="83" customFormat="1" x14ac:dyDescent="0.2">
      <c r="H94" s="90"/>
      <c r="L94" s="90"/>
      <c r="M94" s="90"/>
    </row>
    <row r="95" spans="1:13" s="83" customFormat="1" ht="13.5" thickBot="1" x14ac:dyDescent="0.25">
      <c r="F95" s="98"/>
      <c r="I95" s="90"/>
      <c r="J95" s="90"/>
      <c r="L95" s="92" t="s">
        <v>44</v>
      </c>
      <c r="M95" s="92"/>
    </row>
    <row r="96" spans="1:13" s="83" customFormat="1" x14ac:dyDescent="0.2">
      <c r="F96" s="98"/>
      <c r="I96" s="90"/>
      <c r="J96" s="90"/>
      <c r="L96" s="100" t="s">
        <v>95</v>
      </c>
    </row>
    <row r="97" spans="1:7" s="63" customFormat="1" x14ac:dyDescent="0.2"/>
    <row r="98" spans="1:7" x14ac:dyDescent="0.2">
      <c r="A98" s="101">
        <v>1</v>
      </c>
      <c r="B98" s="542" t="s">
        <v>438</v>
      </c>
      <c r="D98" s="112" t="s">
        <v>443</v>
      </c>
      <c r="E98" s="415" t="s">
        <v>66</v>
      </c>
      <c r="F98" s="416"/>
      <c r="G98" s="417"/>
    </row>
    <row r="99" spans="1:7" x14ac:dyDescent="0.2">
      <c r="A99" s="101">
        <v>2</v>
      </c>
      <c r="B99" s="424" t="s">
        <v>270</v>
      </c>
      <c r="D99" s="112" t="s">
        <v>443</v>
      </c>
      <c r="E99" s="415" t="s">
        <v>255</v>
      </c>
      <c r="F99" s="416"/>
      <c r="G99" s="417"/>
    </row>
    <row r="100" spans="1:7" x14ac:dyDescent="0.2">
      <c r="A100" s="101">
        <v>3</v>
      </c>
      <c r="B100" s="543" t="s">
        <v>433</v>
      </c>
      <c r="C100" s="148"/>
      <c r="D100" s="112" t="s">
        <v>441</v>
      </c>
      <c r="E100" s="415" t="s">
        <v>38</v>
      </c>
      <c r="F100" s="416"/>
      <c r="G100" s="417"/>
    </row>
    <row r="101" spans="1:7" x14ac:dyDescent="0.2">
      <c r="A101" s="101">
        <v>4</v>
      </c>
      <c r="B101" s="105" t="s">
        <v>43</v>
      </c>
      <c r="C101" s="148"/>
      <c r="D101" s="112" t="s">
        <v>441</v>
      </c>
      <c r="E101" s="418" t="s">
        <v>54</v>
      </c>
      <c r="F101" s="416"/>
      <c r="G101" s="417"/>
    </row>
    <row r="102" spans="1:7" x14ac:dyDescent="0.2">
      <c r="A102" s="101">
        <v>5</v>
      </c>
      <c r="B102" s="352" t="s">
        <v>59</v>
      </c>
      <c r="C102" s="148"/>
      <c r="D102" s="112" t="s">
        <v>441</v>
      </c>
      <c r="E102" s="546" t="s">
        <v>39</v>
      </c>
      <c r="F102" s="416"/>
      <c r="G102" s="417"/>
    </row>
    <row r="103" spans="1:7" x14ac:dyDescent="0.2">
      <c r="A103" s="101">
        <v>6</v>
      </c>
      <c r="B103" s="105" t="s">
        <v>46</v>
      </c>
      <c r="C103" s="148"/>
      <c r="D103" s="112" t="s">
        <v>441</v>
      </c>
      <c r="E103" s="415" t="s">
        <v>250</v>
      </c>
      <c r="F103" s="416"/>
      <c r="G103" s="417"/>
    </row>
    <row r="104" spans="1:7" x14ac:dyDescent="0.2">
      <c r="A104" s="101">
        <v>7</v>
      </c>
      <c r="B104" s="352" t="s">
        <v>439</v>
      </c>
      <c r="C104" s="148"/>
      <c r="D104" s="112" t="s">
        <v>441</v>
      </c>
      <c r="E104" s="547" t="s">
        <v>45</v>
      </c>
      <c r="F104" s="416"/>
      <c r="G104" s="417"/>
    </row>
    <row r="105" spans="1:7" x14ac:dyDescent="0.2">
      <c r="A105" s="101">
        <v>8</v>
      </c>
      <c r="B105" s="544" t="s">
        <v>44</v>
      </c>
      <c r="C105" s="148"/>
      <c r="D105" s="112" t="s">
        <v>441</v>
      </c>
      <c r="E105" s="418" t="s">
        <v>177</v>
      </c>
      <c r="F105" s="416"/>
      <c r="G105" s="417"/>
    </row>
    <row r="106" spans="1:7" x14ac:dyDescent="0.2">
      <c r="A106" s="112" t="s">
        <v>442</v>
      </c>
      <c r="B106" s="111" t="s">
        <v>37</v>
      </c>
      <c r="C106" s="148"/>
      <c r="D106" s="112" t="s">
        <v>441</v>
      </c>
      <c r="E106" s="445" t="s">
        <v>47</v>
      </c>
      <c r="F106" s="416"/>
      <c r="G106" s="417"/>
    </row>
    <row r="107" spans="1:7" x14ac:dyDescent="0.2">
      <c r="A107" s="112" t="s">
        <v>442</v>
      </c>
      <c r="B107" s="108" t="s">
        <v>435</v>
      </c>
      <c r="C107" s="148"/>
      <c r="D107" s="112" t="s">
        <v>441</v>
      </c>
      <c r="E107" s="444" t="s">
        <v>48</v>
      </c>
      <c r="F107" s="416"/>
      <c r="G107" s="417"/>
    </row>
    <row r="108" spans="1:7" x14ac:dyDescent="0.2">
      <c r="A108" s="112" t="s">
        <v>442</v>
      </c>
      <c r="B108" s="108" t="s">
        <v>256</v>
      </c>
      <c r="C108" s="148"/>
      <c r="D108" s="112" t="s">
        <v>441</v>
      </c>
      <c r="E108" s="415" t="s">
        <v>41</v>
      </c>
      <c r="F108" s="416"/>
      <c r="G108" s="417"/>
    </row>
    <row r="109" spans="1:7" x14ac:dyDescent="0.2">
      <c r="A109" s="112" t="s">
        <v>442</v>
      </c>
      <c r="B109" s="108" t="s">
        <v>25</v>
      </c>
      <c r="C109" s="148"/>
      <c r="D109" s="112" t="s">
        <v>470</v>
      </c>
      <c r="E109" s="415" t="s">
        <v>40</v>
      </c>
      <c r="F109" s="416"/>
      <c r="G109" s="417"/>
    </row>
    <row r="110" spans="1:7" x14ac:dyDescent="0.2">
      <c r="A110" s="112" t="s">
        <v>442</v>
      </c>
      <c r="B110" s="545" t="s">
        <v>33</v>
      </c>
      <c r="C110" s="148"/>
      <c r="D110" s="112" t="s">
        <v>470</v>
      </c>
      <c r="E110" s="415" t="s">
        <v>251</v>
      </c>
      <c r="F110" s="416"/>
      <c r="G110" s="417"/>
    </row>
    <row r="111" spans="1:7" x14ac:dyDescent="0.2">
      <c r="A111" s="112" t="s">
        <v>442</v>
      </c>
      <c r="B111" s="108" t="s">
        <v>50</v>
      </c>
      <c r="C111" s="148"/>
      <c r="D111" s="112" t="s">
        <v>470</v>
      </c>
      <c r="E111" s="415" t="s">
        <v>55</v>
      </c>
      <c r="F111" s="416"/>
      <c r="G111" s="417"/>
    </row>
    <row r="112" spans="1:7" x14ac:dyDescent="0.2">
      <c r="A112" s="112" t="s">
        <v>442</v>
      </c>
      <c r="B112" s="108" t="s">
        <v>261</v>
      </c>
      <c r="C112" s="148"/>
      <c r="D112" s="112" t="s">
        <v>470</v>
      </c>
      <c r="E112" s="546" t="s">
        <v>27</v>
      </c>
      <c r="F112" s="416"/>
      <c r="G112" s="417"/>
    </row>
    <row r="113" spans="1:7" x14ac:dyDescent="0.2">
      <c r="A113" s="112" t="s">
        <v>442</v>
      </c>
      <c r="B113" s="226" t="s">
        <v>439</v>
      </c>
      <c r="C113" s="148"/>
      <c r="D113" s="112" t="s">
        <v>470</v>
      </c>
      <c r="E113" s="446" t="s">
        <v>434</v>
      </c>
      <c r="F113" s="416"/>
      <c r="G113" s="417"/>
    </row>
    <row r="114" spans="1:7" x14ac:dyDescent="0.2">
      <c r="C114" s="148"/>
      <c r="D114" s="112" t="s">
        <v>469</v>
      </c>
      <c r="E114" s="443" t="s">
        <v>65</v>
      </c>
      <c r="F114" s="416"/>
      <c r="G114" s="417"/>
    </row>
    <row r="115" spans="1:7" x14ac:dyDescent="0.2">
      <c r="C115" s="148"/>
      <c r="D115" s="148"/>
      <c r="E115" s="148"/>
      <c r="F115" s="148"/>
      <c r="G115" s="148"/>
    </row>
    <row r="116" spans="1:7" x14ac:dyDescent="0.2">
      <c r="C116" s="148"/>
    </row>
    <row r="117" spans="1:7" x14ac:dyDescent="0.2">
      <c r="C117" s="148"/>
    </row>
    <row r="118" spans="1:7" x14ac:dyDescent="0.2">
      <c r="C118" s="148"/>
    </row>
    <row r="119" spans="1:7" x14ac:dyDescent="0.2">
      <c r="C119" s="148"/>
    </row>
    <row r="120" spans="1:7" x14ac:dyDescent="0.2">
      <c r="C120" s="148"/>
    </row>
    <row r="121" spans="1:7" x14ac:dyDescent="0.2">
      <c r="C121" s="148"/>
    </row>
    <row r="122" spans="1:7" x14ac:dyDescent="0.2">
      <c r="C122" s="148"/>
    </row>
    <row r="123" spans="1:7" x14ac:dyDescent="0.2">
      <c r="C123" s="148"/>
    </row>
    <row r="124" spans="1:7" x14ac:dyDescent="0.2">
      <c r="C124" s="148"/>
    </row>
    <row r="125" spans="1:7" x14ac:dyDescent="0.2">
      <c r="C125" s="148"/>
    </row>
    <row r="126" spans="1:7" x14ac:dyDescent="0.2">
      <c r="C126" s="148"/>
    </row>
    <row r="127" spans="1:7" x14ac:dyDescent="0.2">
      <c r="C127" s="148"/>
    </row>
    <row r="128" spans="1:7" x14ac:dyDescent="0.2">
      <c r="C128" s="148"/>
    </row>
    <row r="129" spans="3:3" x14ac:dyDescent="0.2">
      <c r="C129" s="148"/>
    </row>
    <row r="130" spans="3:3" x14ac:dyDescent="0.2">
      <c r="C130" s="148"/>
    </row>
    <row r="131" spans="3:3" x14ac:dyDescent="0.2">
      <c r="C131" s="148"/>
    </row>
  </sheetData>
  <sortState ref="E101:E109">
    <sortCondition ref="E101"/>
  </sortState>
  <conditionalFormatting sqref="F39 C7:N34 N42 F36:H38 F42:I42 F40:H41 C35:J35 C43:N93 K39:O41 M36:O38 J36:K38">
    <cfRule type="cellIs" dxfId="262" priority="6" operator="equal">
      <formula>13</formula>
    </cfRule>
  </conditionalFormatting>
  <conditionalFormatting sqref="E105">
    <cfRule type="cellIs" dxfId="261" priority="5" operator="equal">
      <formula>13</formula>
    </cfRule>
  </conditionalFormatting>
  <conditionalFormatting sqref="E106">
    <cfRule type="cellIs" dxfId="260" priority="4" operator="equal">
      <formula>13</formula>
    </cfRule>
  </conditionalFormatting>
  <conditionalFormatting sqref="E107">
    <cfRule type="cellIs" dxfId="259" priority="3" operator="equal">
      <formula>13</formula>
    </cfRule>
  </conditionalFormatting>
  <conditionalFormatting sqref="E108">
    <cfRule type="cellIs" dxfId="258" priority="2" operator="equal">
      <formula>13</formula>
    </cfRule>
  </conditionalFormatting>
  <conditionalFormatting sqref="E113">
    <cfRule type="cellIs" dxfId="257" priority="1" operator="equal">
      <formula>13</formula>
    </cfRule>
  </conditionalFormatting>
  <pageMargins left="0.39370078740157483" right="0.39370078740157483" top="0.74803149606299213" bottom="0.23622047244094491" header="0.62992125984251968" footer="0"/>
  <pageSetup paperSize="9" fitToHeight="0" orientation="landscape" verticalDpi="1200" r:id="rId1"/>
  <headerFooter>
    <oddHeader>&amp;R&amp;"Arial,Regular"&amp;9Page &amp;P of &amp;N</oddHeader>
  </headerFooter>
  <rowBreaks count="2" manualBreakCount="2">
    <brk id="41" max="14" man="1"/>
    <brk id="79" max="16383" man="1"/>
  </rowBreaks>
  <ignoredErrors>
    <ignoredError sqref="A106:A113" twoDigitTextYea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155"/>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293" customWidth="1"/>
    <col min="2" max="2" width="18.85546875" style="293" customWidth="1"/>
    <col min="3" max="22" width="2.7109375" style="293" customWidth="1"/>
    <col min="23" max="23" width="3" style="293" bestFit="1" customWidth="1"/>
    <col min="24" max="24" width="11.5703125" style="293" bestFit="1" customWidth="1"/>
    <col min="25" max="25" width="3" style="293" customWidth="1"/>
    <col min="26" max="27" width="4" style="293" hidden="1" customWidth="1"/>
    <col min="28" max="28" width="4.5703125" style="293" hidden="1" customWidth="1"/>
    <col min="29" max="29" width="9.140625" style="293"/>
    <col min="30" max="35" width="2.7109375" style="293" customWidth="1"/>
    <col min="36" max="225" width="9.140625" style="293"/>
    <col min="226" max="226" width="3" style="293" customWidth="1"/>
    <col min="227" max="227" width="18.7109375" style="293" customWidth="1"/>
    <col min="228" max="247" width="2.85546875" style="293" customWidth="1"/>
    <col min="248" max="248" width="3" style="293" bestFit="1" customWidth="1"/>
    <col min="249" max="249" width="10.5703125" style="293" customWidth="1"/>
    <col min="250" max="252" width="0" style="293" hidden="1" customWidth="1"/>
    <col min="253" max="481" width="9.140625" style="293"/>
    <col min="482" max="482" width="3" style="293" customWidth="1"/>
    <col min="483" max="483" width="18.7109375" style="293" customWidth="1"/>
    <col min="484" max="503" width="2.85546875" style="293" customWidth="1"/>
    <col min="504" max="504" width="3" style="293" bestFit="1" customWidth="1"/>
    <col min="505" max="505" width="10.5703125" style="293" customWidth="1"/>
    <col min="506" max="508" width="0" style="293" hidden="1" customWidth="1"/>
    <col min="509" max="737" width="9.140625" style="293"/>
    <col min="738" max="738" width="3" style="293" customWidth="1"/>
    <col min="739" max="739" width="18.7109375" style="293" customWidth="1"/>
    <col min="740" max="759" width="2.85546875" style="293" customWidth="1"/>
    <col min="760" max="760" width="3" style="293" bestFit="1" customWidth="1"/>
    <col min="761" max="761" width="10.5703125" style="293" customWidth="1"/>
    <col min="762" max="764" width="0" style="293" hidden="1" customWidth="1"/>
    <col min="765" max="993" width="9.140625" style="293"/>
    <col min="994" max="994" width="3" style="293" customWidth="1"/>
    <col min="995" max="995" width="18.7109375" style="293" customWidth="1"/>
    <col min="996" max="1015" width="2.85546875" style="293" customWidth="1"/>
    <col min="1016" max="1016" width="3" style="293" bestFit="1" customWidth="1"/>
    <col min="1017" max="1017" width="10.5703125" style="293" customWidth="1"/>
    <col min="1018" max="1020" width="0" style="293" hidden="1" customWidth="1"/>
    <col min="1021" max="1249" width="9.140625" style="293"/>
    <col min="1250" max="1250" width="3" style="293" customWidth="1"/>
    <col min="1251" max="1251" width="18.7109375" style="293" customWidth="1"/>
    <col min="1252" max="1271" width="2.85546875" style="293" customWidth="1"/>
    <col min="1272" max="1272" width="3" style="293" bestFit="1" customWidth="1"/>
    <col min="1273" max="1273" width="10.5703125" style="293" customWidth="1"/>
    <col min="1274" max="1276" width="0" style="293" hidden="1" customWidth="1"/>
    <col min="1277" max="1505" width="9.140625" style="293"/>
    <col min="1506" max="1506" width="3" style="293" customWidth="1"/>
    <col min="1507" max="1507" width="18.7109375" style="293" customWidth="1"/>
    <col min="1508" max="1527" width="2.85546875" style="293" customWidth="1"/>
    <col min="1528" max="1528" width="3" style="293" bestFit="1" customWidth="1"/>
    <col min="1529" max="1529" width="10.5703125" style="293" customWidth="1"/>
    <col min="1530" max="1532" width="0" style="293" hidden="1" customWidth="1"/>
    <col min="1533" max="1761" width="9.140625" style="293"/>
    <col min="1762" max="1762" width="3" style="293" customWidth="1"/>
    <col min="1763" max="1763" width="18.7109375" style="293" customWidth="1"/>
    <col min="1764" max="1783" width="2.85546875" style="293" customWidth="1"/>
    <col min="1784" max="1784" width="3" style="293" bestFit="1" customWidth="1"/>
    <col min="1785" max="1785" width="10.5703125" style="293" customWidth="1"/>
    <col min="1786" max="1788" width="0" style="293" hidden="1" customWidth="1"/>
    <col min="1789" max="2017" width="9.140625" style="293"/>
    <col min="2018" max="2018" width="3" style="293" customWidth="1"/>
    <col min="2019" max="2019" width="18.7109375" style="293" customWidth="1"/>
    <col min="2020" max="2039" width="2.85546875" style="293" customWidth="1"/>
    <col min="2040" max="2040" width="3" style="293" bestFit="1" customWidth="1"/>
    <col min="2041" max="2041" width="10.5703125" style="293" customWidth="1"/>
    <col min="2042" max="2044" width="0" style="293" hidden="1" customWidth="1"/>
    <col min="2045" max="2273" width="9.140625" style="293"/>
    <col min="2274" max="2274" width="3" style="293" customWidth="1"/>
    <col min="2275" max="2275" width="18.7109375" style="293" customWidth="1"/>
    <col min="2276" max="2295" width="2.85546875" style="293" customWidth="1"/>
    <col min="2296" max="2296" width="3" style="293" bestFit="1" customWidth="1"/>
    <col min="2297" max="2297" width="10.5703125" style="293" customWidth="1"/>
    <col min="2298" max="2300" width="0" style="293" hidden="1" customWidth="1"/>
    <col min="2301" max="2529" width="9.140625" style="293"/>
    <col min="2530" max="2530" width="3" style="293" customWidth="1"/>
    <col min="2531" max="2531" width="18.7109375" style="293" customWidth="1"/>
    <col min="2532" max="2551" width="2.85546875" style="293" customWidth="1"/>
    <col min="2552" max="2552" width="3" style="293" bestFit="1" customWidth="1"/>
    <col min="2553" max="2553" width="10.5703125" style="293" customWidth="1"/>
    <col min="2554" max="2556" width="0" style="293" hidden="1" customWidth="1"/>
    <col min="2557" max="2785" width="9.140625" style="293"/>
    <col min="2786" max="2786" width="3" style="293" customWidth="1"/>
    <col min="2787" max="2787" width="18.7109375" style="293" customWidth="1"/>
    <col min="2788" max="2807" width="2.85546875" style="293" customWidth="1"/>
    <col min="2808" max="2808" width="3" style="293" bestFit="1" customWidth="1"/>
    <col min="2809" max="2809" width="10.5703125" style="293" customWidth="1"/>
    <col min="2810" max="2812" width="0" style="293" hidden="1" customWidth="1"/>
    <col min="2813" max="3041" width="9.140625" style="293"/>
    <col min="3042" max="3042" width="3" style="293" customWidth="1"/>
    <col min="3043" max="3043" width="18.7109375" style="293" customWidth="1"/>
    <col min="3044" max="3063" width="2.85546875" style="293" customWidth="1"/>
    <col min="3064" max="3064" width="3" style="293" bestFit="1" customWidth="1"/>
    <col min="3065" max="3065" width="10.5703125" style="293" customWidth="1"/>
    <col min="3066" max="3068" width="0" style="293" hidden="1" customWidth="1"/>
    <col min="3069" max="3297" width="9.140625" style="293"/>
    <col min="3298" max="3298" width="3" style="293" customWidth="1"/>
    <col min="3299" max="3299" width="18.7109375" style="293" customWidth="1"/>
    <col min="3300" max="3319" width="2.85546875" style="293" customWidth="1"/>
    <col min="3320" max="3320" width="3" style="293" bestFit="1" customWidth="1"/>
    <col min="3321" max="3321" width="10.5703125" style="293" customWidth="1"/>
    <col min="3322" max="3324" width="0" style="293" hidden="1" customWidth="1"/>
    <col min="3325" max="3553" width="9.140625" style="293"/>
    <col min="3554" max="3554" width="3" style="293" customWidth="1"/>
    <col min="3555" max="3555" width="18.7109375" style="293" customWidth="1"/>
    <col min="3556" max="3575" width="2.85546875" style="293" customWidth="1"/>
    <col min="3576" max="3576" width="3" style="293" bestFit="1" customWidth="1"/>
    <col min="3577" max="3577" width="10.5703125" style="293" customWidth="1"/>
    <col min="3578" max="3580" width="0" style="293" hidden="1" customWidth="1"/>
    <col min="3581" max="3809" width="9.140625" style="293"/>
    <col min="3810" max="3810" width="3" style="293" customWidth="1"/>
    <col min="3811" max="3811" width="18.7109375" style="293" customWidth="1"/>
    <col min="3812" max="3831" width="2.85546875" style="293" customWidth="1"/>
    <col min="3832" max="3832" width="3" style="293" bestFit="1" customWidth="1"/>
    <col min="3833" max="3833" width="10.5703125" style="293" customWidth="1"/>
    <col min="3834" max="3836" width="0" style="293" hidden="1" customWidth="1"/>
    <col min="3837" max="4065" width="9.140625" style="293"/>
    <col min="4066" max="4066" width="3" style="293" customWidth="1"/>
    <col min="4067" max="4067" width="18.7109375" style="293" customWidth="1"/>
    <col min="4068" max="4087" width="2.85546875" style="293" customWidth="1"/>
    <col min="4088" max="4088" width="3" style="293" bestFit="1" customWidth="1"/>
    <col min="4089" max="4089" width="10.5703125" style="293" customWidth="1"/>
    <col min="4090" max="4092" width="0" style="293" hidden="1" customWidth="1"/>
    <col min="4093" max="4321" width="9.140625" style="293"/>
    <col min="4322" max="4322" width="3" style="293" customWidth="1"/>
    <col min="4323" max="4323" width="18.7109375" style="293" customWidth="1"/>
    <col min="4324" max="4343" width="2.85546875" style="293" customWidth="1"/>
    <col min="4344" max="4344" width="3" style="293" bestFit="1" customWidth="1"/>
    <col min="4345" max="4345" width="10.5703125" style="293" customWidth="1"/>
    <col min="4346" max="4348" width="0" style="293" hidden="1" customWidth="1"/>
    <col min="4349" max="4577" width="9.140625" style="293"/>
    <col min="4578" max="4578" width="3" style="293" customWidth="1"/>
    <col min="4579" max="4579" width="18.7109375" style="293" customWidth="1"/>
    <col min="4580" max="4599" width="2.85546875" style="293" customWidth="1"/>
    <col min="4600" max="4600" width="3" style="293" bestFit="1" customWidth="1"/>
    <col min="4601" max="4601" width="10.5703125" style="293" customWidth="1"/>
    <col min="4602" max="4604" width="0" style="293" hidden="1" customWidth="1"/>
    <col min="4605" max="4833" width="9.140625" style="293"/>
    <col min="4834" max="4834" width="3" style="293" customWidth="1"/>
    <col min="4835" max="4835" width="18.7109375" style="293" customWidth="1"/>
    <col min="4836" max="4855" width="2.85546875" style="293" customWidth="1"/>
    <col min="4856" max="4856" width="3" style="293" bestFit="1" customWidth="1"/>
    <col min="4857" max="4857" width="10.5703125" style="293" customWidth="1"/>
    <col min="4858" max="4860" width="0" style="293" hidden="1" customWidth="1"/>
    <col min="4861" max="5089" width="9.140625" style="293"/>
    <col min="5090" max="5090" width="3" style="293" customWidth="1"/>
    <col min="5091" max="5091" width="18.7109375" style="293" customWidth="1"/>
    <col min="5092" max="5111" width="2.85546875" style="293" customWidth="1"/>
    <col min="5112" max="5112" width="3" style="293" bestFit="1" customWidth="1"/>
    <col min="5113" max="5113" width="10.5703125" style="293" customWidth="1"/>
    <col min="5114" max="5116" width="0" style="293" hidden="1" customWidth="1"/>
    <col min="5117" max="5345" width="9.140625" style="293"/>
    <col min="5346" max="5346" width="3" style="293" customWidth="1"/>
    <col min="5347" max="5347" width="18.7109375" style="293" customWidth="1"/>
    <col min="5348" max="5367" width="2.85546875" style="293" customWidth="1"/>
    <col min="5368" max="5368" width="3" style="293" bestFit="1" customWidth="1"/>
    <col min="5369" max="5369" width="10.5703125" style="293" customWidth="1"/>
    <col min="5370" max="5372" width="0" style="293" hidden="1" customWidth="1"/>
    <col min="5373" max="5601" width="9.140625" style="293"/>
    <col min="5602" max="5602" width="3" style="293" customWidth="1"/>
    <col min="5603" max="5603" width="18.7109375" style="293" customWidth="1"/>
    <col min="5604" max="5623" width="2.85546875" style="293" customWidth="1"/>
    <col min="5624" max="5624" width="3" style="293" bestFit="1" customWidth="1"/>
    <col min="5625" max="5625" width="10.5703125" style="293" customWidth="1"/>
    <col min="5626" max="5628" width="0" style="293" hidden="1" customWidth="1"/>
    <col min="5629" max="5857" width="9.140625" style="293"/>
    <col min="5858" max="5858" width="3" style="293" customWidth="1"/>
    <col min="5859" max="5859" width="18.7109375" style="293" customWidth="1"/>
    <col min="5860" max="5879" width="2.85546875" style="293" customWidth="1"/>
    <col min="5880" max="5880" width="3" style="293" bestFit="1" customWidth="1"/>
    <col min="5881" max="5881" width="10.5703125" style="293" customWidth="1"/>
    <col min="5882" max="5884" width="0" style="293" hidden="1" customWidth="1"/>
    <col min="5885" max="6113" width="9.140625" style="293"/>
    <col min="6114" max="6114" width="3" style="293" customWidth="1"/>
    <col min="6115" max="6115" width="18.7109375" style="293" customWidth="1"/>
    <col min="6116" max="6135" width="2.85546875" style="293" customWidth="1"/>
    <col min="6136" max="6136" width="3" style="293" bestFit="1" customWidth="1"/>
    <col min="6137" max="6137" width="10.5703125" style="293" customWidth="1"/>
    <col min="6138" max="6140" width="0" style="293" hidden="1" customWidth="1"/>
    <col min="6141" max="6369" width="9.140625" style="293"/>
    <col min="6370" max="6370" width="3" style="293" customWidth="1"/>
    <col min="6371" max="6371" width="18.7109375" style="293" customWidth="1"/>
    <col min="6372" max="6391" width="2.85546875" style="293" customWidth="1"/>
    <col min="6392" max="6392" width="3" style="293" bestFit="1" customWidth="1"/>
    <col min="6393" max="6393" width="10.5703125" style="293" customWidth="1"/>
    <col min="6394" max="6396" width="0" style="293" hidden="1" customWidth="1"/>
    <col min="6397" max="6625" width="9.140625" style="293"/>
    <col min="6626" max="6626" width="3" style="293" customWidth="1"/>
    <col min="6627" max="6627" width="18.7109375" style="293" customWidth="1"/>
    <col min="6628" max="6647" width="2.85546875" style="293" customWidth="1"/>
    <col min="6648" max="6648" width="3" style="293" bestFit="1" customWidth="1"/>
    <col min="6649" max="6649" width="10.5703125" style="293" customWidth="1"/>
    <col min="6650" max="6652" width="0" style="293" hidden="1" customWidth="1"/>
    <col min="6653" max="6881" width="9.140625" style="293"/>
    <col min="6882" max="6882" width="3" style="293" customWidth="1"/>
    <col min="6883" max="6883" width="18.7109375" style="293" customWidth="1"/>
    <col min="6884" max="6903" width="2.85546875" style="293" customWidth="1"/>
    <col min="6904" max="6904" width="3" style="293" bestFit="1" customWidth="1"/>
    <col min="6905" max="6905" width="10.5703125" style="293" customWidth="1"/>
    <col min="6906" max="6908" width="0" style="293" hidden="1" customWidth="1"/>
    <col min="6909" max="7137" width="9.140625" style="293"/>
    <col min="7138" max="7138" width="3" style="293" customWidth="1"/>
    <col min="7139" max="7139" width="18.7109375" style="293" customWidth="1"/>
    <col min="7140" max="7159" width="2.85546875" style="293" customWidth="1"/>
    <col min="7160" max="7160" width="3" style="293" bestFit="1" customWidth="1"/>
    <col min="7161" max="7161" width="10.5703125" style="293" customWidth="1"/>
    <col min="7162" max="7164" width="0" style="293" hidden="1" customWidth="1"/>
    <col min="7165" max="7393" width="9.140625" style="293"/>
    <col min="7394" max="7394" width="3" style="293" customWidth="1"/>
    <col min="7395" max="7395" width="18.7109375" style="293" customWidth="1"/>
    <col min="7396" max="7415" width="2.85546875" style="293" customWidth="1"/>
    <col min="7416" max="7416" width="3" style="293" bestFit="1" customWidth="1"/>
    <col min="7417" max="7417" width="10.5703125" style="293" customWidth="1"/>
    <col min="7418" max="7420" width="0" style="293" hidden="1" customWidth="1"/>
    <col min="7421" max="7649" width="9.140625" style="293"/>
    <col min="7650" max="7650" width="3" style="293" customWidth="1"/>
    <col min="7651" max="7651" width="18.7109375" style="293" customWidth="1"/>
    <col min="7652" max="7671" width="2.85546875" style="293" customWidth="1"/>
    <col min="7672" max="7672" width="3" style="293" bestFit="1" customWidth="1"/>
    <col min="7673" max="7673" width="10.5703125" style="293" customWidth="1"/>
    <col min="7674" max="7676" width="0" style="293" hidden="1" customWidth="1"/>
    <col min="7677" max="7905" width="9.140625" style="293"/>
    <col min="7906" max="7906" width="3" style="293" customWidth="1"/>
    <col min="7907" max="7907" width="18.7109375" style="293" customWidth="1"/>
    <col min="7908" max="7927" width="2.85546875" style="293" customWidth="1"/>
    <col min="7928" max="7928" width="3" style="293" bestFit="1" customWidth="1"/>
    <col min="7929" max="7929" width="10.5703125" style="293" customWidth="1"/>
    <col min="7930" max="7932" width="0" style="293" hidden="1" customWidth="1"/>
    <col min="7933" max="8161" width="9.140625" style="293"/>
    <col min="8162" max="8162" width="3" style="293" customWidth="1"/>
    <col min="8163" max="8163" width="18.7109375" style="293" customWidth="1"/>
    <col min="8164" max="8183" width="2.85546875" style="293" customWidth="1"/>
    <col min="8184" max="8184" width="3" style="293" bestFit="1" customWidth="1"/>
    <col min="8185" max="8185" width="10.5703125" style="293" customWidth="1"/>
    <col min="8186" max="8188" width="0" style="293" hidden="1" customWidth="1"/>
    <col min="8189" max="8417" width="9.140625" style="293"/>
    <col min="8418" max="8418" width="3" style="293" customWidth="1"/>
    <col min="8419" max="8419" width="18.7109375" style="293" customWidth="1"/>
    <col min="8420" max="8439" width="2.85546875" style="293" customWidth="1"/>
    <col min="8440" max="8440" width="3" style="293" bestFit="1" customWidth="1"/>
    <col min="8441" max="8441" width="10.5703125" style="293" customWidth="1"/>
    <col min="8442" max="8444" width="0" style="293" hidden="1" customWidth="1"/>
    <col min="8445" max="8673" width="9.140625" style="293"/>
    <col min="8674" max="8674" width="3" style="293" customWidth="1"/>
    <col min="8675" max="8675" width="18.7109375" style="293" customWidth="1"/>
    <col min="8676" max="8695" width="2.85546875" style="293" customWidth="1"/>
    <col min="8696" max="8696" width="3" style="293" bestFit="1" customWidth="1"/>
    <col min="8697" max="8697" width="10.5703125" style="293" customWidth="1"/>
    <col min="8698" max="8700" width="0" style="293" hidden="1" customWidth="1"/>
    <col min="8701" max="8929" width="9.140625" style="293"/>
    <col min="8930" max="8930" width="3" style="293" customWidth="1"/>
    <col min="8931" max="8931" width="18.7109375" style="293" customWidth="1"/>
    <col min="8932" max="8951" width="2.85546875" style="293" customWidth="1"/>
    <col min="8952" max="8952" width="3" style="293" bestFit="1" customWidth="1"/>
    <col min="8953" max="8953" width="10.5703125" style="293" customWidth="1"/>
    <col min="8954" max="8956" width="0" style="293" hidden="1" customWidth="1"/>
    <col min="8957" max="9185" width="9.140625" style="293"/>
    <col min="9186" max="9186" width="3" style="293" customWidth="1"/>
    <col min="9187" max="9187" width="18.7109375" style="293" customWidth="1"/>
    <col min="9188" max="9207" width="2.85546875" style="293" customWidth="1"/>
    <col min="9208" max="9208" width="3" style="293" bestFit="1" customWidth="1"/>
    <col min="9209" max="9209" width="10.5703125" style="293" customWidth="1"/>
    <col min="9210" max="9212" width="0" style="293" hidden="1" customWidth="1"/>
    <col min="9213" max="9441" width="9.140625" style="293"/>
    <col min="9442" max="9442" width="3" style="293" customWidth="1"/>
    <col min="9443" max="9443" width="18.7109375" style="293" customWidth="1"/>
    <col min="9444" max="9463" width="2.85546875" style="293" customWidth="1"/>
    <col min="9464" max="9464" width="3" style="293" bestFit="1" customWidth="1"/>
    <col min="9465" max="9465" width="10.5703125" style="293" customWidth="1"/>
    <col min="9466" max="9468" width="0" style="293" hidden="1" customWidth="1"/>
    <col min="9469" max="9697" width="9.140625" style="293"/>
    <col min="9698" max="9698" width="3" style="293" customWidth="1"/>
    <col min="9699" max="9699" width="18.7109375" style="293" customWidth="1"/>
    <col min="9700" max="9719" width="2.85546875" style="293" customWidth="1"/>
    <col min="9720" max="9720" width="3" style="293" bestFit="1" customWidth="1"/>
    <col min="9721" max="9721" width="10.5703125" style="293" customWidth="1"/>
    <col min="9722" max="9724" width="0" style="293" hidden="1" customWidth="1"/>
    <col min="9725" max="9953" width="9.140625" style="293"/>
    <col min="9954" max="9954" width="3" style="293" customWidth="1"/>
    <col min="9955" max="9955" width="18.7109375" style="293" customWidth="1"/>
    <col min="9956" max="9975" width="2.85546875" style="293" customWidth="1"/>
    <col min="9976" max="9976" width="3" style="293" bestFit="1" customWidth="1"/>
    <col min="9977" max="9977" width="10.5703125" style="293" customWidth="1"/>
    <col min="9978" max="9980" width="0" style="293" hidden="1" customWidth="1"/>
    <col min="9981" max="10209" width="9.140625" style="293"/>
    <col min="10210" max="10210" width="3" style="293" customWidth="1"/>
    <col min="10211" max="10211" width="18.7109375" style="293" customWidth="1"/>
    <col min="10212" max="10231" width="2.85546875" style="293" customWidth="1"/>
    <col min="10232" max="10232" width="3" style="293" bestFit="1" customWidth="1"/>
    <col min="10233" max="10233" width="10.5703125" style="293" customWidth="1"/>
    <col min="10234" max="10236" width="0" style="293" hidden="1" customWidth="1"/>
    <col min="10237" max="10465" width="9.140625" style="293"/>
    <col min="10466" max="10466" width="3" style="293" customWidth="1"/>
    <col min="10467" max="10467" width="18.7109375" style="293" customWidth="1"/>
    <col min="10468" max="10487" width="2.85546875" style="293" customWidth="1"/>
    <col min="10488" max="10488" width="3" style="293" bestFit="1" customWidth="1"/>
    <col min="10489" max="10489" width="10.5703125" style="293" customWidth="1"/>
    <col min="10490" max="10492" width="0" style="293" hidden="1" customWidth="1"/>
    <col min="10493" max="10721" width="9.140625" style="293"/>
    <col min="10722" max="10722" width="3" style="293" customWidth="1"/>
    <col min="10723" max="10723" width="18.7109375" style="293" customWidth="1"/>
    <col min="10724" max="10743" width="2.85546875" style="293" customWidth="1"/>
    <col min="10744" max="10744" width="3" style="293" bestFit="1" customWidth="1"/>
    <col min="10745" max="10745" width="10.5703125" style="293" customWidth="1"/>
    <col min="10746" max="10748" width="0" style="293" hidden="1" customWidth="1"/>
    <col min="10749" max="10977" width="9.140625" style="293"/>
    <col min="10978" max="10978" width="3" style="293" customWidth="1"/>
    <col min="10979" max="10979" width="18.7109375" style="293" customWidth="1"/>
    <col min="10980" max="10999" width="2.85546875" style="293" customWidth="1"/>
    <col min="11000" max="11000" width="3" style="293" bestFit="1" customWidth="1"/>
    <col min="11001" max="11001" width="10.5703125" style="293" customWidth="1"/>
    <col min="11002" max="11004" width="0" style="293" hidden="1" customWidth="1"/>
    <col min="11005" max="11233" width="9.140625" style="293"/>
    <col min="11234" max="11234" width="3" style="293" customWidth="1"/>
    <col min="11235" max="11235" width="18.7109375" style="293" customWidth="1"/>
    <col min="11236" max="11255" width="2.85546875" style="293" customWidth="1"/>
    <col min="11256" max="11256" width="3" style="293" bestFit="1" customWidth="1"/>
    <col min="11257" max="11257" width="10.5703125" style="293" customWidth="1"/>
    <col min="11258" max="11260" width="0" style="293" hidden="1" customWidth="1"/>
    <col min="11261" max="11489" width="9.140625" style="293"/>
    <col min="11490" max="11490" width="3" style="293" customWidth="1"/>
    <col min="11491" max="11491" width="18.7109375" style="293" customWidth="1"/>
    <col min="11492" max="11511" width="2.85546875" style="293" customWidth="1"/>
    <col min="11512" max="11512" width="3" style="293" bestFit="1" customWidth="1"/>
    <col min="11513" max="11513" width="10.5703125" style="293" customWidth="1"/>
    <col min="11514" max="11516" width="0" style="293" hidden="1" customWidth="1"/>
    <col min="11517" max="11745" width="9.140625" style="293"/>
    <col min="11746" max="11746" width="3" style="293" customWidth="1"/>
    <col min="11747" max="11747" width="18.7109375" style="293" customWidth="1"/>
    <col min="11748" max="11767" width="2.85546875" style="293" customWidth="1"/>
    <col min="11768" max="11768" width="3" style="293" bestFit="1" customWidth="1"/>
    <col min="11769" max="11769" width="10.5703125" style="293" customWidth="1"/>
    <col min="11770" max="11772" width="0" style="293" hidden="1" customWidth="1"/>
    <col min="11773" max="12001" width="9.140625" style="293"/>
    <col min="12002" max="12002" width="3" style="293" customWidth="1"/>
    <col min="12003" max="12003" width="18.7109375" style="293" customWidth="1"/>
    <col min="12004" max="12023" width="2.85546875" style="293" customWidth="1"/>
    <col min="12024" max="12024" width="3" style="293" bestFit="1" customWidth="1"/>
    <col min="12025" max="12025" width="10.5703125" style="293" customWidth="1"/>
    <col min="12026" max="12028" width="0" style="293" hidden="1" customWidth="1"/>
    <col min="12029" max="12257" width="9.140625" style="293"/>
    <col min="12258" max="12258" width="3" style="293" customWidth="1"/>
    <col min="12259" max="12259" width="18.7109375" style="293" customWidth="1"/>
    <col min="12260" max="12279" width="2.85546875" style="293" customWidth="1"/>
    <col min="12280" max="12280" width="3" style="293" bestFit="1" customWidth="1"/>
    <col min="12281" max="12281" width="10.5703125" style="293" customWidth="1"/>
    <col min="12282" max="12284" width="0" style="293" hidden="1" customWidth="1"/>
    <col min="12285" max="12513" width="9.140625" style="293"/>
    <col min="12514" max="12514" width="3" style="293" customWidth="1"/>
    <col min="12515" max="12515" width="18.7109375" style="293" customWidth="1"/>
    <col min="12516" max="12535" width="2.85546875" style="293" customWidth="1"/>
    <col min="12536" max="12536" width="3" style="293" bestFit="1" customWidth="1"/>
    <col min="12537" max="12537" width="10.5703125" style="293" customWidth="1"/>
    <col min="12538" max="12540" width="0" style="293" hidden="1" customWidth="1"/>
    <col min="12541" max="12769" width="9.140625" style="293"/>
    <col min="12770" max="12770" width="3" style="293" customWidth="1"/>
    <col min="12771" max="12771" width="18.7109375" style="293" customWidth="1"/>
    <col min="12772" max="12791" width="2.85546875" style="293" customWidth="1"/>
    <col min="12792" max="12792" width="3" style="293" bestFit="1" customWidth="1"/>
    <col min="12793" max="12793" width="10.5703125" style="293" customWidth="1"/>
    <col min="12794" max="12796" width="0" style="293" hidden="1" customWidth="1"/>
    <col min="12797" max="13025" width="9.140625" style="293"/>
    <col min="13026" max="13026" width="3" style="293" customWidth="1"/>
    <col min="13027" max="13027" width="18.7109375" style="293" customWidth="1"/>
    <col min="13028" max="13047" width="2.85546875" style="293" customWidth="1"/>
    <col min="13048" max="13048" width="3" style="293" bestFit="1" customWidth="1"/>
    <col min="13049" max="13049" width="10.5703125" style="293" customWidth="1"/>
    <col min="13050" max="13052" width="0" style="293" hidden="1" customWidth="1"/>
    <col min="13053" max="13281" width="9.140625" style="293"/>
    <col min="13282" max="13282" width="3" style="293" customWidth="1"/>
    <col min="13283" max="13283" width="18.7109375" style="293" customWidth="1"/>
    <col min="13284" max="13303" width="2.85546875" style="293" customWidth="1"/>
    <col min="13304" max="13304" width="3" style="293" bestFit="1" customWidth="1"/>
    <col min="13305" max="13305" width="10.5703125" style="293" customWidth="1"/>
    <col min="13306" max="13308" width="0" style="293" hidden="1" customWidth="1"/>
    <col min="13309" max="13537" width="9.140625" style="293"/>
    <col min="13538" max="13538" width="3" style="293" customWidth="1"/>
    <col min="13539" max="13539" width="18.7109375" style="293" customWidth="1"/>
    <col min="13540" max="13559" width="2.85546875" style="293" customWidth="1"/>
    <col min="13560" max="13560" width="3" style="293" bestFit="1" customWidth="1"/>
    <col min="13561" max="13561" width="10.5703125" style="293" customWidth="1"/>
    <col min="13562" max="13564" width="0" style="293" hidden="1" customWidth="1"/>
    <col min="13565" max="13793" width="9.140625" style="293"/>
    <col min="13794" max="13794" width="3" style="293" customWidth="1"/>
    <col min="13795" max="13795" width="18.7109375" style="293" customWidth="1"/>
    <col min="13796" max="13815" width="2.85546875" style="293" customWidth="1"/>
    <col min="13816" max="13816" width="3" style="293" bestFit="1" customWidth="1"/>
    <col min="13817" max="13817" width="10.5703125" style="293" customWidth="1"/>
    <col min="13818" max="13820" width="0" style="293" hidden="1" customWidth="1"/>
    <col min="13821" max="14049" width="9.140625" style="293"/>
    <col min="14050" max="14050" width="3" style="293" customWidth="1"/>
    <col min="14051" max="14051" width="18.7109375" style="293" customWidth="1"/>
    <col min="14052" max="14071" width="2.85546875" style="293" customWidth="1"/>
    <col min="14072" max="14072" width="3" style="293" bestFit="1" customWidth="1"/>
    <col min="14073" max="14073" width="10.5703125" style="293" customWidth="1"/>
    <col min="14074" max="14076" width="0" style="293" hidden="1" customWidth="1"/>
    <col min="14077" max="14305" width="9.140625" style="293"/>
    <col min="14306" max="14306" width="3" style="293" customWidth="1"/>
    <col min="14307" max="14307" width="18.7109375" style="293" customWidth="1"/>
    <col min="14308" max="14327" width="2.85546875" style="293" customWidth="1"/>
    <col min="14328" max="14328" width="3" style="293" bestFit="1" customWidth="1"/>
    <col min="14329" max="14329" width="10.5703125" style="293" customWidth="1"/>
    <col min="14330" max="14332" width="0" style="293" hidden="1" customWidth="1"/>
    <col min="14333" max="14561" width="9.140625" style="293"/>
    <col min="14562" max="14562" width="3" style="293" customWidth="1"/>
    <col min="14563" max="14563" width="18.7109375" style="293" customWidth="1"/>
    <col min="14564" max="14583" width="2.85546875" style="293" customWidth="1"/>
    <col min="14584" max="14584" width="3" style="293" bestFit="1" customWidth="1"/>
    <col min="14585" max="14585" width="10.5703125" style="293" customWidth="1"/>
    <col min="14586" max="14588" width="0" style="293" hidden="1" customWidth="1"/>
    <col min="14589" max="14817" width="9.140625" style="293"/>
    <col min="14818" max="14818" width="3" style="293" customWidth="1"/>
    <col min="14819" max="14819" width="18.7109375" style="293" customWidth="1"/>
    <col min="14820" max="14839" width="2.85546875" style="293" customWidth="1"/>
    <col min="14840" max="14840" width="3" style="293" bestFit="1" customWidth="1"/>
    <col min="14841" max="14841" width="10.5703125" style="293" customWidth="1"/>
    <col min="14842" max="14844" width="0" style="293" hidden="1" customWidth="1"/>
    <col min="14845" max="15073" width="9.140625" style="293"/>
    <col min="15074" max="15074" width="3" style="293" customWidth="1"/>
    <col min="15075" max="15075" width="18.7109375" style="293" customWidth="1"/>
    <col min="15076" max="15095" width="2.85546875" style="293" customWidth="1"/>
    <col min="15096" max="15096" width="3" style="293" bestFit="1" customWidth="1"/>
    <col min="15097" max="15097" width="10.5703125" style="293" customWidth="1"/>
    <col min="15098" max="15100" width="0" style="293" hidden="1" customWidth="1"/>
    <col min="15101" max="15329" width="9.140625" style="293"/>
    <col min="15330" max="15330" width="3" style="293" customWidth="1"/>
    <col min="15331" max="15331" width="18.7109375" style="293" customWidth="1"/>
    <col min="15332" max="15351" width="2.85546875" style="293" customWidth="1"/>
    <col min="15352" max="15352" width="3" style="293" bestFit="1" customWidth="1"/>
    <col min="15353" max="15353" width="10.5703125" style="293" customWidth="1"/>
    <col min="15354" max="15356" width="0" style="293" hidden="1" customWidth="1"/>
    <col min="15357" max="15585" width="9.140625" style="293"/>
    <col min="15586" max="15586" width="3" style="293" customWidth="1"/>
    <col min="15587" max="15587" width="18.7109375" style="293" customWidth="1"/>
    <col min="15588" max="15607" width="2.85546875" style="293" customWidth="1"/>
    <col min="15608" max="15608" width="3" style="293" bestFit="1" customWidth="1"/>
    <col min="15609" max="15609" width="10.5703125" style="293" customWidth="1"/>
    <col min="15610" max="15612" width="0" style="293" hidden="1" customWidth="1"/>
    <col min="15613" max="15841" width="9.140625" style="293"/>
    <col min="15842" max="15842" width="3" style="293" customWidth="1"/>
    <col min="15843" max="15843" width="18.7109375" style="293" customWidth="1"/>
    <col min="15844" max="15863" width="2.85546875" style="293" customWidth="1"/>
    <col min="15864" max="15864" width="3" style="293" bestFit="1" customWidth="1"/>
    <col min="15865" max="15865" width="10.5703125" style="293" customWidth="1"/>
    <col min="15866" max="15868" width="0" style="293" hidden="1" customWidth="1"/>
    <col min="15869" max="16097" width="9.140625" style="293"/>
    <col min="16098" max="16098" width="3" style="293" customWidth="1"/>
    <col min="16099" max="16099" width="18.7109375" style="293" customWidth="1"/>
    <col min="16100" max="16119" width="2.85546875" style="293" customWidth="1"/>
    <col min="16120" max="16120" width="3" style="293" bestFit="1" customWidth="1"/>
    <col min="16121" max="16121" width="10.5703125" style="293" customWidth="1"/>
    <col min="16122" max="16124" width="0" style="293" hidden="1" customWidth="1"/>
    <col min="16125" max="16384" width="9.140625" style="293"/>
  </cols>
  <sheetData>
    <row r="1" spans="1:25" s="83" customFormat="1" x14ac:dyDescent="0.2">
      <c r="A1" s="461" t="str">
        <f>UPPER((Kalend!D18)&amp;" - "&amp;(Kalend!C18)&amp;" - "&amp;(Kalend!E18))</f>
        <v>5 - EESTI SISE-MV - TULISTAMINE</v>
      </c>
      <c r="B1" s="462"/>
      <c r="C1" s="462"/>
      <c r="D1" s="462"/>
      <c r="E1" s="462"/>
      <c r="F1" s="90"/>
      <c r="G1" s="90"/>
      <c r="H1" s="90"/>
      <c r="I1" s="90"/>
      <c r="J1" s="90"/>
      <c r="K1" s="90"/>
      <c r="L1" s="90"/>
      <c r="M1" s="90"/>
      <c r="N1" s="90"/>
      <c r="O1" s="90"/>
      <c r="P1" s="90"/>
      <c r="Q1" s="90"/>
      <c r="R1" s="462"/>
      <c r="S1" s="463" t="str">
        <f>HYPERLINK("#'Üldreiting'!T1","Reiting")</f>
        <v>Reiting</v>
      </c>
      <c r="T1" s="462"/>
      <c r="U1" s="462"/>
      <c r="V1" s="90"/>
      <c r="W1" s="90"/>
      <c r="X1" s="90"/>
      <c r="Y1" s="90"/>
    </row>
    <row r="2" spans="1:25" s="83" customFormat="1" x14ac:dyDescent="0.2">
      <c r="A2" s="147" t="str">
        <f>"Toimumisaeg: "&amp;(Kalend!A18)&amp;" kell "&amp;(Kalend!B18)</f>
        <v>Toimumisaeg: P, 08.01.2017 kell 10:00</v>
      </c>
      <c r="B2" s="462"/>
      <c r="C2" s="462"/>
      <c r="D2" s="462"/>
      <c r="E2" s="462"/>
      <c r="F2" s="90"/>
      <c r="G2" s="90"/>
      <c r="H2" s="90"/>
      <c r="I2" s="90"/>
      <c r="J2" s="90"/>
      <c r="K2" s="90"/>
      <c r="L2" s="90"/>
      <c r="M2" s="90"/>
      <c r="N2" s="90"/>
      <c r="O2" s="462"/>
      <c r="P2" s="462"/>
      <c r="Q2" s="462"/>
      <c r="R2" s="462"/>
      <c r="S2" s="462"/>
      <c r="T2" s="462"/>
      <c r="U2" s="90"/>
      <c r="V2" s="90"/>
      <c r="W2" s="90"/>
      <c r="X2" s="90"/>
      <c r="Y2" s="90"/>
    </row>
    <row r="3" spans="1:25" s="83" customFormat="1" x14ac:dyDescent="0.2">
      <c r="A3" s="147" t="str">
        <f>"Toimumiskoht: "&amp;(Kalend!F18)</f>
        <v>Toimumiskoht: Tallinn, Algi 38</v>
      </c>
      <c r="B3" s="462"/>
      <c r="C3" s="462"/>
      <c r="D3" s="462"/>
      <c r="E3" s="462"/>
      <c r="F3" s="90"/>
      <c r="G3" s="90"/>
      <c r="H3" s="90"/>
      <c r="I3" s="90"/>
      <c r="J3" s="90"/>
      <c r="K3" s="90"/>
      <c r="L3" s="90"/>
      <c r="M3" s="90"/>
      <c r="N3" s="90"/>
      <c r="O3" s="462"/>
      <c r="P3" s="462"/>
      <c r="Q3" s="462"/>
      <c r="R3" s="462"/>
      <c r="S3" s="462"/>
      <c r="T3" s="462"/>
      <c r="U3" s="90"/>
      <c r="V3" s="90"/>
      <c r="W3" s="90"/>
      <c r="X3" s="90"/>
      <c r="Y3" s="90"/>
    </row>
    <row r="4" spans="1:25" s="83" customFormat="1" x14ac:dyDescent="0.2">
      <c r="A4" s="147" t="str">
        <f>"Korraldaja: "&amp;(Kalend!G18)</f>
        <v>Korraldaja: EPKL</v>
      </c>
      <c r="B4" s="462"/>
      <c r="C4" s="462"/>
      <c r="D4" s="462"/>
      <c r="E4" s="462"/>
      <c r="F4" s="90"/>
      <c r="G4" s="90"/>
      <c r="H4" s="90"/>
      <c r="I4" s="90"/>
      <c r="J4" s="90"/>
      <c r="K4" s="90"/>
      <c r="L4" s="90"/>
      <c r="M4" s="90"/>
      <c r="N4" s="90"/>
      <c r="O4" s="462"/>
      <c r="P4" s="462"/>
      <c r="Q4" s="462"/>
      <c r="R4" s="462"/>
      <c r="S4" s="462"/>
      <c r="T4" s="462"/>
      <c r="U4" s="90"/>
      <c r="V4" s="90"/>
      <c r="W4" s="90"/>
      <c r="X4" s="90"/>
      <c r="Y4" s="90"/>
    </row>
    <row r="5" spans="1:25" s="83" customFormat="1" ht="13.5" thickBot="1" x14ac:dyDescent="0.25">
      <c r="A5" s="34"/>
      <c r="B5" s="34"/>
      <c r="C5" s="462"/>
      <c r="D5" s="462"/>
      <c r="E5" s="462"/>
      <c r="F5" s="462"/>
      <c r="G5" s="462"/>
      <c r="H5" s="462"/>
      <c r="I5" s="462"/>
      <c r="J5" s="462"/>
      <c r="K5" s="462"/>
      <c r="L5" s="90"/>
      <c r="M5" s="90"/>
      <c r="N5" s="90"/>
      <c r="O5" s="90"/>
      <c r="P5" s="90"/>
      <c r="Q5" s="90"/>
      <c r="R5" s="90"/>
      <c r="S5" s="90"/>
      <c r="T5" s="90"/>
      <c r="U5" s="90"/>
      <c r="V5" s="90"/>
      <c r="W5" s="90"/>
      <c r="X5" s="90"/>
      <c r="Y5" s="90"/>
    </row>
    <row r="6" spans="1:25" ht="58.5" thickBot="1" x14ac:dyDescent="0.25">
      <c r="A6" s="287"/>
      <c r="B6" s="288"/>
      <c r="C6" s="289"/>
      <c r="D6" s="289"/>
      <c r="E6" s="289"/>
      <c r="F6" s="289"/>
      <c r="G6" s="290"/>
      <c r="H6" s="289"/>
      <c r="I6" s="289"/>
      <c r="J6" s="291"/>
      <c r="K6" s="289"/>
      <c r="L6" s="289"/>
      <c r="M6" s="289"/>
      <c r="N6" s="289"/>
      <c r="O6" s="290"/>
      <c r="P6" s="289"/>
      <c r="Q6" s="289"/>
      <c r="R6" s="291"/>
      <c r="S6" s="289"/>
      <c r="T6" s="289"/>
      <c r="U6" s="289"/>
      <c r="V6" s="289"/>
      <c r="W6" s="292"/>
      <c r="X6" s="292"/>
      <c r="Y6" s="524" t="s">
        <v>476</v>
      </c>
    </row>
    <row r="7" spans="1:25" s="300" customFormat="1" ht="13.5" thickBot="1" x14ac:dyDescent="0.25">
      <c r="A7" s="460"/>
      <c r="B7" s="294"/>
      <c r="C7" s="295">
        <v>6</v>
      </c>
      <c r="D7" s="296">
        <v>7</v>
      </c>
      <c r="E7" s="296">
        <v>8</v>
      </c>
      <c r="F7" s="297">
        <v>9</v>
      </c>
      <c r="G7" s="295">
        <v>6</v>
      </c>
      <c r="H7" s="296">
        <v>7</v>
      </c>
      <c r="I7" s="296">
        <v>8</v>
      </c>
      <c r="J7" s="297">
        <v>9</v>
      </c>
      <c r="K7" s="295">
        <v>6</v>
      </c>
      <c r="L7" s="296">
        <v>7</v>
      </c>
      <c r="M7" s="296">
        <v>8</v>
      </c>
      <c r="N7" s="297">
        <v>9</v>
      </c>
      <c r="O7" s="295">
        <v>6</v>
      </c>
      <c r="P7" s="296">
        <v>7</v>
      </c>
      <c r="Q7" s="296">
        <v>8</v>
      </c>
      <c r="R7" s="297">
        <v>9</v>
      </c>
      <c r="S7" s="295">
        <v>6</v>
      </c>
      <c r="T7" s="296">
        <v>7</v>
      </c>
      <c r="U7" s="296">
        <v>8</v>
      </c>
      <c r="V7" s="297">
        <v>9</v>
      </c>
      <c r="W7" s="298" t="s">
        <v>110</v>
      </c>
      <c r="X7" s="299" t="s">
        <v>376</v>
      </c>
      <c r="Y7" s="299" t="s">
        <v>444</v>
      </c>
    </row>
    <row r="8" spans="1:25" ht="13.5" thickBot="1" x14ac:dyDescent="0.25">
      <c r="A8" s="459" t="s">
        <v>475</v>
      </c>
      <c r="B8" s="302" t="s">
        <v>377</v>
      </c>
      <c r="C8" s="303"/>
      <c r="D8" s="304"/>
      <c r="E8" s="304"/>
      <c r="F8" s="305"/>
      <c r="G8" s="303"/>
      <c r="H8" s="304"/>
      <c r="I8" s="304"/>
      <c r="J8" s="305"/>
      <c r="K8" s="303"/>
      <c r="L8" s="304"/>
      <c r="M8" s="304"/>
      <c r="N8" s="305"/>
      <c r="O8" s="303"/>
      <c r="P8" s="304"/>
      <c r="Q8" s="304"/>
      <c r="R8" s="305"/>
      <c r="S8" s="303"/>
      <c r="T8" s="304"/>
      <c r="U8" s="304"/>
      <c r="V8" s="305"/>
      <c r="W8" s="301"/>
      <c r="X8" s="306"/>
      <c r="Y8" s="439"/>
    </row>
    <row r="9" spans="1:25" ht="14.25" thickTop="1" thickBot="1" x14ac:dyDescent="0.25">
      <c r="A9" s="464">
        <v>1</v>
      </c>
      <c r="B9" s="526" t="s">
        <v>439</v>
      </c>
      <c r="C9" s="465">
        <v>3</v>
      </c>
      <c r="D9" s="466">
        <v>3</v>
      </c>
      <c r="E9" s="466">
        <v>0</v>
      </c>
      <c r="F9" s="467">
        <v>3</v>
      </c>
      <c r="G9" s="465">
        <v>0</v>
      </c>
      <c r="H9" s="466">
        <v>0</v>
      </c>
      <c r="I9" s="466">
        <v>0</v>
      </c>
      <c r="J9" s="467">
        <v>3</v>
      </c>
      <c r="K9" s="465">
        <v>1</v>
      </c>
      <c r="L9" s="515">
        <v>5</v>
      </c>
      <c r="M9" s="466">
        <v>3</v>
      </c>
      <c r="N9" s="467">
        <v>1</v>
      </c>
      <c r="O9" s="465">
        <v>1</v>
      </c>
      <c r="P9" s="466">
        <v>3</v>
      </c>
      <c r="Q9" s="466">
        <v>0</v>
      </c>
      <c r="R9" s="467">
        <v>0</v>
      </c>
      <c r="S9" s="515">
        <v>5</v>
      </c>
      <c r="T9" s="466">
        <v>3</v>
      </c>
      <c r="U9" s="515">
        <v>5</v>
      </c>
      <c r="V9" s="515">
        <v>5</v>
      </c>
      <c r="W9" s="562">
        <f t="shared" ref="W9:W38" si="0">SUM(C9:V9)+COUNTIF(C9:V9,5)/100+COUNTIF(C9:V9,3)/10000</f>
        <v>44.040700000000001</v>
      </c>
      <c r="X9" s="468" t="str">
        <f t="shared" ref="X9:X37" si="1">IF(COUNTA(C9:V9)=0,"",IF(RANK(W9,W$9:W$38)&lt;5,"edasi "&amp;RANK(W9,W$9:W$38),IF(RANK(W9,W$9:W$38)&lt;17,"vahevooru "&amp;RANK(W9,W$9:W$38)-4,RANK(W9,W$9:W$38))))</f>
        <v>edasi 1</v>
      </c>
      <c r="Y9" s="316"/>
    </row>
    <row r="10" spans="1:25" ht="14.25" thickTop="1" thickBot="1" x14ac:dyDescent="0.25">
      <c r="A10" s="464">
        <v>29</v>
      </c>
      <c r="B10" s="531" t="s">
        <v>35</v>
      </c>
      <c r="C10" s="465">
        <v>3</v>
      </c>
      <c r="D10" s="466">
        <v>3</v>
      </c>
      <c r="E10" s="466">
        <v>3</v>
      </c>
      <c r="F10" s="467">
        <v>3</v>
      </c>
      <c r="G10" s="465">
        <v>0</v>
      </c>
      <c r="H10" s="515">
        <v>5</v>
      </c>
      <c r="I10" s="466">
        <v>3</v>
      </c>
      <c r="J10" s="467">
        <v>1</v>
      </c>
      <c r="K10" s="465">
        <v>3</v>
      </c>
      <c r="L10" s="466">
        <v>3</v>
      </c>
      <c r="M10" s="466">
        <v>0</v>
      </c>
      <c r="N10" s="467">
        <v>0</v>
      </c>
      <c r="O10" s="465">
        <v>0</v>
      </c>
      <c r="P10" s="466">
        <v>3</v>
      </c>
      <c r="Q10" s="466">
        <v>0</v>
      </c>
      <c r="R10" s="467">
        <v>3</v>
      </c>
      <c r="S10" s="465">
        <v>0</v>
      </c>
      <c r="T10" s="466">
        <v>0</v>
      </c>
      <c r="U10" s="466">
        <v>0</v>
      </c>
      <c r="V10" s="515">
        <v>5</v>
      </c>
      <c r="W10" s="562">
        <f t="shared" si="0"/>
        <v>38.020900000000005</v>
      </c>
      <c r="X10" s="468" t="str">
        <f t="shared" si="1"/>
        <v>edasi 2</v>
      </c>
    </row>
    <row r="11" spans="1:25" ht="14.25" thickTop="1" thickBot="1" x14ac:dyDescent="0.25">
      <c r="A11" s="464">
        <v>17</v>
      </c>
      <c r="B11" s="527" t="s">
        <v>270</v>
      </c>
      <c r="C11" s="465">
        <v>0</v>
      </c>
      <c r="D11" s="466">
        <v>3</v>
      </c>
      <c r="E11" s="515">
        <v>5</v>
      </c>
      <c r="F11" s="467">
        <v>3</v>
      </c>
      <c r="G11" s="465">
        <v>0</v>
      </c>
      <c r="H11" s="466">
        <v>3</v>
      </c>
      <c r="I11" s="466">
        <v>3</v>
      </c>
      <c r="J11" s="467">
        <v>3</v>
      </c>
      <c r="K11" s="465">
        <v>0</v>
      </c>
      <c r="L11" s="466">
        <v>1</v>
      </c>
      <c r="M11" s="466">
        <v>1</v>
      </c>
      <c r="N11" s="467">
        <v>1</v>
      </c>
      <c r="O11" s="465">
        <v>0</v>
      </c>
      <c r="P11" s="466">
        <v>0</v>
      </c>
      <c r="Q11" s="466">
        <v>3</v>
      </c>
      <c r="R11" s="467">
        <v>0</v>
      </c>
      <c r="S11" s="515">
        <v>5</v>
      </c>
      <c r="T11" s="466">
        <v>0</v>
      </c>
      <c r="U11" s="515">
        <v>5</v>
      </c>
      <c r="V11" s="467">
        <v>0</v>
      </c>
      <c r="W11" s="562">
        <f t="shared" si="0"/>
        <v>36.0306</v>
      </c>
      <c r="X11" s="468" t="str">
        <f t="shared" si="1"/>
        <v>edasi 3</v>
      </c>
      <c r="Y11" s="316"/>
    </row>
    <row r="12" spans="1:25" ht="14.25" thickTop="1" thickBot="1" x14ac:dyDescent="0.25">
      <c r="A12" s="464">
        <v>16</v>
      </c>
      <c r="B12" s="527" t="s">
        <v>261</v>
      </c>
      <c r="C12" s="465">
        <v>3</v>
      </c>
      <c r="D12" s="515">
        <v>5</v>
      </c>
      <c r="E12" s="466">
        <v>3</v>
      </c>
      <c r="F12" s="467">
        <v>0</v>
      </c>
      <c r="G12" s="465">
        <v>0</v>
      </c>
      <c r="H12" s="466">
        <v>3</v>
      </c>
      <c r="I12" s="466">
        <v>0</v>
      </c>
      <c r="J12" s="467">
        <v>0</v>
      </c>
      <c r="K12" s="465">
        <v>0</v>
      </c>
      <c r="L12" s="466">
        <v>1</v>
      </c>
      <c r="M12" s="466">
        <v>0</v>
      </c>
      <c r="N12" s="467">
        <v>1</v>
      </c>
      <c r="O12" s="465">
        <v>0</v>
      </c>
      <c r="P12" s="466">
        <v>3</v>
      </c>
      <c r="Q12" s="466">
        <v>0</v>
      </c>
      <c r="R12" s="467">
        <v>3</v>
      </c>
      <c r="S12" s="465">
        <v>0</v>
      </c>
      <c r="T12" s="515">
        <v>5</v>
      </c>
      <c r="U12" s="515">
        <v>5</v>
      </c>
      <c r="V12" s="467">
        <v>0</v>
      </c>
      <c r="W12" s="562">
        <f t="shared" si="0"/>
        <v>32.030500000000004</v>
      </c>
      <c r="X12" s="468" t="str">
        <f t="shared" si="1"/>
        <v>edasi 4</v>
      </c>
    </row>
    <row r="13" spans="1:25" ht="14.25" thickTop="1" thickBot="1" x14ac:dyDescent="0.25">
      <c r="A13" s="469">
        <v>24</v>
      </c>
      <c r="B13" s="528" t="s">
        <v>25</v>
      </c>
      <c r="C13" s="470">
        <v>0</v>
      </c>
      <c r="D13" s="471">
        <v>0</v>
      </c>
      <c r="E13" s="471">
        <v>0</v>
      </c>
      <c r="F13" s="472">
        <v>3</v>
      </c>
      <c r="G13" s="470">
        <v>3</v>
      </c>
      <c r="H13" s="471">
        <v>3</v>
      </c>
      <c r="I13" s="471">
        <v>3</v>
      </c>
      <c r="J13" s="472">
        <v>0</v>
      </c>
      <c r="K13" s="470">
        <v>1</v>
      </c>
      <c r="L13" s="471">
        <v>0</v>
      </c>
      <c r="M13" s="471">
        <v>0</v>
      </c>
      <c r="N13" s="472">
        <v>0</v>
      </c>
      <c r="O13" s="470">
        <v>0</v>
      </c>
      <c r="P13" s="471">
        <v>3</v>
      </c>
      <c r="Q13" s="471">
        <v>3</v>
      </c>
      <c r="R13" s="472">
        <v>3</v>
      </c>
      <c r="S13" s="516">
        <v>5</v>
      </c>
      <c r="T13" s="471">
        <v>0</v>
      </c>
      <c r="U13" s="471">
        <v>0</v>
      </c>
      <c r="V13" s="516">
        <v>5</v>
      </c>
      <c r="W13" s="563">
        <f t="shared" si="0"/>
        <v>32.020700000000005</v>
      </c>
      <c r="X13" s="473" t="str">
        <f t="shared" si="1"/>
        <v>vahevooru 1</v>
      </c>
    </row>
    <row r="14" spans="1:25" ht="14.25" thickTop="1" thickBot="1" x14ac:dyDescent="0.25">
      <c r="A14" s="469">
        <v>4</v>
      </c>
      <c r="B14" s="481" t="s">
        <v>436</v>
      </c>
      <c r="C14" s="470">
        <v>3</v>
      </c>
      <c r="D14" s="471">
        <v>0</v>
      </c>
      <c r="E14" s="471">
        <v>3</v>
      </c>
      <c r="F14" s="516">
        <v>5</v>
      </c>
      <c r="G14" s="470">
        <v>0</v>
      </c>
      <c r="H14" s="471">
        <v>3</v>
      </c>
      <c r="I14" s="471">
        <v>3</v>
      </c>
      <c r="J14" s="472">
        <v>0</v>
      </c>
      <c r="K14" s="470">
        <v>1</v>
      </c>
      <c r="L14" s="471">
        <v>0</v>
      </c>
      <c r="M14" s="471">
        <v>1</v>
      </c>
      <c r="N14" s="472">
        <v>0</v>
      </c>
      <c r="O14" s="470">
        <v>0</v>
      </c>
      <c r="P14" s="471">
        <v>3</v>
      </c>
      <c r="Q14" s="471">
        <v>0</v>
      </c>
      <c r="R14" s="472">
        <v>0</v>
      </c>
      <c r="S14" s="470">
        <v>0</v>
      </c>
      <c r="T14" s="471">
        <v>0</v>
      </c>
      <c r="U14" s="516">
        <v>5</v>
      </c>
      <c r="V14" s="472">
        <v>0</v>
      </c>
      <c r="W14" s="563">
        <f t="shared" si="0"/>
        <v>27.020499999999998</v>
      </c>
      <c r="X14" s="473" t="str">
        <f t="shared" si="1"/>
        <v>vahevooru 2</v>
      </c>
      <c r="Y14" s="316"/>
    </row>
    <row r="15" spans="1:25" ht="14.25" thickTop="1" thickBot="1" x14ac:dyDescent="0.25">
      <c r="A15" s="469">
        <v>26</v>
      </c>
      <c r="B15" s="474" t="s">
        <v>55</v>
      </c>
      <c r="C15" s="470">
        <v>3</v>
      </c>
      <c r="D15" s="471">
        <v>0</v>
      </c>
      <c r="E15" s="516">
        <v>5</v>
      </c>
      <c r="F15" s="472">
        <v>3</v>
      </c>
      <c r="G15" s="470">
        <v>3</v>
      </c>
      <c r="H15" s="471">
        <v>0</v>
      </c>
      <c r="I15" s="471">
        <v>0</v>
      </c>
      <c r="J15" s="472">
        <v>0</v>
      </c>
      <c r="K15" s="470">
        <v>1</v>
      </c>
      <c r="L15" s="471">
        <v>1</v>
      </c>
      <c r="M15" s="471">
        <v>0</v>
      </c>
      <c r="N15" s="472">
        <v>0</v>
      </c>
      <c r="O15" s="470">
        <v>3</v>
      </c>
      <c r="P15" s="471">
        <v>0</v>
      </c>
      <c r="Q15" s="471">
        <v>0</v>
      </c>
      <c r="R15" s="472">
        <v>3</v>
      </c>
      <c r="S15" s="516">
        <v>5</v>
      </c>
      <c r="T15" s="471">
        <v>0</v>
      </c>
      <c r="U15" s="471">
        <v>0</v>
      </c>
      <c r="V15" s="472">
        <v>0</v>
      </c>
      <c r="W15" s="563">
        <f t="shared" si="0"/>
        <v>27.020499999999998</v>
      </c>
      <c r="X15" s="473" t="str">
        <f t="shared" si="1"/>
        <v>vahevooru 2</v>
      </c>
    </row>
    <row r="16" spans="1:25" ht="14.25" thickTop="1" thickBot="1" x14ac:dyDescent="0.25">
      <c r="A16" s="469">
        <v>5</v>
      </c>
      <c r="B16" s="474" t="s">
        <v>435</v>
      </c>
      <c r="C16" s="470">
        <v>3</v>
      </c>
      <c r="D16" s="516">
        <v>5</v>
      </c>
      <c r="E16" s="471">
        <v>0</v>
      </c>
      <c r="F16" s="472">
        <v>0</v>
      </c>
      <c r="G16" s="470">
        <v>1</v>
      </c>
      <c r="H16" s="471">
        <v>1</v>
      </c>
      <c r="I16" s="471">
        <v>0</v>
      </c>
      <c r="J16" s="472">
        <v>3</v>
      </c>
      <c r="K16" s="470">
        <v>1</v>
      </c>
      <c r="L16" s="471">
        <v>1</v>
      </c>
      <c r="M16" s="471">
        <v>1</v>
      </c>
      <c r="N16" s="472">
        <v>1</v>
      </c>
      <c r="O16" s="470">
        <v>1</v>
      </c>
      <c r="P16" s="471">
        <v>3</v>
      </c>
      <c r="Q16" s="471">
        <v>3</v>
      </c>
      <c r="R16" s="472">
        <v>3</v>
      </c>
      <c r="S16" s="470">
        <v>0</v>
      </c>
      <c r="T16" s="471">
        <v>0</v>
      </c>
      <c r="U16" s="471">
        <v>0</v>
      </c>
      <c r="V16" s="472">
        <v>0</v>
      </c>
      <c r="W16" s="563">
        <f t="shared" si="0"/>
        <v>27.0105</v>
      </c>
      <c r="X16" s="473" t="str">
        <f t="shared" si="1"/>
        <v>vahevooru 4</v>
      </c>
      <c r="Y16" s="316"/>
    </row>
    <row r="17" spans="1:29" ht="14.25" thickTop="1" thickBot="1" x14ac:dyDescent="0.25">
      <c r="A17" s="469">
        <v>30</v>
      </c>
      <c r="B17" s="475" t="s">
        <v>453</v>
      </c>
      <c r="C17" s="476">
        <v>3</v>
      </c>
      <c r="D17" s="477">
        <v>3</v>
      </c>
      <c r="E17" s="477">
        <v>0</v>
      </c>
      <c r="F17" s="478">
        <v>0</v>
      </c>
      <c r="G17" s="476">
        <v>0</v>
      </c>
      <c r="H17" s="477">
        <v>3</v>
      </c>
      <c r="I17" s="477">
        <v>0</v>
      </c>
      <c r="J17" s="478">
        <v>3</v>
      </c>
      <c r="K17" s="476">
        <v>0</v>
      </c>
      <c r="L17" s="477">
        <v>1</v>
      </c>
      <c r="M17" s="477">
        <v>0</v>
      </c>
      <c r="N17" s="478">
        <v>0</v>
      </c>
      <c r="O17" s="476">
        <v>0</v>
      </c>
      <c r="P17" s="477">
        <v>0</v>
      </c>
      <c r="Q17" s="477">
        <v>3</v>
      </c>
      <c r="R17" s="478">
        <v>1</v>
      </c>
      <c r="S17" s="517">
        <v>5</v>
      </c>
      <c r="T17" s="477">
        <v>3</v>
      </c>
      <c r="U17" s="477">
        <v>0</v>
      </c>
      <c r="V17" s="478">
        <v>0</v>
      </c>
      <c r="W17" s="563">
        <f t="shared" si="0"/>
        <v>25.0106</v>
      </c>
      <c r="X17" s="473" t="str">
        <f t="shared" si="1"/>
        <v>vahevooru 5</v>
      </c>
      <c r="Y17" s="316"/>
      <c r="Z17" s="316"/>
      <c r="AA17" s="316"/>
      <c r="AB17" s="316"/>
    </row>
    <row r="18" spans="1:29" ht="14.25" thickTop="1" thickBot="1" x14ac:dyDescent="0.25">
      <c r="A18" s="469">
        <v>28</v>
      </c>
      <c r="B18" s="480" t="s">
        <v>58</v>
      </c>
      <c r="C18" s="470">
        <v>3</v>
      </c>
      <c r="D18" s="471">
        <v>3</v>
      </c>
      <c r="E18" s="471">
        <v>0</v>
      </c>
      <c r="F18" s="472">
        <v>3</v>
      </c>
      <c r="G18" s="470">
        <v>0</v>
      </c>
      <c r="H18" s="471">
        <v>3</v>
      </c>
      <c r="I18" s="471">
        <v>0</v>
      </c>
      <c r="J18" s="472">
        <v>3</v>
      </c>
      <c r="K18" s="470">
        <v>0</v>
      </c>
      <c r="L18" s="471">
        <v>0</v>
      </c>
      <c r="M18" s="471">
        <v>0</v>
      </c>
      <c r="N18" s="472">
        <v>0</v>
      </c>
      <c r="O18" s="470">
        <v>0</v>
      </c>
      <c r="P18" s="471">
        <v>0</v>
      </c>
      <c r="Q18" s="471">
        <v>3</v>
      </c>
      <c r="R18" s="472">
        <v>0</v>
      </c>
      <c r="S18" s="516">
        <v>5</v>
      </c>
      <c r="T18" s="471">
        <v>0</v>
      </c>
      <c r="U18" s="471">
        <v>0</v>
      </c>
      <c r="V18" s="472">
        <v>0</v>
      </c>
      <c r="W18" s="563">
        <f t="shared" si="0"/>
        <v>23.0106</v>
      </c>
      <c r="X18" s="473" t="str">
        <f t="shared" si="1"/>
        <v>vahevooru 6</v>
      </c>
    </row>
    <row r="19" spans="1:29" ht="14.25" thickTop="1" thickBot="1" x14ac:dyDescent="0.25">
      <c r="A19" s="469">
        <v>7</v>
      </c>
      <c r="B19" s="479" t="s">
        <v>433</v>
      </c>
      <c r="C19" s="470">
        <v>0</v>
      </c>
      <c r="D19" s="516">
        <v>5</v>
      </c>
      <c r="E19" s="471">
        <v>0</v>
      </c>
      <c r="F19" s="472">
        <v>0</v>
      </c>
      <c r="G19" s="470">
        <v>0</v>
      </c>
      <c r="H19" s="471">
        <v>0</v>
      </c>
      <c r="I19" s="471">
        <v>0</v>
      </c>
      <c r="J19" s="472">
        <v>0</v>
      </c>
      <c r="K19" s="470">
        <v>1</v>
      </c>
      <c r="L19" s="471">
        <v>1</v>
      </c>
      <c r="M19" s="471">
        <v>1</v>
      </c>
      <c r="N19" s="472">
        <v>1</v>
      </c>
      <c r="O19" s="470">
        <v>0</v>
      </c>
      <c r="P19" s="471">
        <v>3</v>
      </c>
      <c r="Q19" s="471">
        <v>0</v>
      </c>
      <c r="R19" s="472">
        <v>0</v>
      </c>
      <c r="S19" s="516">
        <v>5</v>
      </c>
      <c r="T19" s="516">
        <v>5</v>
      </c>
      <c r="U19" s="471">
        <v>0</v>
      </c>
      <c r="V19" s="472">
        <v>0</v>
      </c>
      <c r="W19" s="563">
        <f t="shared" si="0"/>
        <v>22.030100000000001</v>
      </c>
      <c r="X19" s="473" t="str">
        <f t="shared" si="1"/>
        <v>vahevooru 7</v>
      </c>
    </row>
    <row r="20" spans="1:29" ht="14.25" thickTop="1" thickBot="1" x14ac:dyDescent="0.25">
      <c r="A20" s="469">
        <v>2</v>
      </c>
      <c r="B20" s="480" t="s">
        <v>438</v>
      </c>
      <c r="C20" s="470">
        <v>0</v>
      </c>
      <c r="D20" s="471">
        <v>0</v>
      </c>
      <c r="E20" s="471">
        <v>0</v>
      </c>
      <c r="F20" s="516">
        <v>5</v>
      </c>
      <c r="G20" s="470">
        <v>1</v>
      </c>
      <c r="H20" s="471">
        <v>0</v>
      </c>
      <c r="I20" s="471">
        <v>3</v>
      </c>
      <c r="J20" s="472">
        <v>0</v>
      </c>
      <c r="K20" s="470">
        <v>1</v>
      </c>
      <c r="L20" s="471">
        <v>0</v>
      </c>
      <c r="M20" s="471">
        <v>0</v>
      </c>
      <c r="N20" s="472">
        <v>0</v>
      </c>
      <c r="O20" s="470">
        <v>0</v>
      </c>
      <c r="P20" s="471">
        <v>0</v>
      </c>
      <c r="Q20" s="471">
        <v>3</v>
      </c>
      <c r="R20" s="472">
        <v>0</v>
      </c>
      <c r="S20" s="470">
        <v>0</v>
      </c>
      <c r="T20" s="516">
        <v>5</v>
      </c>
      <c r="U20" s="471">
        <v>0</v>
      </c>
      <c r="V20" s="472">
        <v>3</v>
      </c>
      <c r="W20" s="563">
        <f t="shared" si="0"/>
        <v>21.020299999999999</v>
      </c>
      <c r="X20" s="473" t="str">
        <f t="shared" si="1"/>
        <v>vahevooru 8</v>
      </c>
      <c r="Y20" s="316"/>
      <c r="Z20" s="315"/>
      <c r="AA20" s="316"/>
      <c r="AB20" s="316"/>
      <c r="AC20" s="346"/>
    </row>
    <row r="21" spans="1:29" ht="14.25" thickTop="1" thickBot="1" x14ac:dyDescent="0.25">
      <c r="A21" s="469">
        <v>21</v>
      </c>
      <c r="B21" s="532" t="s">
        <v>45</v>
      </c>
      <c r="C21" s="470">
        <v>0</v>
      </c>
      <c r="D21" s="471">
        <v>0</v>
      </c>
      <c r="E21" s="471">
        <v>0</v>
      </c>
      <c r="F21" s="472">
        <v>0</v>
      </c>
      <c r="G21" s="470">
        <v>3</v>
      </c>
      <c r="H21" s="471">
        <v>0</v>
      </c>
      <c r="I21" s="471">
        <v>3</v>
      </c>
      <c r="J21" s="472">
        <v>3</v>
      </c>
      <c r="K21" s="470">
        <v>1</v>
      </c>
      <c r="L21" s="471">
        <v>0</v>
      </c>
      <c r="M21" s="471">
        <v>1</v>
      </c>
      <c r="N21" s="472">
        <v>0</v>
      </c>
      <c r="O21" s="470">
        <v>0</v>
      </c>
      <c r="P21" s="471">
        <v>0</v>
      </c>
      <c r="Q21" s="471">
        <v>0</v>
      </c>
      <c r="R21" s="472">
        <v>0</v>
      </c>
      <c r="S21" s="516">
        <v>5</v>
      </c>
      <c r="T21" s="516">
        <v>5</v>
      </c>
      <c r="U21" s="471">
        <v>0</v>
      </c>
      <c r="V21" s="472">
        <v>0</v>
      </c>
      <c r="W21" s="563">
        <f t="shared" si="0"/>
        <v>21.020299999999999</v>
      </c>
      <c r="X21" s="473" t="str">
        <f t="shared" si="1"/>
        <v>vahevooru 8</v>
      </c>
      <c r="Y21" s="316"/>
      <c r="Z21" s="316"/>
      <c r="AA21" s="316"/>
      <c r="AB21" s="316"/>
      <c r="AC21" s="346"/>
    </row>
    <row r="22" spans="1:29" ht="14.25" thickTop="1" thickBot="1" x14ac:dyDescent="0.25">
      <c r="A22" s="469">
        <v>23</v>
      </c>
      <c r="B22" s="529" t="s">
        <v>59</v>
      </c>
      <c r="C22" s="470">
        <v>3</v>
      </c>
      <c r="D22" s="471">
        <v>0</v>
      </c>
      <c r="E22" s="471">
        <v>3</v>
      </c>
      <c r="F22" s="472">
        <v>3</v>
      </c>
      <c r="G22" s="470">
        <v>3</v>
      </c>
      <c r="H22" s="471">
        <v>0</v>
      </c>
      <c r="I22" s="471">
        <v>0</v>
      </c>
      <c r="J22" s="472">
        <v>0</v>
      </c>
      <c r="K22" s="470">
        <v>0</v>
      </c>
      <c r="L22" s="471">
        <v>1</v>
      </c>
      <c r="M22" s="471">
        <v>1</v>
      </c>
      <c r="N22" s="472">
        <v>0</v>
      </c>
      <c r="O22" s="470">
        <v>0</v>
      </c>
      <c r="P22" s="471">
        <v>0</v>
      </c>
      <c r="Q22" s="471">
        <v>0</v>
      </c>
      <c r="R22" s="472">
        <v>0</v>
      </c>
      <c r="S22" s="470">
        <v>0</v>
      </c>
      <c r="T22" s="516">
        <v>5</v>
      </c>
      <c r="U22" s="471">
        <v>0</v>
      </c>
      <c r="V22" s="472">
        <v>0</v>
      </c>
      <c r="W22" s="563">
        <f t="shared" si="0"/>
        <v>19.010400000000001</v>
      </c>
      <c r="X22" s="473" t="str">
        <f t="shared" si="1"/>
        <v>vahevooru 10</v>
      </c>
      <c r="Y22" s="316"/>
      <c r="Z22" s="316"/>
      <c r="AA22" s="316"/>
      <c r="AB22" s="316"/>
      <c r="AC22" s="346"/>
    </row>
    <row r="23" spans="1:29" ht="14.25" thickTop="1" thickBot="1" x14ac:dyDescent="0.25">
      <c r="A23" s="469">
        <v>11</v>
      </c>
      <c r="B23" s="530" t="s">
        <v>37</v>
      </c>
      <c r="C23" s="516">
        <v>5</v>
      </c>
      <c r="D23" s="471">
        <v>0</v>
      </c>
      <c r="E23" s="471">
        <v>3</v>
      </c>
      <c r="F23" s="472">
        <v>3</v>
      </c>
      <c r="G23" s="470">
        <v>0</v>
      </c>
      <c r="H23" s="471">
        <v>0</v>
      </c>
      <c r="I23" s="471">
        <v>0</v>
      </c>
      <c r="J23" s="472">
        <v>0</v>
      </c>
      <c r="K23" s="470">
        <v>1</v>
      </c>
      <c r="L23" s="471">
        <v>0</v>
      </c>
      <c r="M23" s="471">
        <v>0</v>
      </c>
      <c r="N23" s="472">
        <v>0</v>
      </c>
      <c r="O23" s="516">
        <v>5</v>
      </c>
      <c r="P23" s="471">
        <v>0</v>
      </c>
      <c r="Q23" s="471">
        <v>0</v>
      </c>
      <c r="R23" s="472">
        <v>0</v>
      </c>
      <c r="S23" s="470">
        <v>0</v>
      </c>
      <c r="T23" s="471">
        <v>0</v>
      </c>
      <c r="U23" s="471">
        <v>0</v>
      </c>
      <c r="V23" s="472">
        <v>0</v>
      </c>
      <c r="W23" s="563">
        <f t="shared" si="0"/>
        <v>17.020199999999999</v>
      </c>
      <c r="X23" s="473" t="str">
        <f t="shared" si="1"/>
        <v>vahevooru 11</v>
      </c>
      <c r="AC23" s="346"/>
    </row>
    <row r="24" spans="1:29" ht="14.25" thickTop="1" thickBot="1" x14ac:dyDescent="0.25">
      <c r="A24" s="469">
        <v>15</v>
      </c>
      <c r="B24" s="481" t="s">
        <v>50</v>
      </c>
      <c r="C24" s="470">
        <v>0</v>
      </c>
      <c r="D24" s="471">
        <v>3</v>
      </c>
      <c r="E24" s="516">
        <v>5</v>
      </c>
      <c r="F24" s="472">
        <v>0</v>
      </c>
      <c r="G24" s="470">
        <v>0</v>
      </c>
      <c r="H24" s="471">
        <v>3</v>
      </c>
      <c r="I24" s="471">
        <v>0</v>
      </c>
      <c r="J24" s="472">
        <v>0</v>
      </c>
      <c r="K24" s="470">
        <v>3</v>
      </c>
      <c r="L24" s="471">
        <v>0</v>
      </c>
      <c r="M24" s="471">
        <v>1</v>
      </c>
      <c r="N24" s="472">
        <v>0</v>
      </c>
      <c r="O24" s="470">
        <v>0</v>
      </c>
      <c r="P24" s="471">
        <v>0</v>
      </c>
      <c r="Q24" s="471">
        <v>0</v>
      </c>
      <c r="R24" s="472">
        <v>0</v>
      </c>
      <c r="S24" s="470">
        <v>0</v>
      </c>
      <c r="T24" s="471">
        <v>0</v>
      </c>
      <c r="U24" s="471">
        <v>0</v>
      </c>
      <c r="V24" s="472">
        <v>0</v>
      </c>
      <c r="W24" s="563">
        <f t="shared" si="0"/>
        <v>15.010299999999999</v>
      </c>
      <c r="X24" s="473" t="str">
        <f t="shared" si="1"/>
        <v>vahevooru 12</v>
      </c>
      <c r="Y24" s="316"/>
      <c r="AC24" s="346"/>
    </row>
    <row r="25" spans="1:29" ht="14.25" thickTop="1" thickBot="1" x14ac:dyDescent="0.25">
      <c r="A25" s="482">
        <v>10</v>
      </c>
      <c r="B25" s="533" t="s">
        <v>44</v>
      </c>
      <c r="C25" s="484">
        <v>3</v>
      </c>
      <c r="D25" s="485">
        <v>0</v>
      </c>
      <c r="E25" s="485">
        <v>0</v>
      </c>
      <c r="F25" s="486">
        <v>0</v>
      </c>
      <c r="G25" s="484">
        <v>0</v>
      </c>
      <c r="H25" s="485">
        <v>3</v>
      </c>
      <c r="I25" s="485">
        <v>0</v>
      </c>
      <c r="J25" s="486">
        <v>3</v>
      </c>
      <c r="K25" s="484">
        <v>0</v>
      </c>
      <c r="L25" s="485">
        <v>0</v>
      </c>
      <c r="M25" s="485">
        <v>0</v>
      </c>
      <c r="N25" s="486">
        <v>0</v>
      </c>
      <c r="O25" s="484">
        <v>0</v>
      </c>
      <c r="P25" s="485">
        <v>0</v>
      </c>
      <c r="Q25" s="485">
        <v>0</v>
      </c>
      <c r="R25" s="486">
        <v>0</v>
      </c>
      <c r="S25" s="484">
        <v>0</v>
      </c>
      <c r="T25" s="485">
        <v>0</v>
      </c>
      <c r="U25" s="485">
        <v>0</v>
      </c>
      <c r="V25" s="518">
        <v>5</v>
      </c>
      <c r="W25" s="564">
        <f t="shared" si="0"/>
        <v>14.010299999999999</v>
      </c>
      <c r="X25" s="487">
        <f t="shared" si="1"/>
        <v>17</v>
      </c>
      <c r="AC25" s="346"/>
    </row>
    <row r="26" spans="1:29" ht="13.5" thickTop="1" x14ac:dyDescent="0.2">
      <c r="A26" s="482">
        <v>18</v>
      </c>
      <c r="B26" s="488" t="s">
        <v>66</v>
      </c>
      <c r="C26" s="484">
        <v>3</v>
      </c>
      <c r="D26" s="485">
        <v>3</v>
      </c>
      <c r="E26" s="485">
        <v>0</v>
      </c>
      <c r="F26" s="486">
        <v>0</v>
      </c>
      <c r="G26" s="484">
        <v>3</v>
      </c>
      <c r="H26" s="485">
        <v>0</v>
      </c>
      <c r="I26" s="485">
        <v>0</v>
      </c>
      <c r="J26" s="486">
        <v>0</v>
      </c>
      <c r="K26" s="484">
        <v>3</v>
      </c>
      <c r="L26" s="485">
        <v>0</v>
      </c>
      <c r="M26" s="485">
        <v>1</v>
      </c>
      <c r="N26" s="486">
        <v>1</v>
      </c>
      <c r="O26" s="484">
        <v>0</v>
      </c>
      <c r="P26" s="485">
        <v>0</v>
      </c>
      <c r="Q26" s="485">
        <v>0</v>
      </c>
      <c r="R26" s="486">
        <v>0</v>
      </c>
      <c r="S26" s="484">
        <v>0</v>
      </c>
      <c r="T26" s="485">
        <v>0</v>
      </c>
      <c r="U26" s="485">
        <v>0</v>
      </c>
      <c r="V26" s="486">
        <v>0</v>
      </c>
      <c r="W26" s="564">
        <f t="shared" si="0"/>
        <v>14.000400000000001</v>
      </c>
      <c r="X26" s="487">
        <f t="shared" si="1"/>
        <v>18</v>
      </c>
      <c r="AC26" s="346"/>
    </row>
    <row r="27" spans="1:29" ht="13.5" thickBot="1" x14ac:dyDescent="0.25">
      <c r="A27" s="482">
        <v>22</v>
      </c>
      <c r="B27" s="483" t="s">
        <v>54</v>
      </c>
      <c r="C27" s="484">
        <v>3</v>
      </c>
      <c r="D27" s="485">
        <v>0</v>
      </c>
      <c r="E27" s="485">
        <v>3</v>
      </c>
      <c r="F27" s="486">
        <v>0</v>
      </c>
      <c r="G27" s="484">
        <v>0</v>
      </c>
      <c r="H27" s="485">
        <v>0</v>
      </c>
      <c r="I27" s="485">
        <v>0</v>
      </c>
      <c r="J27" s="486">
        <v>0</v>
      </c>
      <c r="K27" s="484">
        <v>0</v>
      </c>
      <c r="L27" s="485">
        <v>1</v>
      </c>
      <c r="M27" s="485">
        <v>0</v>
      </c>
      <c r="N27" s="486">
        <v>0</v>
      </c>
      <c r="O27" s="484">
        <v>3</v>
      </c>
      <c r="P27" s="485">
        <v>3</v>
      </c>
      <c r="Q27" s="485">
        <v>0</v>
      </c>
      <c r="R27" s="486">
        <v>0</v>
      </c>
      <c r="S27" s="484">
        <v>0</v>
      </c>
      <c r="T27" s="485">
        <v>0</v>
      </c>
      <c r="U27" s="485">
        <v>0</v>
      </c>
      <c r="V27" s="486">
        <v>0</v>
      </c>
      <c r="W27" s="564">
        <f t="shared" si="0"/>
        <v>13.000400000000001</v>
      </c>
      <c r="X27" s="487">
        <f t="shared" si="1"/>
        <v>19</v>
      </c>
      <c r="Y27" s="316"/>
      <c r="Z27" s="316"/>
      <c r="AA27" s="316"/>
      <c r="AB27" s="316"/>
      <c r="AC27" s="346"/>
    </row>
    <row r="28" spans="1:29" ht="14.25" thickTop="1" thickBot="1" x14ac:dyDescent="0.25">
      <c r="A28" s="482">
        <v>6</v>
      </c>
      <c r="B28" s="489" t="s">
        <v>434</v>
      </c>
      <c r="C28" s="484">
        <v>0</v>
      </c>
      <c r="D28" s="485">
        <v>3</v>
      </c>
      <c r="E28" s="485">
        <v>0</v>
      </c>
      <c r="F28" s="486">
        <v>0</v>
      </c>
      <c r="G28" s="484">
        <v>0</v>
      </c>
      <c r="H28" s="485">
        <v>0</v>
      </c>
      <c r="I28" s="485">
        <v>0</v>
      </c>
      <c r="J28" s="486">
        <v>0</v>
      </c>
      <c r="K28" s="518">
        <v>5</v>
      </c>
      <c r="L28" s="485">
        <v>1</v>
      </c>
      <c r="M28" s="485">
        <v>0</v>
      </c>
      <c r="N28" s="486">
        <v>0</v>
      </c>
      <c r="O28" s="484">
        <v>0</v>
      </c>
      <c r="P28" s="485">
        <v>0</v>
      </c>
      <c r="Q28" s="485">
        <v>0</v>
      </c>
      <c r="R28" s="486">
        <v>0</v>
      </c>
      <c r="S28" s="484">
        <v>0</v>
      </c>
      <c r="T28" s="485">
        <v>0</v>
      </c>
      <c r="U28" s="485">
        <v>0</v>
      </c>
      <c r="V28" s="486">
        <v>0</v>
      </c>
      <c r="W28" s="564">
        <f t="shared" si="0"/>
        <v>9.0100999999999996</v>
      </c>
      <c r="X28" s="553">
        <f t="shared" si="1"/>
        <v>20</v>
      </c>
      <c r="Y28" s="316"/>
      <c r="Z28" s="316"/>
      <c r="AA28" s="316"/>
      <c r="AB28" s="316"/>
      <c r="AC28" s="346"/>
    </row>
    <row r="29" spans="1:29" ht="14.25" thickTop="1" thickBot="1" x14ac:dyDescent="0.25">
      <c r="A29" s="482">
        <v>27</v>
      </c>
      <c r="B29" s="488" t="s">
        <v>177</v>
      </c>
      <c r="C29" s="484">
        <v>0</v>
      </c>
      <c r="D29" s="485">
        <v>0</v>
      </c>
      <c r="E29" s="485">
        <v>0</v>
      </c>
      <c r="F29" s="486">
        <v>0</v>
      </c>
      <c r="G29" s="484">
        <v>3</v>
      </c>
      <c r="H29" s="485">
        <v>0</v>
      </c>
      <c r="I29" s="485">
        <v>0</v>
      </c>
      <c r="J29" s="486">
        <v>0</v>
      </c>
      <c r="K29" s="484">
        <v>0</v>
      </c>
      <c r="L29" s="485">
        <v>1</v>
      </c>
      <c r="M29" s="485">
        <v>0</v>
      </c>
      <c r="N29" s="518">
        <v>5</v>
      </c>
      <c r="O29" s="484">
        <v>0</v>
      </c>
      <c r="P29" s="485">
        <v>0</v>
      </c>
      <c r="Q29" s="485">
        <v>0</v>
      </c>
      <c r="R29" s="486">
        <v>0</v>
      </c>
      <c r="S29" s="484">
        <v>0</v>
      </c>
      <c r="T29" s="485">
        <v>0</v>
      </c>
      <c r="U29" s="485">
        <v>0</v>
      </c>
      <c r="V29" s="486">
        <v>0</v>
      </c>
      <c r="W29" s="564">
        <f t="shared" si="0"/>
        <v>9.0100999999999996</v>
      </c>
      <c r="X29" s="553">
        <f t="shared" si="1"/>
        <v>20</v>
      </c>
      <c r="Y29" s="316"/>
      <c r="Z29" s="316"/>
      <c r="AA29" s="316"/>
      <c r="AB29" s="316"/>
      <c r="AC29" s="346"/>
    </row>
    <row r="30" spans="1:29" ht="13.5" thickTop="1" x14ac:dyDescent="0.2">
      <c r="A30" s="482">
        <v>3</v>
      </c>
      <c r="B30" s="483" t="s">
        <v>437</v>
      </c>
      <c r="C30" s="484">
        <v>3</v>
      </c>
      <c r="D30" s="485">
        <v>0</v>
      </c>
      <c r="E30" s="485">
        <v>0</v>
      </c>
      <c r="F30" s="486">
        <v>0</v>
      </c>
      <c r="G30" s="484">
        <v>0</v>
      </c>
      <c r="H30" s="485">
        <v>0</v>
      </c>
      <c r="I30" s="485">
        <v>3</v>
      </c>
      <c r="J30" s="486">
        <v>0</v>
      </c>
      <c r="K30" s="484">
        <v>0</v>
      </c>
      <c r="L30" s="485">
        <v>3</v>
      </c>
      <c r="M30" s="485">
        <v>0</v>
      </c>
      <c r="N30" s="486">
        <v>0</v>
      </c>
      <c r="O30" s="484">
        <v>0</v>
      </c>
      <c r="P30" s="485">
        <v>0</v>
      </c>
      <c r="Q30" s="485">
        <v>0</v>
      </c>
      <c r="R30" s="486">
        <v>0</v>
      </c>
      <c r="S30" s="484">
        <v>0</v>
      </c>
      <c r="T30" s="485">
        <v>0</v>
      </c>
      <c r="U30" s="485">
        <v>0</v>
      </c>
      <c r="V30" s="486">
        <v>0</v>
      </c>
      <c r="W30" s="564">
        <f t="shared" si="0"/>
        <v>9.0002999999999993</v>
      </c>
      <c r="X30" s="553">
        <f t="shared" si="1"/>
        <v>22</v>
      </c>
      <c r="Y30" s="316"/>
      <c r="Z30" s="316"/>
      <c r="AA30" s="316"/>
      <c r="AB30" s="316"/>
      <c r="AC30" s="346"/>
    </row>
    <row r="31" spans="1:29" x14ac:dyDescent="0.2">
      <c r="A31" s="482">
        <v>14</v>
      </c>
      <c r="B31" s="488" t="s">
        <v>47</v>
      </c>
      <c r="C31" s="484">
        <v>0</v>
      </c>
      <c r="D31" s="485">
        <v>3</v>
      </c>
      <c r="E31" s="485">
        <v>0</v>
      </c>
      <c r="F31" s="486">
        <v>0</v>
      </c>
      <c r="G31" s="484">
        <v>0</v>
      </c>
      <c r="H31" s="485">
        <v>3</v>
      </c>
      <c r="I31" s="485">
        <v>0</v>
      </c>
      <c r="J31" s="486">
        <v>0</v>
      </c>
      <c r="K31" s="484">
        <v>0</v>
      </c>
      <c r="L31" s="485">
        <v>0</v>
      </c>
      <c r="M31" s="485">
        <v>0</v>
      </c>
      <c r="N31" s="486">
        <v>3</v>
      </c>
      <c r="O31" s="484">
        <v>0</v>
      </c>
      <c r="P31" s="485">
        <v>0</v>
      </c>
      <c r="Q31" s="485">
        <v>0</v>
      </c>
      <c r="R31" s="486">
        <v>0</v>
      </c>
      <c r="S31" s="484">
        <v>0</v>
      </c>
      <c r="T31" s="485">
        <v>0</v>
      </c>
      <c r="U31" s="485">
        <v>0</v>
      </c>
      <c r="V31" s="486">
        <v>0</v>
      </c>
      <c r="W31" s="564">
        <f t="shared" si="0"/>
        <v>9.0002999999999993</v>
      </c>
      <c r="X31" s="553">
        <f t="shared" si="1"/>
        <v>22</v>
      </c>
      <c r="Y31" s="316"/>
      <c r="Z31" s="316"/>
      <c r="AA31" s="316"/>
      <c r="AB31" s="316"/>
      <c r="AC31" s="346"/>
    </row>
    <row r="32" spans="1:29" x14ac:dyDescent="0.2">
      <c r="A32" s="482">
        <v>25</v>
      </c>
      <c r="B32" s="534" t="s">
        <v>27</v>
      </c>
      <c r="C32" s="484">
        <v>1</v>
      </c>
      <c r="D32" s="485">
        <v>0</v>
      </c>
      <c r="E32" s="485">
        <v>0</v>
      </c>
      <c r="F32" s="486">
        <v>0</v>
      </c>
      <c r="G32" s="484">
        <v>3</v>
      </c>
      <c r="H32" s="485">
        <v>0</v>
      </c>
      <c r="I32" s="485">
        <v>0</v>
      </c>
      <c r="J32" s="486">
        <v>0</v>
      </c>
      <c r="K32" s="484">
        <v>1</v>
      </c>
      <c r="L32" s="485">
        <v>0</v>
      </c>
      <c r="M32" s="485">
        <v>0</v>
      </c>
      <c r="N32" s="486">
        <v>0</v>
      </c>
      <c r="O32" s="484">
        <v>3</v>
      </c>
      <c r="P32" s="485">
        <v>0</v>
      </c>
      <c r="Q32" s="485">
        <v>0</v>
      </c>
      <c r="R32" s="486">
        <v>0</v>
      </c>
      <c r="S32" s="484">
        <v>0</v>
      </c>
      <c r="T32" s="485">
        <v>0</v>
      </c>
      <c r="U32" s="485">
        <v>0</v>
      </c>
      <c r="V32" s="486">
        <v>0</v>
      </c>
      <c r="W32" s="564">
        <f t="shared" si="0"/>
        <v>8.0001999999999995</v>
      </c>
      <c r="X32" s="487">
        <f t="shared" si="1"/>
        <v>24</v>
      </c>
      <c r="Y32" s="316"/>
      <c r="Z32" s="316"/>
      <c r="AA32" s="316"/>
      <c r="AB32" s="316"/>
      <c r="AC32" s="346"/>
    </row>
    <row r="33" spans="1:29" x14ac:dyDescent="0.2">
      <c r="A33" s="482">
        <v>12</v>
      </c>
      <c r="B33" s="488" t="s">
        <v>40</v>
      </c>
      <c r="C33" s="484">
        <v>0</v>
      </c>
      <c r="D33" s="485">
        <v>3</v>
      </c>
      <c r="E33" s="485">
        <v>3</v>
      </c>
      <c r="F33" s="486">
        <v>0</v>
      </c>
      <c r="G33" s="484">
        <v>0</v>
      </c>
      <c r="H33" s="485">
        <v>0</v>
      </c>
      <c r="I33" s="485">
        <v>0</v>
      </c>
      <c r="J33" s="486">
        <v>0</v>
      </c>
      <c r="K33" s="484">
        <v>0</v>
      </c>
      <c r="L33" s="485">
        <v>1</v>
      </c>
      <c r="M33" s="485">
        <v>0</v>
      </c>
      <c r="N33" s="486">
        <v>0</v>
      </c>
      <c r="O33" s="484">
        <v>0</v>
      </c>
      <c r="P33" s="485">
        <v>0</v>
      </c>
      <c r="Q33" s="485">
        <v>0</v>
      </c>
      <c r="R33" s="486">
        <v>0</v>
      </c>
      <c r="S33" s="484">
        <v>0</v>
      </c>
      <c r="T33" s="485">
        <v>0</v>
      </c>
      <c r="U33" s="485">
        <v>0</v>
      </c>
      <c r="V33" s="486">
        <v>0</v>
      </c>
      <c r="W33" s="564">
        <f t="shared" si="0"/>
        <v>7.0002000000000004</v>
      </c>
      <c r="X33" s="487">
        <f t="shared" si="1"/>
        <v>25</v>
      </c>
      <c r="Y33" s="316"/>
      <c r="Z33" s="316"/>
      <c r="AA33" s="316"/>
      <c r="AB33" s="316"/>
    </row>
    <row r="34" spans="1:29" x14ac:dyDescent="0.2">
      <c r="A34" s="482">
        <v>8</v>
      </c>
      <c r="B34" s="488" t="s">
        <v>255</v>
      </c>
      <c r="C34" s="484">
        <v>0</v>
      </c>
      <c r="D34" s="485">
        <v>0</v>
      </c>
      <c r="E34" s="485">
        <v>0</v>
      </c>
      <c r="F34" s="486">
        <v>0</v>
      </c>
      <c r="G34" s="484">
        <v>0</v>
      </c>
      <c r="H34" s="485">
        <v>3</v>
      </c>
      <c r="I34" s="485">
        <v>3</v>
      </c>
      <c r="J34" s="486">
        <v>0</v>
      </c>
      <c r="K34" s="484">
        <v>0</v>
      </c>
      <c r="L34" s="485">
        <v>0</v>
      </c>
      <c r="M34" s="485">
        <v>0</v>
      </c>
      <c r="N34" s="486">
        <v>0</v>
      </c>
      <c r="O34" s="484">
        <v>0</v>
      </c>
      <c r="P34" s="485">
        <v>0</v>
      </c>
      <c r="Q34" s="485">
        <v>0</v>
      </c>
      <c r="R34" s="486">
        <v>0</v>
      </c>
      <c r="S34" s="484">
        <v>0</v>
      </c>
      <c r="T34" s="485">
        <v>0</v>
      </c>
      <c r="U34" s="485">
        <v>0</v>
      </c>
      <c r="V34" s="486">
        <v>0</v>
      </c>
      <c r="W34" s="564">
        <f t="shared" si="0"/>
        <v>6.0002000000000004</v>
      </c>
      <c r="X34" s="487">
        <f t="shared" si="1"/>
        <v>26</v>
      </c>
      <c r="Y34" s="316"/>
      <c r="Z34" s="316"/>
      <c r="AA34" s="316"/>
      <c r="AB34" s="316"/>
    </row>
    <row r="35" spans="1:29" x14ac:dyDescent="0.2">
      <c r="A35" s="482">
        <v>20</v>
      </c>
      <c r="B35" s="483" t="s">
        <v>41</v>
      </c>
      <c r="C35" s="484">
        <v>0</v>
      </c>
      <c r="D35" s="485">
        <v>0</v>
      </c>
      <c r="E35" s="485">
        <v>0</v>
      </c>
      <c r="F35" s="486">
        <v>0</v>
      </c>
      <c r="G35" s="484">
        <v>0</v>
      </c>
      <c r="H35" s="485">
        <v>0</v>
      </c>
      <c r="I35" s="485">
        <v>0</v>
      </c>
      <c r="J35" s="486">
        <v>0</v>
      </c>
      <c r="K35" s="484">
        <v>0</v>
      </c>
      <c r="L35" s="485">
        <v>0</v>
      </c>
      <c r="M35" s="485">
        <v>0</v>
      </c>
      <c r="N35" s="486">
        <v>0</v>
      </c>
      <c r="O35" s="484">
        <v>0</v>
      </c>
      <c r="P35" s="485">
        <v>1</v>
      </c>
      <c r="Q35" s="485">
        <v>3</v>
      </c>
      <c r="R35" s="486">
        <v>0</v>
      </c>
      <c r="S35" s="484">
        <v>0</v>
      </c>
      <c r="T35" s="485">
        <v>0</v>
      </c>
      <c r="U35" s="485">
        <v>0</v>
      </c>
      <c r="V35" s="486">
        <v>0</v>
      </c>
      <c r="W35" s="564">
        <f t="shared" si="0"/>
        <v>4.0000999999999998</v>
      </c>
      <c r="X35" s="487">
        <f t="shared" si="1"/>
        <v>27</v>
      </c>
      <c r="Y35" s="316"/>
      <c r="Z35" s="316"/>
      <c r="AA35" s="316"/>
      <c r="AB35" s="316"/>
    </row>
    <row r="36" spans="1:29" x14ac:dyDescent="0.2">
      <c r="A36" s="482">
        <v>13</v>
      </c>
      <c r="B36" s="483" t="s">
        <v>251</v>
      </c>
      <c r="C36" s="484">
        <v>0</v>
      </c>
      <c r="D36" s="485">
        <v>0</v>
      </c>
      <c r="E36" s="485">
        <v>0</v>
      </c>
      <c r="F36" s="486">
        <v>0</v>
      </c>
      <c r="G36" s="484">
        <v>0</v>
      </c>
      <c r="H36" s="485">
        <v>0</v>
      </c>
      <c r="I36" s="485">
        <v>0</v>
      </c>
      <c r="J36" s="486">
        <v>0</v>
      </c>
      <c r="K36" s="484">
        <v>0</v>
      </c>
      <c r="L36" s="485">
        <v>0</v>
      </c>
      <c r="M36" s="485">
        <v>0</v>
      </c>
      <c r="N36" s="486">
        <v>1</v>
      </c>
      <c r="O36" s="484">
        <v>0</v>
      </c>
      <c r="P36" s="485">
        <v>0</v>
      </c>
      <c r="Q36" s="485">
        <v>0</v>
      </c>
      <c r="R36" s="486">
        <v>0</v>
      </c>
      <c r="S36" s="484">
        <v>0</v>
      </c>
      <c r="T36" s="485">
        <v>0</v>
      </c>
      <c r="U36" s="485">
        <v>0</v>
      </c>
      <c r="V36" s="486">
        <v>0</v>
      </c>
      <c r="W36" s="564">
        <f t="shared" si="0"/>
        <v>1</v>
      </c>
      <c r="X36" s="553">
        <f t="shared" si="1"/>
        <v>28</v>
      </c>
      <c r="Y36" s="316"/>
      <c r="Z36" s="316"/>
      <c r="AA36" s="316"/>
      <c r="AB36" s="316"/>
    </row>
    <row r="37" spans="1:29" x14ac:dyDescent="0.2">
      <c r="A37" s="482">
        <v>19</v>
      </c>
      <c r="B37" s="488" t="s">
        <v>250</v>
      </c>
      <c r="C37" s="484">
        <v>1</v>
      </c>
      <c r="D37" s="485">
        <v>0</v>
      </c>
      <c r="E37" s="485">
        <v>0</v>
      </c>
      <c r="F37" s="486">
        <v>0</v>
      </c>
      <c r="G37" s="484">
        <v>0</v>
      </c>
      <c r="H37" s="485">
        <v>0</v>
      </c>
      <c r="I37" s="485">
        <v>0</v>
      </c>
      <c r="J37" s="486">
        <v>0</v>
      </c>
      <c r="K37" s="484">
        <v>0</v>
      </c>
      <c r="L37" s="485">
        <v>0</v>
      </c>
      <c r="M37" s="485">
        <v>0</v>
      </c>
      <c r="N37" s="486">
        <v>0</v>
      </c>
      <c r="O37" s="484">
        <v>0</v>
      </c>
      <c r="P37" s="485">
        <v>0</v>
      </c>
      <c r="Q37" s="485">
        <v>0</v>
      </c>
      <c r="R37" s="486">
        <v>0</v>
      </c>
      <c r="S37" s="484">
        <v>0</v>
      </c>
      <c r="T37" s="485">
        <v>0</v>
      </c>
      <c r="U37" s="485">
        <v>0</v>
      </c>
      <c r="V37" s="486">
        <v>0</v>
      </c>
      <c r="W37" s="564">
        <f t="shared" si="0"/>
        <v>1</v>
      </c>
      <c r="X37" s="553">
        <f t="shared" si="1"/>
        <v>28</v>
      </c>
      <c r="Y37" s="316"/>
      <c r="Z37" s="316"/>
      <c r="AA37" s="316"/>
      <c r="AB37" s="316"/>
    </row>
    <row r="38" spans="1:29" ht="13.5" thickBot="1" x14ac:dyDescent="0.25">
      <c r="A38" s="490">
        <v>9</v>
      </c>
      <c r="B38" s="510" t="s">
        <v>65</v>
      </c>
      <c r="C38" s="491" t="s">
        <v>102</v>
      </c>
      <c r="D38" s="492" t="s">
        <v>102</v>
      </c>
      <c r="E38" s="492" t="s">
        <v>102</v>
      </c>
      <c r="F38" s="493" t="s">
        <v>102</v>
      </c>
      <c r="G38" s="491" t="s">
        <v>102</v>
      </c>
      <c r="H38" s="492" t="s">
        <v>102</v>
      </c>
      <c r="I38" s="492" t="s">
        <v>102</v>
      </c>
      <c r="J38" s="493" t="s">
        <v>102</v>
      </c>
      <c r="K38" s="491" t="s">
        <v>102</v>
      </c>
      <c r="L38" s="492" t="s">
        <v>102</v>
      </c>
      <c r="M38" s="492" t="s">
        <v>102</v>
      </c>
      <c r="N38" s="493" t="s">
        <v>102</v>
      </c>
      <c r="O38" s="491" t="s">
        <v>102</v>
      </c>
      <c r="P38" s="492" t="s">
        <v>102</v>
      </c>
      <c r="Q38" s="492" t="s">
        <v>102</v>
      </c>
      <c r="R38" s="493" t="s">
        <v>102</v>
      </c>
      <c r="S38" s="491" t="s">
        <v>102</v>
      </c>
      <c r="T38" s="492" t="s">
        <v>102</v>
      </c>
      <c r="U38" s="492" t="s">
        <v>102</v>
      </c>
      <c r="V38" s="493" t="s">
        <v>102</v>
      </c>
      <c r="W38" s="565">
        <f t="shared" si="0"/>
        <v>0</v>
      </c>
      <c r="X38" s="494"/>
      <c r="Y38" s="316"/>
      <c r="Z38" s="316"/>
      <c r="AA38" s="316"/>
      <c r="AB38" s="316"/>
    </row>
    <row r="39" spans="1:29" ht="13.5" hidden="1" thickBot="1" x14ac:dyDescent="0.25">
      <c r="A39" s="366"/>
      <c r="B39" s="367" t="s">
        <v>445</v>
      </c>
      <c r="C39" s="319"/>
      <c r="D39" s="320"/>
      <c r="E39" s="320"/>
      <c r="F39" s="321"/>
      <c r="G39" s="319"/>
      <c r="H39" s="320"/>
      <c r="I39" s="320"/>
      <c r="J39" s="321"/>
      <c r="K39" s="319"/>
      <c r="L39" s="320"/>
      <c r="M39" s="320"/>
      <c r="N39" s="321"/>
      <c r="O39" s="319"/>
      <c r="P39" s="320"/>
      <c r="Q39" s="320"/>
      <c r="R39" s="321"/>
      <c r="S39" s="319"/>
      <c r="T39" s="320"/>
      <c r="U39" s="320"/>
      <c r="V39" s="321"/>
      <c r="W39" s="306"/>
      <c r="X39" s="306"/>
      <c r="Z39" s="323"/>
      <c r="AA39" s="324" t="s">
        <v>379</v>
      </c>
      <c r="AB39" s="324" t="s">
        <v>380</v>
      </c>
    </row>
    <row r="40" spans="1:29" ht="13.5" hidden="1" thickBot="1" x14ac:dyDescent="0.25">
      <c r="A40" s="393"/>
      <c r="B40" s="402"/>
      <c r="C40" s="395"/>
      <c r="D40" s="383"/>
      <c r="E40" s="396"/>
      <c r="F40" s="397"/>
      <c r="G40" s="395"/>
      <c r="H40" s="383"/>
      <c r="I40" s="396"/>
      <c r="J40" s="397"/>
      <c r="K40" s="395"/>
      <c r="L40" s="383"/>
      <c r="M40" s="396"/>
      <c r="N40" s="397"/>
      <c r="O40" s="395"/>
      <c r="P40" s="383"/>
      <c r="Q40" s="396"/>
      <c r="R40" s="397"/>
      <c r="S40" s="395"/>
      <c r="T40" s="383"/>
      <c r="U40" s="396"/>
      <c r="V40" s="397"/>
      <c r="W40" s="398" t="str">
        <f t="shared" ref="W40:W71" si="2">IF(COUNTA(C40:V40)=0,"",SUM(C40:V40)+COUNTIF(C40:V40,5)/100+COUNTIF(C40:V40,3)/10000)</f>
        <v/>
      </c>
      <c r="X40" s="398"/>
      <c r="AC40" s="346"/>
    </row>
    <row r="41" spans="1:29" ht="13.5" hidden="1" thickBot="1" x14ac:dyDescent="0.25">
      <c r="A41" s="393"/>
      <c r="B41" s="402"/>
      <c r="C41" s="395"/>
      <c r="D41" s="383"/>
      <c r="E41" s="396"/>
      <c r="F41" s="397"/>
      <c r="G41" s="395"/>
      <c r="H41" s="383"/>
      <c r="I41" s="396"/>
      <c r="J41" s="397"/>
      <c r="K41" s="395"/>
      <c r="L41" s="383"/>
      <c r="M41" s="396"/>
      <c r="N41" s="397"/>
      <c r="O41" s="395"/>
      <c r="P41" s="383"/>
      <c r="Q41" s="396"/>
      <c r="R41" s="397"/>
      <c r="S41" s="395"/>
      <c r="T41" s="383"/>
      <c r="U41" s="396"/>
      <c r="V41" s="397"/>
      <c r="W41" s="398" t="str">
        <f t="shared" si="2"/>
        <v/>
      </c>
      <c r="X41" s="398"/>
      <c r="AC41" s="346"/>
    </row>
    <row r="42" spans="1:29" ht="13.5" hidden="1" thickBot="1" x14ac:dyDescent="0.25">
      <c r="A42" s="393"/>
      <c r="B42" s="401"/>
      <c r="C42" s="395"/>
      <c r="D42" s="383"/>
      <c r="E42" s="396"/>
      <c r="F42" s="397"/>
      <c r="G42" s="395"/>
      <c r="H42" s="383"/>
      <c r="I42" s="396"/>
      <c r="J42" s="397"/>
      <c r="K42" s="395"/>
      <c r="L42" s="383"/>
      <c r="M42" s="396"/>
      <c r="N42" s="397"/>
      <c r="O42" s="395"/>
      <c r="P42" s="383"/>
      <c r="Q42" s="396"/>
      <c r="R42" s="397"/>
      <c r="S42" s="395"/>
      <c r="T42" s="383"/>
      <c r="U42" s="396"/>
      <c r="V42" s="397"/>
      <c r="W42" s="398" t="str">
        <f t="shared" si="2"/>
        <v/>
      </c>
      <c r="X42" s="398"/>
      <c r="AC42" s="346"/>
    </row>
    <row r="43" spans="1:29" ht="13.5" hidden="1" thickBot="1" x14ac:dyDescent="0.25">
      <c r="A43" s="393"/>
      <c r="B43" s="402"/>
      <c r="C43" s="395"/>
      <c r="D43" s="383"/>
      <c r="E43" s="396"/>
      <c r="F43" s="397"/>
      <c r="G43" s="395"/>
      <c r="H43" s="383"/>
      <c r="I43" s="396"/>
      <c r="J43" s="397"/>
      <c r="K43" s="395"/>
      <c r="L43" s="383"/>
      <c r="M43" s="396"/>
      <c r="N43" s="397"/>
      <c r="O43" s="395"/>
      <c r="P43" s="383"/>
      <c r="Q43" s="396"/>
      <c r="R43" s="397"/>
      <c r="S43" s="395"/>
      <c r="T43" s="383"/>
      <c r="U43" s="396"/>
      <c r="V43" s="397"/>
      <c r="W43" s="398" t="str">
        <f t="shared" si="2"/>
        <v/>
      </c>
      <c r="X43" s="398"/>
      <c r="AC43" s="346"/>
    </row>
    <row r="44" spans="1:29" ht="13.5" hidden="1" thickBot="1" x14ac:dyDescent="0.25">
      <c r="A44" s="308"/>
      <c r="B44" s="374"/>
      <c r="C44" s="310"/>
      <c r="D44" s="307"/>
      <c r="E44" s="311"/>
      <c r="F44" s="312"/>
      <c r="G44" s="310"/>
      <c r="H44" s="307"/>
      <c r="I44" s="311"/>
      <c r="J44" s="312"/>
      <c r="K44" s="310"/>
      <c r="L44" s="307"/>
      <c r="M44" s="311"/>
      <c r="N44" s="312"/>
      <c r="O44" s="310"/>
      <c r="P44" s="307"/>
      <c r="Q44" s="311"/>
      <c r="R44" s="312"/>
      <c r="S44" s="310"/>
      <c r="T44" s="307"/>
      <c r="U44" s="311"/>
      <c r="V44" s="312"/>
      <c r="W44" s="313" t="str">
        <f t="shared" si="2"/>
        <v/>
      </c>
      <c r="X44" s="313"/>
      <c r="AC44" s="346"/>
    </row>
    <row r="45" spans="1:29" ht="13.5" hidden="1" thickBot="1" x14ac:dyDescent="0.25">
      <c r="A45" s="308"/>
      <c r="B45" s="342"/>
      <c r="C45" s="310"/>
      <c r="D45" s="307"/>
      <c r="E45" s="311"/>
      <c r="F45" s="312"/>
      <c r="G45" s="310"/>
      <c r="H45" s="307"/>
      <c r="I45" s="311"/>
      <c r="J45" s="312"/>
      <c r="K45" s="310"/>
      <c r="L45" s="307"/>
      <c r="M45" s="311"/>
      <c r="N45" s="312"/>
      <c r="O45" s="310"/>
      <c r="P45" s="307"/>
      <c r="Q45" s="311"/>
      <c r="R45" s="312"/>
      <c r="S45" s="310"/>
      <c r="T45" s="307"/>
      <c r="U45" s="311"/>
      <c r="V45" s="312"/>
      <c r="W45" s="313" t="str">
        <f t="shared" si="2"/>
        <v/>
      </c>
      <c r="X45" s="313"/>
      <c r="AC45" s="346"/>
    </row>
    <row r="46" spans="1:29" ht="13.5" hidden="1" thickBot="1" x14ac:dyDescent="0.25">
      <c r="A46" s="382"/>
      <c r="B46" s="314"/>
      <c r="C46" s="310"/>
      <c r="D46" s="307"/>
      <c r="E46" s="311"/>
      <c r="F46" s="312"/>
      <c r="G46" s="310"/>
      <c r="H46" s="307"/>
      <c r="I46" s="311"/>
      <c r="J46" s="312"/>
      <c r="K46" s="310"/>
      <c r="L46" s="307"/>
      <c r="M46" s="311"/>
      <c r="N46" s="312"/>
      <c r="O46" s="310"/>
      <c r="P46" s="307"/>
      <c r="Q46" s="311"/>
      <c r="R46" s="312"/>
      <c r="S46" s="310"/>
      <c r="T46" s="307"/>
      <c r="U46" s="311"/>
      <c r="V46" s="312"/>
      <c r="W46" s="313" t="str">
        <f t="shared" si="2"/>
        <v/>
      </c>
      <c r="X46" s="313"/>
    </row>
    <row r="47" spans="1:29" ht="13.5" hidden="1" thickBot="1" x14ac:dyDescent="0.25">
      <c r="A47" s="382"/>
      <c r="B47" s="314"/>
      <c r="C47" s="310"/>
      <c r="D47" s="307"/>
      <c r="E47" s="311"/>
      <c r="F47" s="312"/>
      <c r="G47" s="310"/>
      <c r="H47" s="307"/>
      <c r="I47" s="311"/>
      <c r="J47" s="312"/>
      <c r="K47" s="310"/>
      <c r="L47" s="307"/>
      <c r="M47" s="311"/>
      <c r="N47" s="312"/>
      <c r="O47" s="310"/>
      <c r="P47" s="307"/>
      <c r="Q47" s="311"/>
      <c r="R47" s="312"/>
      <c r="S47" s="310"/>
      <c r="T47" s="307"/>
      <c r="U47" s="311"/>
      <c r="V47" s="312"/>
      <c r="W47" s="313" t="str">
        <f t="shared" si="2"/>
        <v/>
      </c>
      <c r="X47" s="313"/>
    </row>
    <row r="48" spans="1:29" ht="13.5" hidden="1" thickBot="1" x14ac:dyDescent="0.25">
      <c r="A48" s="393"/>
      <c r="B48" s="402"/>
      <c r="C48" s="395"/>
      <c r="D48" s="383"/>
      <c r="E48" s="396"/>
      <c r="F48" s="397"/>
      <c r="G48" s="395"/>
      <c r="H48" s="383"/>
      <c r="I48" s="396"/>
      <c r="J48" s="397"/>
      <c r="K48" s="395"/>
      <c r="L48" s="383"/>
      <c r="M48" s="396"/>
      <c r="N48" s="397"/>
      <c r="O48" s="395"/>
      <c r="P48" s="383"/>
      <c r="Q48" s="396"/>
      <c r="R48" s="397"/>
      <c r="S48" s="395"/>
      <c r="T48" s="383"/>
      <c r="U48" s="396"/>
      <c r="V48" s="397"/>
      <c r="W48" s="398" t="str">
        <f t="shared" si="2"/>
        <v/>
      </c>
      <c r="X48" s="398"/>
      <c r="AC48" s="346"/>
    </row>
    <row r="49" spans="1:29" ht="13.5" hidden="1" thickBot="1" x14ac:dyDescent="0.25">
      <c r="A49" s="393"/>
      <c r="B49" s="402"/>
      <c r="C49" s="395"/>
      <c r="D49" s="383"/>
      <c r="E49" s="396"/>
      <c r="F49" s="397"/>
      <c r="G49" s="395"/>
      <c r="H49" s="383"/>
      <c r="I49" s="396"/>
      <c r="J49" s="397"/>
      <c r="K49" s="395"/>
      <c r="L49" s="383"/>
      <c r="M49" s="396"/>
      <c r="N49" s="397"/>
      <c r="O49" s="395"/>
      <c r="P49" s="383"/>
      <c r="Q49" s="396"/>
      <c r="R49" s="397"/>
      <c r="S49" s="395"/>
      <c r="T49" s="383"/>
      <c r="U49" s="396"/>
      <c r="V49" s="397"/>
      <c r="W49" s="398" t="str">
        <f t="shared" si="2"/>
        <v/>
      </c>
      <c r="X49" s="398"/>
      <c r="AC49" s="346"/>
    </row>
    <row r="50" spans="1:29" ht="13.5" hidden="1" thickBot="1" x14ac:dyDescent="0.25">
      <c r="A50" s="393"/>
      <c r="B50" s="401"/>
      <c r="C50" s="395"/>
      <c r="D50" s="383"/>
      <c r="E50" s="396"/>
      <c r="F50" s="397"/>
      <c r="G50" s="395"/>
      <c r="H50" s="383"/>
      <c r="I50" s="396"/>
      <c r="J50" s="397"/>
      <c r="K50" s="395"/>
      <c r="L50" s="383"/>
      <c r="M50" s="396"/>
      <c r="N50" s="397"/>
      <c r="O50" s="395"/>
      <c r="P50" s="383"/>
      <c r="Q50" s="396"/>
      <c r="R50" s="397"/>
      <c r="S50" s="395"/>
      <c r="T50" s="383"/>
      <c r="U50" s="396"/>
      <c r="V50" s="397"/>
      <c r="W50" s="398" t="str">
        <f t="shared" si="2"/>
        <v/>
      </c>
      <c r="X50" s="398"/>
      <c r="AC50" s="346"/>
    </row>
    <row r="51" spans="1:29" ht="13.5" hidden="1" thickBot="1" x14ac:dyDescent="0.25">
      <c r="A51" s="393"/>
      <c r="B51" s="402"/>
      <c r="C51" s="395"/>
      <c r="D51" s="383"/>
      <c r="E51" s="396"/>
      <c r="F51" s="397"/>
      <c r="G51" s="395"/>
      <c r="H51" s="383"/>
      <c r="I51" s="396"/>
      <c r="J51" s="397"/>
      <c r="K51" s="395"/>
      <c r="L51" s="383"/>
      <c r="M51" s="396"/>
      <c r="N51" s="397"/>
      <c r="O51" s="395"/>
      <c r="P51" s="383"/>
      <c r="Q51" s="396"/>
      <c r="R51" s="397"/>
      <c r="S51" s="395"/>
      <c r="T51" s="383"/>
      <c r="U51" s="396"/>
      <c r="V51" s="397"/>
      <c r="W51" s="398" t="str">
        <f t="shared" si="2"/>
        <v/>
      </c>
      <c r="X51" s="398"/>
      <c r="AC51" s="346"/>
    </row>
    <row r="52" spans="1:29" ht="13.5" hidden="1" thickBot="1" x14ac:dyDescent="0.25">
      <c r="A52" s="308"/>
      <c r="B52" s="374"/>
      <c r="C52" s="310"/>
      <c r="D52" s="307"/>
      <c r="E52" s="311"/>
      <c r="F52" s="312"/>
      <c r="G52" s="310"/>
      <c r="H52" s="307"/>
      <c r="I52" s="311"/>
      <c r="J52" s="312"/>
      <c r="K52" s="310"/>
      <c r="L52" s="307"/>
      <c r="M52" s="311"/>
      <c r="N52" s="312"/>
      <c r="O52" s="310"/>
      <c r="P52" s="307"/>
      <c r="Q52" s="311"/>
      <c r="R52" s="312"/>
      <c r="S52" s="310"/>
      <c r="T52" s="307"/>
      <c r="U52" s="311"/>
      <c r="V52" s="312"/>
      <c r="W52" s="313" t="str">
        <f t="shared" si="2"/>
        <v/>
      </c>
      <c r="X52" s="313"/>
      <c r="AC52" s="346"/>
    </row>
    <row r="53" spans="1:29" ht="13.5" hidden="1" thickBot="1" x14ac:dyDescent="0.25">
      <c r="A53" s="308"/>
      <c r="B53" s="342"/>
      <c r="C53" s="310"/>
      <c r="D53" s="307"/>
      <c r="E53" s="311"/>
      <c r="F53" s="312"/>
      <c r="G53" s="310"/>
      <c r="H53" s="307"/>
      <c r="I53" s="311"/>
      <c r="J53" s="312"/>
      <c r="K53" s="310"/>
      <c r="L53" s="307"/>
      <c r="M53" s="311"/>
      <c r="N53" s="312"/>
      <c r="O53" s="310"/>
      <c r="P53" s="307"/>
      <c r="Q53" s="311"/>
      <c r="R53" s="312"/>
      <c r="S53" s="310"/>
      <c r="T53" s="307"/>
      <c r="U53" s="311"/>
      <c r="V53" s="312"/>
      <c r="W53" s="313" t="str">
        <f t="shared" si="2"/>
        <v/>
      </c>
      <c r="X53" s="313"/>
      <c r="AC53" s="346"/>
    </row>
    <row r="54" spans="1:29" ht="13.5" hidden="1" thickBot="1" x14ac:dyDescent="0.25">
      <c r="A54" s="382"/>
      <c r="B54" s="314"/>
      <c r="C54" s="310"/>
      <c r="D54" s="307"/>
      <c r="E54" s="311"/>
      <c r="F54" s="312"/>
      <c r="G54" s="310"/>
      <c r="H54" s="307"/>
      <c r="I54" s="311"/>
      <c r="J54" s="312"/>
      <c r="K54" s="310"/>
      <c r="L54" s="307"/>
      <c r="M54" s="311"/>
      <c r="N54" s="312"/>
      <c r="O54" s="310"/>
      <c r="P54" s="307"/>
      <c r="Q54" s="311"/>
      <c r="R54" s="312"/>
      <c r="S54" s="310"/>
      <c r="T54" s="307"/>
      <c r="U54" s="311"/>
      <c r="V54" s="312"/>
      <c r="W54" s="313" t="str">
        <f t="shared" si="2"/>
        <v/>
      </c>
      <c r="X54" s="313"/>
    </row>
    <row r="55" spans="1:29" ht="13.5" hidden="1" thickBot="1" x14ac:dyDescent="0.25">
      <c r="A55" s="382"/>
      <c r="B55" s="314"/>
      <c r="C55" s="310"/>
      <c r="D55" s="307"/>
      <c r="E55" s="311"/>
      <c r="F55" s="312"/>
      <c r="G55" s="310"/>
      <c r="H55" s="307"/>
      <c r="I55" s="311"/>
      <c r="J55" s="312"/>
      <c r="K55" s="310"/>
      <c r="L55" s="307"/>
      <c r="M55" s="311"/>
      <c r="N55" s="312"/>
      <c r="O55" s="310"/>
      <c r="P55" s="307"/>
      <c r="Q55" s="311"/>
      <c r="R55" s="312"/>
      <c r="S55" s="310"/>
      <c r="T55" s="307"/>
      <c r="U55" s="311"/>
      <c r="V55" s="312"/>
      <c r="W55" s="313" t="str">
        <f t="shared" si="2"/>
        <v/>
      </c>
      <c r="X55" s="313"/>
    </row>
    <row r="56" spans="1:29" ht="13.5" hidden="1" thickBot="1" x14ac:dyDescent="0.25">
      <c r="A56" s="393"/>
      <c r="B56" s="402"/>
      <c r="C56" s="395"/>
      <c r="D56" s="383"/>
      <c r="E56" s="396"/>
      <c r="F56" s="397"/>
      <c r="G56" s="395"/>
      <c r="H56" s="383"/>
      <c r="I56" s="396"/>
      <c r="J56" s="397"/>
      <c r="K56" s="395"/>
      <c r="L56" s="383"/>
      <c r="M56" s="396"/>
      <c r="N56" s="397"/>
      <c r="O56" s="395"/>
      <c r="P56" s="383"/>
      <c r="Q56" s="396"/>
      <c r="R56" s="397"/>
      <c r="S56" s="395"/>
      <c r="T56" s="383"/>
      <c r="U56" s="396"/>
      <c r="V56" s="397"/>
      <c r="W56" s="398" t="str">
        <f t="shared" si="2"/>
        <v/>
      </c>
      <c r="X56" s="398"/>
      <c r="AC56" s="346"/>
    </row>
    <row r="57" spans="1:29" ht="13.5" hidden="1" thickBot="1" x14ac:dyDescent="0.25">
      <c r="A57" s="393"/>
      <c r="B57" s="402"/>
      <c r="C57" s="395"/>
      <c r="D57" s="383"/>
      <c r="E57" s="396"/>
      <c r="F57" s="397"/>
      <c r="G57" s="395"/>
      <c r="H57" s="383"/>
      <c r="I57" s="396"/>
      <c r="J57" s="397"/>
      <c r="K57" s="395"/>
      <c r="L57" s="383"/>
      <c r="M57" s="396"/>
      <c r="N57" s="397"/>
      <c r="O57" s="395"/>
      <c r="P57" s="383"/>
      <c r="Q57" s="396"/>
      <c r="R57" s="397"/>
      <c r="S57" s="395"/>
      <c r="T57" s="383"/>
      <c r="U57" s="396"/>
      <c r="V57" s="397"/>
      <c r="W57" s="398" t="str">
        <f t="shared" si="2"/>
        <v/>
      </c>
      <c r="X57" s="398"/>
      <c r="AC57" s="346"/>
    </row>
    <row r="58" spans="1:29" ht="13.5" hidden="1" thickBot="1" x14ac:dyDescent="0.25">
      <c r="A58" s="393"/>
      <c r="B58" s="401"/>
      <c r="C58" s="395"/>
      <c r="D58" s="383"/>
      <c r="E58" s="396"/>
      <c r="F58" s="397"/>
      <c r="G58" s="395"/>
      <c r="H58" s="383"/>
      <c r="I58" s="396"/>
      <c r="J58" s="397"/>
      <c r="K58" s="395"/>
      <c r="L58" s="383"/>
      <c r="M58" s="396"/>
      <c r="N58" s="397"/>
      <c r="O58" s="395"/>
      <c r="P58" s="383"/>
      <c r="Q58" s="396"/>
      <c r="R58" s="397"/>
      <c r="S58" s="395"/>
      <c r="T58" s="383"/>
      <c r="U58" s="396"/>
      <c r="V58" s="397"/>
      <c r="W58" s="398" t="str">
        <f t="shared" si="2"/>
        <v/>
      </c>
      <c r="X58" s="398"/>
      <c r="AC58" s="346"/>
    </row>
    <row r="59" spans="1:29" ht="13.5" hidden="1" thickBot="1" x14ac:dyDescent="0.25">
      <c r="A59" s="393"/>
      <c r="B59" s="402"/>
      <c r="C59" s="395"/>
      <c r="D59" s="383"/>
      <c r="E59" s="396"/>
      <c r="F59" s="397"/>
      <c r="G59" s="395"/>
      <c r="H59" s="383"/>
      <c r="I59" s="396"/>
      <c r="J59" s="397"/>
      <c r="K59" s="395"/>
      <c r="L59" s="383"/>
      <c r="M59" s="396"/>
      <c r="N59" s="397"/>
      <c r="O59" s="395"/>
      <c r="P59" s="383"/>
      <c r="Q59" s="396"/>
      <c r="R59" s="397"/>
      <c r="S59" s="395"/>
      <c r="T59" s="383"/>
      <c r="U59" s="396"/>
      <c r="V59" s="397"/>
      <c r="W59" s="398" t="str">
        <f t="shared" si="2"/>
        <v/>
      </c>
      <c r="X59" s="398"/>
      <c r="AC59" s="346"/>
    </row>
    <row r="60" spans="1:29" ht="13.5" hidden="1" thickBot="1" x14ac:dyDescent="0.25">
      <c r="A60" s="308"/>
      <c r="B60" s="374"/>
      <c r="C60" s="310"/>
      <c r="D60" s="307"/>
      <c r="E60" s="311"/>
      <c r="F60" s="312"/>
      <c r="G60" s="310"/>
      <c r="H60" s="307"/>
      <c r="I60" s="311"/>
      <c r="J60" s="312"/>
      <c r="K60" s="310"/>
      <c r="L60" s="307"/>
      <c r="M60" s="311"/>
      <c r="N60" s="312"/>
      <c r="O60" s="310"/>
      <c r="P60" s="307"/>
      <c r="Q60" s="311"/>
      <c r="R60" s="312"/>
      <c r="S60" s="310"/>
      <c r="T60" s="307"/>
      <c r="U60" s="311"/>
      <c r="V60" s="312"/>
      <c r="W60" s="313" t="str">
        <f t="shared" si="2"/>
        <v/>
      </c>
      <c r="X60" s="313"/>
      <c r="AC60" s="346"/>
    </row>
    <row r="61" spans="1:29" ht="13.5" hidden="1" thickBot="1" x14ac:dyDescent="0.25">
      <c r="A61" s="308"/>
      <c r="B61" s="342"/>
      <c r="C61" s="310"/>
      <c r="D61" s="307"/>
      <c r="E61" s="311"/>
      <c r="F61" s="312"/>
      <c r="G61" s="310"/>
      <c r="H61" s="307"/>
      <c r="I61" s="311"/>
      <c r="J61" s="312"/>
      <c r="K61" s="310"/>
      <c r="L61" s="307"/>
      <c r="M61" s="311"/>
      <c r="N61" s="312"/>
      <c r="O61" s="310"/>
      <c r="P61" s="307"/>
      <c r="Q61" s="311"/>
      <c r="R61" s="312"/>
      <c r="S61" s="310"/>
      <c r="T61" s="307"/>
      <c r="U61" s="311"/>
      <c r="V61" s="312"/>
      <c r="W61" s="313" t="str">
        <f t="shared" si="2"/>
        <v/>
      </c>
      <c r="X61" s="313"/>
      <c r="AC61" s="346"/>
    </row>
    <row r="62" spans="1:29" ht="13.5" hidden="1" thickBot="1" x14ac:dyDescent="0.25">
      <c r="A62" s="382"/>
      <c r="B62" s="314"/>
      <c r="C62" s="310"/>
      <c r="D62" s="307"/>
      <c r="E62" s="311"/>
      <c r="F62" s="312"/>
      <c r="G62" s="310"/>
      <c r="H62" s="307"/>
      <c r="I62" s="311"/>
      <c r="J62" s="312"/>
      <c r="K62" s="310"/>
      <c r="L62" s="307"/>
      <c r="M62" s="311"/>
      <c r="N62" s="312"/>
      <c r="O62" s="310"/>
      <c r="P62" s="307"/>
      <c r="Q62" s="311"/>
      <c r="R62" s="312"/>
      <c r="S62" s="310"/>
      <c r="T62" s="307"/>
      <c r="U62" s="311"/>
      <c r="V62" s="312"/>
      <c r="W62" s="313" t="str">
        <f t="shared" si="2"/>
        <v/>
      </c>
      <c r="X62" s="313"/>
    </row>
    <row r="63" spans="1:29" ht="13.5" hidden="1" thickBot="1" x14ac:dyDescent="0.25">
      <c r="A63" s="382"/>
      <c r="B63" s="314"/>
      <c r="C63" s="310"/>
      <c r="D63" s="307"/>
      <c r="E63" s="311"/>
      <c r="F63" s="312"/>
      <c r="G63" s="310"/>
      <c r="H63" s="307"/>
      <c r="I63" s="311"/>
      <c r="J63" s="312"/>
      <c r="K63" s="310"/>
      <c r="L63" s="307"/>
      <c r="M63" s="311"/>
      <c r="N63" s="312"/>
      <c r="O63" s="310"/>
      <c r="P63" s="307"/>
      <c r="Q63" s="311"/>
      <c r="R63" s="312"/>
      <c r="S63" s="310"/>
      <c r="T63" s="307"/>
      <c r="U63" s="311"/>
      <c r="V63" s="312"/>
      <c r="W63" s="313" t="str">
        <f t="shared" si="2"/>
        <v/>
      </c>
      <c r="X63" s="313"/>
    </row>
    <row r="64" spans="1:29" ht="13.5" hidden="1" thickBot="1" x14ac:dyDescent="0.25">
      <c r="A64" s="393"/>
      <c r="B64" s="401"/>
      <c r="C64" s="395"/>
      <c r="D64" s="383"/>
      <c r="E64" s="396"/>
      <c r="F64" s="397"/>
      <c r="G64" s="395"/>
      <c r="H64" s="383"/>
      <c r="I64" s="396"/>
      <c r="J64" s="397"/>
      <c r="K64" s="395"/>
      <c r="L64" s="383"/>
      <c r="M64" s="396"/>
      <c r="N64" s="397"/>
      <c r="O64" s="395"/>
      <c r="P64" s="383"/>
      <c r="Q64" s="396"/>
      <c r="R64" s="397"/>
      <c r="S64" s="395"/>
      <c r="T64" s="383"/>
      <c r="U64" s="396"/>
      <c r="V64" s="397"/>
      <c r="W64" s="398" t="str">
        <f t="shared" si="2"/>
        <v/>
      </c>
      <c r="X64" s="398"/>
    </row>
    <row r="65" spans="1:29" ht="13.5" hidden="1" thickBot="1" x14ac:dyDescent="0.25">
      <c r="A65" s="393"/>
      <c r="B65" s="401"/>
      <c r="C65" s="395"/>
      <c r="D65" s="383"/>
      <c r="E65" s="396"/>
      <c r="F65" s="397"/>
      <c r="G65" s="395"/>
      <c r="H65" s="383"/>
      <c r="I65" s="396"/>
      <c r="J65" s="397"/>
      <c r="K65" s="395"/>
      <c r="L65" s="383"/>
      <c r="M65" s="396"/>
      <c r="N65" s="397"/>
      <c r="O65" s="395"/>
      <c r="P65" s="383"/>
      <c r="Q65" s="396"/>
      <c r="R65" s="397"/>
      <c r="S65" s="395"/>
      <c r="T65" s="383"/>
      <c r="U65" s="396"/>
      <c r="V65" s="397"/>
      <c r="W65" s="398" t="str">
        <f t="shared" si="2"/>
        <v/>
      </c>
      <c r="X65" s="398"/>
    </row>
    <row r="66" spans="1:29" ht="13.5" hidden="1" thickBot="1" x14ac:dyDescent="0.25">
      <c r="A66" s="393"/>
      <c r="B66" s="402"/>
      <c r="C66" s="395"/>
      <c r="D66" s="383"/>
      <c r="E66" s="396"/>
      <c r="F66" s="397"/>
      <c r="G66" s="395"/>
      <c r="H66" s="383"/>
      <c r="I66" s="396"/>
      <c r="J66" s="397"/>
      <c r="K66" s="395"/>
      <c r="L66" s="383"/>
      <c r="M66" s="396"/>
      <c r="N66" s="397"/>
      <c r="O66" s="395"/>
      <c r="P66" s="383"/>
      <c r="Q66" s="396"/>
      <c r="R66" s="397"/>
      <c r="S66" s="395"/>
      <c r="T66" s="383"/>
      <c r="U66" s="396"/>
      <c r="V66" s="397"/>
      <c r="W66" s="398" t="str">
        <f t="shared" si="2"/>
        <v/>
      </c>
      <c r="X66" s="398"/>
    </row>
    <row r="67" spans="1:29" ht="13.5" hidden="1" thickBot="1" x14ac:dyDescent="0.25">
      <c r="A67" s="393"/>
      <c r="B67" s="408"/>
      <c r="C67" s="395"/>
      <c r="D67" s="383"/>
      <c r="E67" s="396"/>
      <c r="F67" s="397"/>
      <c r="G67" s="395"/>
      <c r="H67" s="383"/>
      <c r="I67" s="396"/>
      <c r="J67" s="397"/>
      <c r="K67" s="395"/>
      <c r="L67" s="383"/>
      <c r="M67" s="396"/>
      <c r="N67" s="397"/>
      <c r="O67" s="395"/>
      <c r="P67" s="383"/>
      <c r="Q67" s="396"/>
      <c r="R67" s="397"/>
      <c r="S67" s="395"/>
      <c r="T67" s="383"/>
      <c r="U67" s="396"/>
      <c r="V67" s="397"/>
      <c r="W67" s="398" t="str">
        <f t="shared" si="2"/>
        <v/>
      </c>
      <c r="X67" s="398"/>
    </row>
    <row r="68" spans="1:29" ht="13.5" hidden="1" thickBot="1" x14ac:dyDescent="0.25">
      <c r="A68" s="308"/>
      <c r="B68" s="374"/>
      <c r="C68" s="310"/>
      <c r="D68" s="307"/>
      <c r="E68" s="311"/>
      <c r="F68" s="312"/>
      <c r="G68" s="310"/>
      <c r="H68" s="307"/>
      <c r="I68" s="311"/>
      <c r="J68" s="312"/>
      <c r="K68" s="310"/>
      <c r="L68" s="307"/>
      <c r="M68" s="311"/>
      <c r="N68" s="312"/>
      <c r="O68" s="310"/>
      <c r="P68" s="307"/>
      <c r="Q68" s="311"/>
      <c r="R68" s="312"/>
      <c r="S68" s="310"/>
      <c r="T68" s="307"/>
      <c r="U68" s="311"/>
      <c r="V68" s="312"/>
      <c r="W68" s="313" t="str">
        <f t="shared" si="2"/>
        <v/>
      </c>
      <c r="X68" s="313"/>
      <c r="AC68" s="346"/>
    </row>
    <row r="69" spans="1:29" ht="13.5" hidden="1" thickBot="1" x14ac:dyDescent="0.25">
      <c r="A69" s="308"/>
      <c r="B69" s="342"/>
      <c r="C69" s="310"/>
      <c r="D69" s="307"/>
      <c r="E69" s="311"/>
      <c r="F69" s="312"/>
      <c r="G69" s="310"/>
      <c r="H69" s="307"/>
      <c r="I69" s="311"/>
      <c r="J69" s="312"/>
      <c r="K69" s="310"/>
      <c r="L69" s="307"/>
      <c r="M69" s="311"/>
      <c r="N69" s="312"/>
      <c r="O69" s="310"/>
      <c r="P69" s="307"/>
      <c r="Q69" s="311"/>
      <c r="R69" s="312"/>
      <c r="S69" s="310"/>
      <c r="T69" s="307"/>
      <c r="U69" s="311"/>
      <c r="V69" s="312"/>
      <c r="W69" s="313" t="str">
        <f t="shared" si="2"/>
        <v/>
      </c>
      <c r="X69" s="313"/>
      <c r="AC69" s="346"/>
    </row>
    <row r="70" spans="1:29" ht="13.5" hidden="1" thickBot="1" x14ac:dyDescent="0.25">
      <c r="A70" s="382"/>
      <c r="B70" s="314"/>
      <c r="C70" s="310"/>
      <c r="D70" s="307"/>
      <c r="E70" s="311"/>
      <c r="F70" s="312"/>
      <c r="G70" s="310"/>
      <c r="H70" s="307"/>
      <c r="I70" s="311"/>
      <c r="J70" s="312"/>
      <c r="K70" s="310"/>
      <c r="L70" s="307"/>
      <c r="M70" s="311"/>
      <c r="N70" s="312"/>
      <c r="O70" s="310"/>
      <c r="P70" s="307"/>
      <c r="Q70" s="311"/>
      <c r="R70" s="312"/>
      <c r="S70" s="310"/>
      <c r="T70" s="307"/>
      <c r="U70" s="311"/>
      <c r="V70" s="312"/>
      <c r="W70" s="313" t="str">
        <f t="shared" si="2"/>
        <v/>
      </c>
      <c r="X70" s="313"/>
    </row>
    <row r="71" spans="1:29" ht="13.5" hidden="1" thickBot="1" x14ac:dyDescent="0.25">
      <c r="A71" s="384"/>
      <c r="B71" s="385"/>
      <c r="C71" s="386"/>
      <c r="D71" s="317"/>
      <c r="E71" s="387"/>
      <c r="F71" s="388"/>
      <c r="G71" s="386"/>
      <c r="H71" s="317"/>
      <c r="I71" s="387"/>
      <c r="J71" s="388"/>
      <c r="K71" s="386"/>
      <c r="L71" s="317"/>
      <c r="M71" s="387"/>
      <c r="N71" s="388"/>
      <c r="O71" s="386"/>
      <c r="P71" s="317"/>
      <c r="Q71" s="387"/>
      <c r="R71" s="388"/>
      <c r="S71" s="386"/>
      <c r="T71" s="317"/>
      <c r="U71" s="387"/>
      <c r="V71" s="388"/>
      <c r="W71" s="336" t="str">
        <f t="shared" si="2"/>
        <v/>
      </c>
      <c r="X71" s="336"/>
      <c r="Y71" s="316"/>
    </row>
    <row r="72" spans="1:29" ht="13.5" thickBot="1" x14ac:dyDescent="0.25">
      <c r="A72" s="525" t="s">
        <v>475</v>
      </c>
      <c r="B72" s="367" t="s">
        <v>384</v>
      </c>
      <c r="C72" s="303"/>
      <c r="D72" s="304"/>
      <c r="E72" s="304"/>
      <c r="F72" s="305"/>
      <c r="G72" s="303"/>
      <c r="H72" s="304"/>
      <c r="I72" s="304"/>
      <c r="J72" s="305"/>
      <c r="K72" s="303"/>
      <c r="L72" s="304"/>
      <c r="M72" s="304"/>
      <c r="N72" s="305"/>
      <c r="O72" s="303"/>
      <c r="P72" s="304"/>
      <c r="Q72" s="304"/>
      <c r="R72" s="305"/>
      <c r="S72" s="303"/>
      <c r="T72" s="304"/>
      <c r="U72" s="304"/>
      <c r="V72" s="305"/>
      <c r="W72" s="306"/>
      <c r="X72" s="306"/>
      <c r="Y72" s="440" t="s">
        <v>444</v>
      </c>
      <c r="Z72" s="323"/>
      <c r="AA72" s="324" t="s">
        <v>379</v>
      </c>
      <c r="AB72" s="324" t="s">
        <v>380</v>
      </c>
    </row>
    <row r="73" spans="1:29" ht="14.25" thickTop="1" thickBot="1" x14ac:dyDescent="0.25">
      <c r="A73" s="495">
        <v>3</v>
      </c>
      <c r="B73" s="496" t="s">
        <v>59</v>
      </c>
      <c r="C73" s="519">
        <v>5</v>
      </c>
      <c r="D73" s="498">
        <v>3</v>
      </c>
      <c r="E73" s="519">
        <v>5</v>
      </c>
      <c r="F73" s="499">
        <v>3</v>
      </c>
      <c r="G73" s="519">
        <v>5</v>
      </c>
      <c r="H73" s="498">
        <v>3</v>
      </c>
      <c r="I73" s="498">
        <v>0</v>
      </c>
      <c r="J73" s="499">
        <v>3</v>
      </c>
      <c r="K73" s="497">
        <v>0</v>
      </c>
      <c r="L73" s="498">
        <v>1</v>
      </c>
      <c r="M73" s="498">
        <v>0</v>
      </c>
      <c r="N73" s="499">
        <v>0</v>
      </c>
      <c r="O73" s="497">
        <v>0</v>
      </c>
      <c r="P73" s="498">
        <v>0</v>
      </c>
      <c r="Q73" s="498">
        <v>0</v>
      </c>
      <c r="R73" s="499">
        <v>0</v>
      </c>
      <c r="S73" s="497">
        <v>0</v>
      </c>
      <c r="T73" s="519">
        <v>5</v>
      </c>
      <c r="U73" s="498">
        <v>0</v>
      </c>
      <c r="V73" s="499">
        <v>0</v>
      </c>
      <c r="W73" s="694">
        <f t="shared" ref="W73:W84" si="3">SUM(C73:V73)+COUNTIF(C73:V73,5)/100+COUNTIF(C73:V73,3)/10000</f>
        <v>33.040399999999998</v>
      </c>
      <c r="X73" s="468" t="str">
        <f t="shared" ref="X73:X82" si="4">IF(RANK(Y73,$Y$73:$Y$84)&lt;5,"edasi "&amp;RANK(Y73,$Y$73:$Y$84)+4,RANK(Y73,$Y$73:$Y$84)+4)</f>
        <v>edasi 5</v>
      </c>
      <c r="Y73" s="500">
        <f t="shared" ref="Y73:Y84" si="5">W73+IFERROR(INDEX(W$9:W$38,MATCH(B73,B$9:B$38,0)),0)</f>
        <v>52.050799999999995</v>
      </c>
      <c r="Z73" s="325" t="e">
        <f>IF(COUNTA(C73:V73)=0,100,W73+IF(RANK(W73,$W$111:$W$112)=1,100,0))</f>
        <v>#N/A</v>
      </c>
      <c r="AA73" s="324">
        <f>MIN(W73:W74)</f>
        <v>18.010400000000001</v>
      </c>
      <c r="AB73" s="324">
        <f>MAX(W73:W74)</f>
        <v>33.040399999999998</v>
      </c>
    </row>
    <row r="74" spans="1:29" ht="14.25" thickTop="1" thickBot="1" x14ac:dyDescent="0.25">
      <c r="A74" s="495">
        <v>9</v>
      </c>
      <c r="B74" s="501" t="s">
        <v>435</v>
      </c>
      <c r="C74" s="497">
        <v>0</v>
      </c>
      <c r="D74" s="498">
        <v>3</v>
      </c>
      <c r="E74" s="498">
        <v>0</v>
      </c>
      <c r="F74" s="499">
        <v>0</v>
      </c>
      <c r="G74" s="497">
        <v>3</v>
      </c>
      <c r="H74" s="498">
        <v>0</v>
      </c>
      <c r="I74" s="498">
        <v>3</v>
      </c>
      <c r="J74" s="499">
        <v>3</v>
      </c>
      <c r="K74" s="497">
        <v>1</v>
      </c>
      <c r="L74" s="498">
        <v>0</v>
      </c>
      <c r="M74" s="498">
        <v>0</v>
      </c>
      <c r="N74" s="499">
        <v>0</v>
      </c>
      <c r="O74" s="497">
        <v>0</v>
      </c>
      <c r="P74" s="498">
        <v>0</v>
      </c>
      <c r="Q74" s="498">
        <v>0</v>
      </c>
      <c r="R74" s="499">
        <v>0</v>
      </c>
      <c r="S74" s="519">
        <v>5</v>
      </c>
      <c r="T74" s="498">
        <v>0</v>
      </c>
      <c r="U74" s="498">
        <v>0</v>
      </c>
      <c r="V74" s="499">
        <v>0</v>
      </c>
      <c r="W74" s="694">
        <f t="shared" si="3"/>
        <v>18.010400000000001</v>
      </c>
      <c r="X74" s="468" t="str">
        <f t="shared" si="4"/>
        <v>edasi 6</v>
      </c>
      <c r="Y74" s="500">
        <f t="shared" si="5"/>
        <v>45.020899999999997</v>
      </c>
      <c r="Z74" s="325"/>
      <c r="AA74" s="324"/>
      <c r="AB74" s="324"/>
    </row>
    <row r="75" spans="1:29" ht="14.25" thickTop="1" thickBot="1" x14ac:dyDescent="0.25">
      <c r="A75" s="495">
        <v>11</v>
      </c>
      <c r="B75" s="502" t="s">
        <v>55</v>
      </c>
      <c r="C75" s="497">
        <v>3</v>
      </c>
      <c r="D75" s="498">
        <v>0</v>
      </c>
      <c r="E75" s="498">
        <v>0</v>
      </c>
      <c r="F75" s="499">
        <v>0</v>
      </c>
      <c r="G75" s="497">
        <v>0</v>
      </c>
      <c r="H75" s="498">
        <v>0</v>
      </c>
      <c r="I75" s="498">
        <v>0</v>
      </c>
      <c r="J75" s="499">
        <v>0</v>
      </c>
      <c r="K75" s="497">
        <v>1</v>
      </c>
      <c r="L75" s="498">
        <v>0</v>
      </c>
      <c r="M75" s="498">
        <v>1</v>
      </c>
      <c r="N75" s="499">
        <v>0</v>
      </c>
      <c r="O75" s="497">
        <v>0</v>
      </c>
      <c r="P75" s="498">
        <v>1</v>
      </c>
      <c r="Q75" s="498">
        <v>0</v>
      </c>
      <c r="R75" s="499">
        <v>0</v>
      </c>
      <c r="S75" s="497">
        <v>0</v>
      </c>
      <c r="T75" s="498">
        <v>0</v>
      </c>
      <c r="U75" s="519">
        <v>5</v>
      </c>
      <c r="V75" s="519">
        <v>5</v>
      </c>
      <c r="W75" s="694">
        <f t="shared" si="3"/>
        <v>16.020099999999999</v>
      </c>
      <c r="X75" s="468" t="str">
        <f t="shared" si="4"/>
        <v>edasi 7</v>
      </c>
      <c r="Y75" s="500">
        <f t="shared" si="5"/>
        <v>43.040599999999998</v>
      </c>
      <c r="Z75" s="325" t="e">
        <f>IF(COUNTA(C75:V75)=0,100,W75+IF(RANK(W75,$W$113:$W$114)=1,100,0))</f>
        <v>#N/A</v>
      </c>
      <c r="AA75" s="324">
        <f>MIN(W75:W76)</f>
        <v>11.010199999999999</v>
      </c>
      <c r="AB75" s="324">
        <f>MAX(W75:W76)</f>
        <v>16.020099999999999</v>
      </c>
    </row>
    <row r="76" spans="1:29" ht="14.25" thickTop="1" thickBot="1" x14ac:dyDescent="0.25">
      <c r="A76" s="495">
        <v>12</v>
      </c>
      <c r="B76" s="503" t="s">
        <v>25</v>
      </c>
      <c r="C76" s="497">
        <v>3</v>
      </c>
      <c r="D76" s="498">
        <v>0</v>
      </c>
      <c r="E76" s="498">
        <v>0</v>
      </c>
      <c r="F76" s="499">
        <v>0</v>
      </c>
      <c r="G76" s="497">
        <v>0</v>
      </c>
      <c r="H76" s="498">
        <v>0</v>
      </c>
      <c r="I76" s="498">
        <v>0</v>
      </c>
      <c r="J76" s="499">
        <v>0</v>
      </c>
      <c r="K76" s="497">
        <v>0</v>
      </c>
      <c r="L76" s="498">
        <v>0</v>
      </c>
      <c r="M76" s="498">
        <v>0</v>
      </c>
      <c r="N76" s="499">
        <v>0</v>
      </c>
      <c r="O76" s="497">
        <v>0</v>
      </c>
      <c r="P76" s="498">
        <v>3</v>
      </c>
      <c r="Q76" s="498">
        <v>0</v>
      </c>
      <c r="R76" s="499">
        <v>0</v>
      </c>
      <c r="S76" s="519">
        <v>5</v>
      </c>
      <c r="T76" s="498">
        <v>0</v>
      </c>
      <c r="U76" s="498">
        <v>0</v>
      </c>
      <c r="V76" s="499">
        <v>0</v>
      </c>
      <c r="W76" s="694">
        <f t="shared" si="3"/>
        <v>11.010199999999999</v>
      </c>
      <c r="X76" s="468" t="str">
        <f t="shared" si="4"/>
        <v>edasi 8</v>
      </c>
      <c r="Y76" s="500">
        <f t="shared" si="5"/>
        <v>43.030900000000003</v>
      </c>
      <c r="Z76" s="326" t="e">
        <f>IF(COUNTA(C76:V76)=0,0,W76+IF(RANK(W76,$W$113:$W$114)=1,100,0))</f>
        <v>#N/A</v>
      </c>
      <c r="AA76" s="324"/>
      <c r="AB76" s="324"/>
    </row>
    <row r="77" spans="1:29" ht="14.25" thickTop="1" thickBot="1" x14ac:dyDescent="0.25">
      <c r="A77" s="504">
        <v>8</v>
      </c>
      <c r="B77" s="505" t="s">
        <v>453</v>
      </c>
      <c r="C77" s="506">
        <v>3</v>
      </c>
      <c r="D77" s="507">
        <v>3</v>
      </c>
      <c r="E77" s="507">
        <v>3</v>
      </c>
      <c r="F77" s="508">
        <v>0</v>
      </c>
      <c r="G77" s="506">
        <v>0</v>
      </c>
      <c r="H77" s="507">
        <v>0</v>
      </c>
      <c r="I77" s="507">
        <v>0</v>
      </c>
      <c r="J77" s="508">
        <v>0</v>
      </c>
      <c r="K77" s="520">
        <v>5</v>
      </c>
      <c r="L77" s="507">
        <v>1</v>
      </c>
      <c r="M77" s="507">
        <v>0</v>
      </c>
      <c r="N77" s="508">
        <v>0</v>
      </c>
      <c r="O77" s="506">
        <v>3</v>
      </c>
      <c r="P77" s="507">
        <v>0</v>
      </c>
      <c r="Q77" s="507">
        <v>0</v>
      </c>
      <c r="R77" s="508">
        <v>0</v>
      </c>
      <c r="S77" s="506">
        <v>0</v>
      </c>
      <c r="T77" s="507">
        <v>0</v>
      </c>
      <c r="U77" s="507">
        <v>0</v>
      </c>
      <c r="V77" s="508">
        <v>0</v>
      </c>
      <c r="W77" s="564">
        <f t="shared" si="3"/>
        <v>18.010400000000001</v>
      </c>
      <c r="X77" s="487">
        <f t="shared" si="4"/>
        <v>9</v>
      </c>
      <c r="Y77" s="487">
        <f t="shared" si="5"/>
        <v>43.021000000000001</v>
      </c>
      <c r="Z77" s="325" t="e">
        <f>IF(COUNTA(C77:V77)=0,100,W77+IF(RANK(W77,$W$115:$W$116)=1,100,0))</f>
        <v>#N/A</v>
      </c>
      <c r="AA77" s="324">
        <f>MIN(W77:W78)</f>
        <v>18.010400000000001</v>
      </c>
      <c r="AB77" s="324">
        <f>MAX(W77:W78)</f>
        <v>18.020199999999999</v>
      </c>
    </row>
    <row r="78" spans="1:29" ht="14.25" thickTop="1" thickBot="1" x14ac:dyDescent="0.25">
      <c r="A78" s="504">
        <v>6</v>
      </c>
      <c r="B78" s="535" t="s">
        <v>433</v>
      </c>
      <c r="C78" s="506">
        <v>0</v>
      </c>
      <c r="D78" s="507">
        <v>3</v>
      </c>
      <c r="E78" s="507">
        <v>0</v>
      </c>
      <c r="F78" s="508">
        <v>3</v>
      </c>
      <c r="G78" s="506">
        <v>0</v>
      </c>
      <c r="H78" s="507">
        <v>0</v>
      </c>
      <c r="I78" s="520">
        <v>5</v>
      </c>
      <c r="J78" s="520">
        <v>5</v>
      </c>
      <c r="K78" s="506">
        <v>1</v>
      </c>
      <c r="L78" s="507">
        <v>0</v>
      </c>
      <c r="M78" s="507">
        <v>1</v>
      </c>
      <c r="N78" s="508">
        <v>0</v>
      </c>
      <c r="O78" s="506">
        <v>0</v>
      </c>
      <c r="P78" s="507">
        <v>0</v>
      </c>
      <c r="Q78" s="507">
        <v>0</v>
      </c>
      <c r="R78" s="508">
        <v>0</v>
      </c>
      <c r="S78" s="506">
        <v>0</v>
      </c>
      <c r="T78" s="507">
        <v>0</v>
      </c>
      <c r="U78" s="507">
        <v>0</v>
      </c>
      <c r="V78" s="508">
        <v>0</v>
      </c>
      <c r="W78" s="564">
        <f t="shared" si="3"/>
        <v>18.020199999999999</v>
      </c>
      <c r="X78" s="487">
        <f t="shared" si="4"/>
        <v>10</v>
      </c>
      <c r="Y78" s="487">
        <f t="shared" si="5"/>
        <v>40.0503</v>
      </c>
      <c r="Z78" s="326" t="e">
        <f>IF(COUNTA(C78:V78)=0,0,W78+IF(RANK(W78,$W$115:$W$116)=1,100,0))</f>
        <v>#N/A</v>
      </c>
      <c r="AA78" s="324"/>
      <c r="AB78" s="324"/>
    </row>
    <row r="79" spans="1:29" ht="14.25" thickTop="1" thickBot="1" x14ac:dyDescent="0.25">
      <c r="A79" s="504">
        <v>4</v>
      </c>
      <c r="B79" s="509" t="s">
        <v>438</v>
      </c>
      <c r="C79" s="506">
        <v>3</v>
      </c>
      <c r="D79" s="507">
        <v>0</v>
      </c>
      <c r="E79" s="507">
        <v>3</v>
      </c>
      <c r="F79" s="508">
        <v>3</v>
      </c>
      <c r="G79" s="506">
        <v>0</v>
      </c>
      <c r="H79" s="507">
        <v>3</v>
      </c>
      <c r="I79" s="507">
        <v>0</v>
      </c>
      <c r="J79" s="508">
        <v>0</v>
      </c>
      <c r="K79" s="506">
        <v>1</v>
      </c>
      <c r="L79" s="507">
        <v>0</v>
      </c>
      <c r="M79" s="507">
        <v>0</v>
      </c>
      <c r="N79" s="508">
        <v>1</v>
      </c>
      <c r="O79" s="506">
        <v>3</v>
      </c>
      <c r="P79" s="507">
        <v>0</v>
      </c>
      <c r="Q79" s="507">
        <v>0</v>
      </c>
      <c r="R79" s="508">
        <v>0</v>
      </c>
      <c r="S79" s="506">
        <v>0</v>
      </c>
      <c r="T79" s="507">
        <v>0</v>
      </c>
      <c r="U79" s="507">
        <v>0</v>
      </c>
      <c r="V79" s="508">
        <v>0</v>
      </c>
      <c r="W79" s="564">
        <f t="shared" si="3"/>
        <v>17.000499999999999</v>
      </c>
      <c r="X79" s="487">
        <f t="shared" si="4"/>
        <v>11</v>
      </c>
      <c r="Y79" s="487">
        <f t="shared" si="5"/>
        <v>38.020799999999994</v>
      </c>
      <c r="Z79" s="325" t="e">
        <f>IF(COUNTA(C79:V79)=0,100,W79+IF(RANK(W79,$W$113:$W$114)=1,100,0))</f>
        <v>#N/A</v>
      </c>
      <c r="AA79" s="324">
        <f>MIN(W79:W80)</f>
        <v>13.010199999999999</v>
      </c>
      <c r="AB79" s="324">
        <f>MAX(W79:W80)</f>
        <v>17.000499999999999</v>
      </c>
    </row>
    <row r="80" spans="1:29" ht="14.25" thickTop="1" thickBot="1" x14ac:dyDescent="0.25">
      <c r="A80" s="504">
        <v>7</v>
      </c>
      <c r="B80" s="505" t="s">
        <v>58</v>
      </c>
      <c r="C80" s="506">
        <v>3</v>
      </c>
      <c r="D80" s="507">
        <v>3</v>
      </c>
      <c r="E80" s="507">
        <v>0</v>
      </c>
      <c r="F80" s="508">
        <v>0</v>
      </c>
      <c r="G80" s="506">
        <v>0</v>
      </c>
      <c r="H80" s="507">
        <v>0</v>
      </c>
      <c r="I80" s="507">
        <v>0</v>
      </c>
      <c r="J80" s="508">
        <v>0</v>
      </c>
      <c r="K80" s="506">
        <v>1</v>
      </c>
      <c r="L80" s="507">
        <v>0</v>
      </c>
      <c r="M80" s="507">
        <v>1</v>
      </c>
      <c r="N80" s="508">
        <v>0</v>
      </c>
      <c r="O80" s="506">
        <v>0</v>
      </c>
      <c r="P80" s="507">
        <v>0</v>
      </c>
      <c r="Q80" s="507">
        <v>0</v>
      </c>
      <c r="R80" s="508">
        <v>0</v>
      </c>
      <c r="S80" s="506">
        <v>0</v>
      </c>
      <c r="T80" s="520">
        <v>5</v>
      </c>
      <c r="U80" s="507">
        <v>0</v>
      </c>
      <c r="V80" s="508">
        <v>0</v>
      </c>
      <c r="W80" s="564">
        <f t="shared" si="3"/>
        <v>13.010199999999999</v>
      </c>
      <c r="X80" s="487">
        <f t="shared" si="4"/>
        <v>12</v>
      </c>
      <c r="Y80" s="487">
        <f t="shared" si="5"/>
        <v>36.020800000000001</v>
      </c>
      <c r="Z80" s="326" t="e">
        <f>IF(COUNTA(C80:V80)=0,0,W80+IF(RANK(W80,$W$113:$W$114)=1,100,0))</f>
        <v>#N/A</v>
      </c>
      <c r="AA80" s="324"/>
      <c r="AB80" s="324"/>
    </row>
    <row r="81" spans="1:29" ht="13.5" thickTop="1" x14ac:dyDescent="0.2">
      <c r="A81" s="504">
        <v>10</v>
      </c>
      <c r="B81" s="505" t="s">
        <v>436</v>
      </c>
      <c r="C81" s="506">
        <v>0</v>
      </c>
      <c r="D81" s="507">
        <v>0</v>
      </c>
      <c r="E81" s="507">
        <v>0</v>
      </c>
      <c r="F81" s="508">
        <v>0</v>
      </c>
      <c r="G81" s="506">
        <v>0</v>
      </c>
      <c r="H81" s="507">
        <v>0</v>
      </c>
      <c r="I81" s="507">
        <v>0</v>
      </c>
      <c r="J81" s="508">
        <v>0</v>
      </c>
      <c r="K81" s="506">
        <v>0</v>
      </c>
      <c r="L81" s="507">
        <v>0</v>
      </c>
      <c r="M81" s="507">
        <v>0</v>
      </c>
      <c r="N81" s="508">
        <v>1</v>
      </c>
      <c r="O81" s="506">
        <v>0</v>
      </c>
      <c r="P81" s="507">
        <v>3</v>
      </c>
      <c r="Q81" s="507">
        <v>0</v>
      </c>
      <c r="R81" s="508">
        <v>0</v>
      </c>
      <c r="S81" s="506">
        <v>0</v>
      </c>
      <c r="T81" s="507">
        <v>0</v>
      </c>
      <c r="U81" s="507">
        <v>0</v>
      </c>
      <c r="V81" s="508">
        <v>0</v>
      </c>
      <c r="W81" s="564">
        <f t="shared" si="3"/>
        <v>4.0000999999999998</v>
      </c>
      <c r="X81" s="487">
        <f t="shared" si="4"/>
        <v>13</v>
      </c>
      <c r="Y81" s="487">
        <f t="shared" si="5"/>
        <v>31.020599999999998</v>
      </c>
      <c r="Z81" s="325" t="e">
        <f>IF(COUNTA(C81:V81)=0,100,W81+IF(RANK(W81,$W$115:$W$116)=1,100,0))</f>
        <v>#N/A</v>
      </c>
      <c r="AA81" s="324">
        <f>MIN(W81:W82)</f>
        <v>4.0000999999999998</v>
      </c>
      <c r="AB81" s="324">
        <f>MAX(W81:W82)</f>
        <v>13.000400000000001</v>
      </c>
    </row>
    <row r="82" spans="1:29" x14ac:dyDescent="0.2">
      <c r="A82" s="504">
        <v>2</v>
      </c>
      <c r="B82" s="505" t="s">
        <v>37</v>
      </c>
      <c r="C82" s="506">
        <v>0</v>
      </c>
      <c r="D82" s="507">
        <v>0</v>
      </c>
      <c r="E82" s="507">
        <v>0</v>
      </c>
      <c r="F82" s="508">
        <v>0</v>
      </c>
      <c r="G82" s="506">
        <v>0</v>
      </c>
      <c r="H82" s="507">
        <v>3</v>
      </c>
      <c r="I82" s="507">
        <v>1</v>
      </c>
      <c r="J82" s="508">
        <v>0</v>
      </c>
      <c r="K82" s="506">
        <v>0</v>
      </c>
      <c r="L82" s="507">
        <v>0</v>
      </c>
      <c r="M82" s="507">
        <v>0</v>
      </c>
      <c r="N82" s="508">
        <v>0</v>
      </c>
      <c r="O82" s="506">
        <v>3</v>
      </c>
      <c r="P82" s="507">
        <v>3</v>
      </c>
      <c r="Q82" s="507">
        <v>0</v>
      </c>
      <c r="R82" s="508">
        <v>0</v>
      </c>
      <c r="S82" s="506">
        <v>0</v>
      </c>
      <c r="T82" s="507">
        <v>0</v>
      </c>
      <c r="U82" s="507">
        <v>3</v>
      </c>
      <c r="V82" s="508">
        <v>0</v>
      </c>
      <c r="W82" s="564">
        <f t="shared" si="3"/>
        <v>13.000400000000001</v>
      </c>
      <c r="X82" s="553">
        <f t="shared" si="4"/>
        <v>14</v>
      </c>
      <c r="Y82" s="487">
        <f t="shared" si="5"/>
        <v>30.020600000000002</v>
      </c>
      <c r="Z82" s="326" t="e">
        <f>IF(COUNTA(C82:V82)=0,0,W82+IF(RANK(W82,$W$115:$W$116)=1,100,0))</f>
        <v>#N/A</v>
      </c>
      <c r="AA82" s="324"/>
      <c r="AB82" s="324"/>
    </row>
    <row r="83" spans="1:29" x14ac:dyDescent="0.2">
      <c r="A83" s="504">
        <v>5</v>
      </c>
      <c r="B83" s="536" t="s">
        <v>45</v>
      </c>
      <c r="C83" s="506">
        <v>0</v>
      </c>
      <c r="D83" s="507">
        <v>0</v>
      </c>
      <c r="E83" s="507">
        <v>0</v>
      </c>
      <c r="F83" s="508">
        <v>0</v>
      </c>
      <c r="G83" s="506">
        <v>0</v>
      </c>
      <c r="H83" s="507">
        <v>0</v>
      </c>
      <c r="I83" s="507">
        <v>0</v>
      </c>
      <c r="J83" s="508">
        <v>0</v>
      </c>
      <c r="K83" s="506">
        <v>0</v>
      </c>
      <c r="L83" s="507">
        <v>3</v>
      </c>
      <c r="M83" s="507">
        <v>0</v>
      </c>
      <c r="N83" s="508">
        <v>0</v>
      </c>
      <c r="O83" s="506">
        <v>3</v>
      </c>
      <c r="P83" s="507">
        <v>0</v>
      </c>
      <c r="Q83" s="507">
        <v>0</v>
      </c>
      <c r="R83" s="508">
        <v>0</v>
      </c>
      <c r="S83" s="506">
        <v>0</v>
      </c>
      <c r="T83" s="507">
        <v>0</v>
      </c>
      <c r="U83" s="507">
        <v>0</v>
      </c>
      <c r="V83" s="508">
        <v>3</v>
      </c>
      <c r="W83" s="564">
        <f t="shared" si="3"/>
        <v>9.0002999999999993</v>
      </c>
      <c r="X83" s="553">
        <v>14</v>
      </c>
      <c r="Y83" s="487">
        <f t="shared" si="5"/>
        <v>30.020599999999998</v>
      </c>
      <c r="Z83" s="325" t="e">
        <f>IF(COUNTA(C83:V83)=0,100,W83+IF(RANK(W83,$W$117:$W$118)=1,100,0))</f>
        <v>#N/A</v>
      </c>
      <c r="AA83" s="324">
        <f>MIN(W83:W84)</f>
        <v>8.0001999999999995</v>
      </c>
      <c r="AB83" s="324">
        <f>MAX(W83:W84)</f>
        <v>9.0002999999999993</v>
      </c>
    </row>
    <row r="84" spans="1:29" ht="13.5" thickBot="1" x14ac:dyDescent="0.25">
      <c r="A84" s="510">
        <v>1</v>
      </c>
      <c r="B84" s="511" t="s">
        <v>50</v>
      </c>
      <c r="C84" s="512">
        <v>0</v>
      </c>
      <c r="D84" s="513">
        <v>1</v>
      </c>
      <c r="E84" s="513">
        <v>0</v>
      </c>
      <c r="F84" s="514">
        <v>0</v>
      </c>
      <c r="G84" s="512">
        <v>3</v>
      </c>
      <c r="H84" s="513">
        <v>0</v>
      </c>
      <c r="I84" s="513">
        <v>0</v>
      </c>
      <c r="J84" s="514">
        <v>0</v>
      </c>
      <c r="K84" s="512">
        <v>1</v>
      </c>
      <c r="L84" s="513">
        <v>0</v>
      </c>
      <c r="M84" s="513">
        <v>3</v>
      </c>
      <c r="N84" s="514">
        <v>0</v>
      </c>
      <c r="O84" s="512">
        <v>0</v>
      </c>
      <c r="P84" s="513">
        <v>0</v>
      </c>
      <c r="Q84" s="513">
        <v>0</v>
      </c>
      <c r="R84" s="514">
        <v>0</v>
      </c>
      <c r="S84" s="512">
        <v>0</v>
      </c>
      <c r="T84" s="513">
        <v>0</v>
      </c>
      <c r="U84" s="513">
        <v>0</v>
      </c>
      <c r="V84" s="514">
        <v>0</v>
      </c>
      <c r="W84" s="565">
        <f t="shared" si="3"/>
        <v>8.0001999999999995</v>
      </c>
      <c r="X84" s="494">
        <f>IF(RANK(Y84,$Y$73:$Y$84)&lt;5,"edasi "&amp;RANK(Y84,$Y$73:$Y$84)+4,RANK(Y84,$Y$73:$Y$84)+4)</f>
        <v>16</v>
      </c>
      <c r="Y84" s="494">
        <f t="shared" si="5"/>
        <v>23.0105</v>
      </c>
      <c r="Z84" s="326" t="e">
        <f>IF(COUNTA(C84:V84)=0,0,W84+IF(RANK(W84,$W$117:$W$118)=1,100,0))</f>
        <v>#N/A</v>
      </c>
      <c r="AA84" s="324"/>
      <c r="AB84" s="324"/>
    </row>
    <row r="85" spans="1:29" hidden="1" x14ac:dyDescent="0.2">
      <c r="A85" s="366"/>
      <c r="B85" s="367" t="s">
        <v>445</v>
      </c>
      <c r="C85" s="319"/>
      <c r="D85" s="320"/>
      <c r="E85" s="320"/>
      <c r="F85" s="321"/>
      <c r="G85" s="319"/>
      <c r="H85" s="320"/>
      <c r="I85" s="320"/>
      <c r="J85" s="321"/>
      <c r="K85" s="319"/>
      <c r="L85" s="320"/>
      <c r="M85" s="320"/>
      <c r="N85" s="321"/>
      <c r="O85" s="319"/>
      <c r="P85" s="320"/>
      <c r="Q85" s="320"/>
      <c r="R85" s="321"/>
      <c r="S85" s="319"/>
      <c r="T85" s="320"/>
      <c r="U85" s="320"/>
      <c r="V85" s="321"/>
      <c r="W85" s="306"/>
      <c r="X85" s="306"/>
      <c r="Z85" s="323"/>
      <c r="AA85" s="324" t="s">
        <v>379</v>
      </c>
      <c r="AB85" s="324" t="s">
        <v>380</v>
      </c>
    </row>
    <row r="86" spans="1:29" hidden="1" x14ac:dyDescent="0.2">
      <c r="A86" s="393"/>
      <c r="B86" s="402"/>
      <c r="C86" s="395"/>
      <c r="D86" s="383"/>
      <c r="E86" s="396"/>
      <c r="F86" s="397"/>
      <c r="G86" s="395"/>
      <c r="H86" s="383"/>
      <c r="I86" s="396"/>
      <c r="J86" s="397"/>
      <c r="K86" s="395"/>
      <c r="L86" s="383"/>
      <c r="M86" s="396"/>
      <c r="N86" s="397"/>
      <c r="O86" s="395"/>
      <c r="P86" s="383"/>
      <c r="Q86" s="396"/>
      <c r="R86" s="397"/>
      <c r="S86" s="395"/>
      <c r="T86" s="383"/>
      <c r="U86" s="396"/>
      <c r="V86" s="397"/>
      <c r="W86" s="398" t="str">
        <f t="shared" ref="W86:W105" si="6">IF(COUNTA(C86:V86)=0,"",SUM(C86:V86)+COUNTIF(C86:V86,5)/100+COUNTIF(C86:V86,3)/10000)</f>
        <v/>
      </c>
      <c r="X86" s="398"/>
      <c r="AC86" s="346"/>
    </row>
    <row r="87" spans="1:29" hidden="1" x14ac:dyDescent="0.2">
      <c r="A87" s="393"/>
      <c r="B87" s="402"/>
      <c r="C87" s="395"/>
      <c r="D87" s="383"/>
      <c r="E87" s="396"/>
      <c r="F87" s="397"/>
      <c r="G87" s="395"/>
      <c r="H87" s="383"/>
      <c r="I87" s="396"/>
      <c r="J87" s="397"/>
      <c r="K87" s="395"/>
      <c r="L87" s="383"/>
      <c r="M87" s="396"/>
      <c r="N87" s="397"/>
      <c r="O87" s="395"/>
      <c r="P87" s="383"/>
      <c r="Q87" s="396"/>
      <c r="R87" s="397"/>
      <c r="S87" s="395"/>
      <c r="T87" s="383"/>
      <c r="U87" s="396"/>
      <c r="V87" s="397"/>
      <c r="W87" s="398" t="str">
        <f t="shared" si="6"/>
        <v/>
      </c>
      <c r="X87" s="398"/>
      <c r="AC87" s="346"/>
    </row>
    <row r="88" spans="1:29" hidden="1" x14ac:dyDescent="0.2">
      <c r="A88" s="393"/>
      <c r="B88" s="401"/>
      <c r="C88" s="395"/>
      <c r="D88" s="383"/>
      <c r="E88" s="396"/>
      <c r="F88" s="397"/>
      <c r="G88" s="395"/>
      <c r="H88" s="383"/>
      <c r="I88" s="396"/>
      <c r="J88" s="397"/>
      <c r="K88" s="395"/>
      <c r="L88" s="383"/>
      <c r="M88" s="396"/>
      <c r="N88" s="397"/>
      <c r="O88" s="395"/>
      <c r="P88" s="383"/>
      <c r="Q88" s="396"/>
      <c r="R88" s="397"/>
      <c r="S88" s="395"/>
      <c r="T88" s="383"/>
      <c r="U88" s="396"/>
      <c r="V88" s="397"/>
      <c r="W88" s="398" t="str">
        <f t="shared" si="6"/>
        <v/>
      </c>
      <c r="X88" s="398"/>
      <c r="AC88" s="346"/>
    </row>
    <row r="89" spans="1:29" hidden="1" x14ac:dyDescent="0.2">
      <c r="A89" s="393"/>
      <c r="B89" s="402"/>
      <c r="C89" s="395"/>
      <c r="D89" s="383"/>
      <c r="E89" s="396"/>
      <c r="F89" s="397"/>
      <c r="G89" s="395"/>
      <c r="H89" s="383"/>
      <c r="I89" s="396"/>
      <c r="J89" s="397"/>
      <c r="K89" s="395"/>
      <c r="L89" s="383"/>
      <c r="M89" s="396"/>
      <c r="N89" s="397"/>
      <c r="O89" s="395"/>
      <c r="P89" s="383"/>
      <c r="Q89" s="396"/>
      <c r="R89" s="397"/>
      <c r="S89" s="395"/>
      <c r="T89" s="383"/>
      <c r="U89" s="396"/>
      <c r="V89" s="397"/>
      <c r="W89" s="398" t="str">
        <f t="shared" si="6"/>
        <v/>
      </c>
      <c r="X89" s="398"/>
      <c r="AC89" s="346"/>
    </row>
    <row r="90" spans="1:29" hidden="1" x14ac:dyDescent="0.2">
      <c r="A90" s="308"/>
      <c r="B90" s="374"/>
      <c r="C90" s="310"/>
      <c r="D90" s="307"/>
      <c r="E90" s="311"/>
      <c r="F90" s="312"/>
      <c r="G90" s="310"/>
      <c r="H90" s="307"/>
      <c r="I90" s="311"/>
      <c r="J90" s="312"/>
      <c r="K90" s="310"/>
      <c r="L90" s="307"/>
      <c r="M90" s="311"/>
      <c r="N90" s="312"/>
      <c r="O90" s="310"/>
      <c r="P90" s="307"/>
      <c r="Q90" s="311"/>
      <c r="R90" s="312"/>
      <c r="S90" s="310"/>
      <c r="T90" s="307"/>
      <c r="U90" s="311"/>
      <c r="V90" s="312"/>
      <c r="W90" s="313" t="str">
        <f t="shared" si="6"/>
        <v/>
      </c>
      <c r="X90" s="313"/>
      <c r="AC90" s="346"/>
    </row>
    <row r="91" spans="1:29" hidden="1" x14ac:dyDescent="0.2">
      <c r="A91" s="308"/>
      <c r="B91" s="342"/>
      <c r="C91" s="310"/>
      <c r="D91" s="307"/>
      <c r="E91" s="311"/>
      <c r="F91" s="312"/>
      <c r="G91" s="310"/>
      <c r="H91" s="307"/>
      <c r="I91" s="311"/>
      <c r="J91" s="312"/>
      <c r="K91" s="310"/>
      <c r="L91" s="307"/>
      <c r="M91" s="311"/>
      <c r="N91" s="312"/>
      <c r="O91" s="310"/>
      <c r="P91" s="307"/>
      <c r="Q91" s="311"/>
      <c r="R91" s="312"/>
      <c r="S91" s="310"/>
      <c r="T91" s="307"/>
      <c r="U91" s="311"/>
      <c r="V91" s="312"/>
      <c r="W91" s="313" t="str">
        <f t="shared" si="6"/>
        <v/>
      </c>
      <c r="X91" s="313"/>
      <c r="AC91" s="346"/>
    </row>
    <row r="92" spans="1:29" hidden="1" x14ac:dyDescent="0.2">
      <c r="A92" s="382"/>
      <c r="B92" s="314"/>
      <c r="C92" s="310"/>
      <c r="D92" s="307"/>
      <c r="E92" s="311"/>
      <c r="F92" s="312"/>
      <c r="G92" s="310"/>
      <c r="H92" s="307"/>
      <c r="I92" s="311"/>
      <c r="J92" s="312"/>
      <c r="K92" s="310"/>
      <c r="L92" s="307"/>
      <c r="M92" s="311"/>
      <c r="N92" s="312"/>
      <c r="O92" s="310"/>
      <c r="P92" s="307"/>
      <c r="Q92" s="311"/>
      <c r="R92" s="312"/>
      <c r="S92" s="310"/>
      <c r="T92" s="307"/>
      <c r="U92" s="311"/>
      <c r="V92" s="312"/>
      <c r="W92" s="313" t="str">
        <f t="shared" si="6"/>
        <v/>
      </c>
      <c r="X92" s="313"/>
    </row>
    <row r="93" spans="1:29" hidden="1" x14ac:dyDescent="0.2">
      <c r="A93" s="382"/>
      <c r="B93" s="314"/>
      <c r="C93" s="310"/>
      <c r="D93" s="307"/>
      <c r="E93" s="311"/>
      <c r="F93" s="312"/>
      <c r="G93" s="310"/>
      <c r="H93" s="307"/>
      <c r="I93" s="311"/>
      <c r="J93" s="312"/>
      <c r="K93" s="310"/>
      <c r="L93" s="307"/>
      <c r="M93" s="311"/>
      <c r="N93" s="312"/>
      <c r="O93" s="310"/>
      <c r="P93" s="307"/>
      <c r="Q93" s="311"/>
      <c r="R93" s="312"/>
      <c r="S93" s="310"/>
      <c r="T93" s="307"/>
      <c r="U93" s="311"/>
      <c r="V93" s="312"/>
      <c r="W93" s="313" t="str">
        <f t="shared" si="6"/>
        <v/>
      </c>
      <c r="X93" s="313"/>
    </row>
    <row r="94" spans="1:29" hidden="1" x14ac:dyDescent="0.2">
      <c r="A94" s="393"/>
      <c r="B94" s="402"/>
      <c r="C94" s="395"/>
      <c r="D94" s="383"/>
      <c r="E94" s="396"/>
      <c r="F94" s="397"/>
      <c r="G94" s="395"/>
      <c r="H94" s="383"/>
      <c r="I94" s="396"/>
      <c r="J94" s="397"/>
      <c r="K94" s="395"/>
      <c r="L94" s="383"/>
      <c r="M94" s="396"/>
      <c r="N94" s="397"/>
      <c r="O94" s="395"/>
      <c r="P94" s="383"/>
      <c r="Q94" s="396"/>
      <c r="R94" s="397"/>
      <c r="S94" s="395"/>
      <c r="T94" s="383"/>
      <c r="U94" s="396"/>
      <c r="V94" s="397"/>
      <c r="W94" s="398" t="str">
        <f t="shared" si="6"/>
        <v/>
      </c>
      <c r="X94" s="398"/>
      <c r="AC94" s="346"/>
    </row>
    <row r="95" spans="1:29" hidden="1" x14ac:dyDescent="0.2">
      <c r="A95" s="393"/>
      <c r="B95" s="402"/>
      <c r="C95" s="395"/>
      <c r="D95" s="383"/>
      <c r="E95" s="396"/>
      <c r="F95" s="397"/>
      <c r="G95" s="395"/>
      <c r="H95" s="383"/>
      <c r="I95" s="396"/>
      <c r="J95" s="397"/>
      <c r="K95" s="395"/>
      <c r="L95" s="383"/>
      <c r="M95" s="396"/>
      <c r="N95" s="397"/>
      <c r="O95" s="395"/>
      <c r="P95" s="383"/>
      <c r="Q95" s="396"/>
      <c r="R95" s="397"/>
      <c r="S95" s="395"/>
      <c r="T95" s="383"/>
      <c r="U95" s="396"/>
      <c r="V95" s="397"/>
      <c r="W95" s="398" t="str">
        <f t="shared" si="6"/>
        <v/>
      </c>
      <c r="X95" s="398"/>
      <c r="AC95" s="346"/>
    </row>
    <row r="96" spans="1:29" hidden="1" x14ac:dyDescent="0.2">
      <c r="A96" s="393"/>
      <c r="B96" s="401"/>
      <c r="C96" s="395"/>
      <c r="D96" s="383"/>
      <c r="E96" s="396"/>
      <c r="F96" s="397"/>
      <c r="G96" s="395"/>
      <c r="H96" s="383"/>
      <c r="I96" s="396"/>
      <c r="J96" s="397"/>
      <c r="K96" s="395"/>
      <c r="L96" s="383"/>
      <c r="M96" s="396"/>
      <c r="N96" s="397"/>
      <c r="O96" s="395"/>
      <c r="P96" s="383"/>
      <c r="Q96" s="396"/>
      <c r="R96" s="397"/>
      <c r="S96" s="395"/>
      <c r="T96" s="383"/>
      <c r="U96" s="396"/>
      <c r="V96" s="397"/>
      <c r="W96" s="398" t="str">
        <f t="shared" si="6"/>
        <v/>
      </c>
      <c r="X96" s="398"/>
      <c r="AC96" s="346"/>
    </row>
    <row r="97" spans="1:29" hidden="1" x14ac:dyDescent="0.2">
      <c r="A97" s="393"/>
      <c r="B97" s="402"/>
      <c r="C97" s="395"/>
      <c r="D97" s="383"/>
      <c r="E97" s="396"/>
      <c r="F97" s="397"/>
      <c r="G97" s="395"/>
      <c r="H97" s="383"/>
      <c r="I97" s="396"/>
      <c r="J97" s="397"/>
      <c r="K97" s="395"/>
      <c r="L97" s="383"/>
      <c r="M97" s="396"/>
      <c r="N97" s="397"/>
      <c r="O97" s="395"/>
      <c r="P97" s="383"/>
      <c r="Q97" s="396"/>
      <c r="R97" s="397"/>
      <c r="S97" s="395"/>
      <c r="T97" s="383"/>
      <c r="U97" s="396"/>
      <c r="V97" s="397"/>
      <c r="W97" s="398" t="str">
        <f t="shared" si="6"/>
        <v/>
      </c>
      <c r="X97" s="398"/>
      <c r="AC97" s="346"/>
    </row>
    <row r="98" spans="1:29" hidden="1" x14ac:dyDescent="0.2">
      <c r="A98" s="308"/>
      <c r="B98" s="374"/>
      <c r="C98" s="310"/>
      <c r="D98" s="307"/>
      <c r="E98" s="311"/>
      <c r="F98" s="312"/>
      <c r="G98" s="310"/>
      <c r="H98" s="307"/>
      <c r="I98" s="311"/>
      <c r="J98" s="312"/>
      <c r="K98" s="310"/>
      <c r="L98" s="307"/>
      <c r="M98" s="311"/>
      <c r="N98" s="312"/>
      <c r="O98" s="310"/>
      <c r="P98" s="307"/>
      <c r="Q98" s="311"/>
      <c r="R98" s="312"/>
      <c r="S98" s="310"/>
      <c r="T98" s="307"/>
      <c r="U98" s="311"/>
      <c r="V98" s="312"/>
      <c r="W98" s="313" t="str">
        <f t="shared" si="6"/>
        <v/>
      </c>
      <c r="X98" s="313"/>
      <c r="AC98" s="346"/>
    </row>
    <row r="99" spans="1:29" hidden="1" x14ac:dyDescent="0.2">
      <c r="A99" s="308"/>
      <c r="B99" s="342"/>
      <c r="C99" s="310"/>
      <c r="D99" s="307"/>
      <c r="E99" s="311"/>
      <c r="F99" s="312"/>
      <c r="G99" s="310"/>
      <c r="H99" s="307"/>
      <c r="I99" s="311"/>
      <c r="J99" s="312"/>
      <c r="K99" s="310"/>
      <c r="L99" s="307"/>
      <c r="M99" s="311"/>
      <c r="N99" s="312"/>
      <c r="O99" s="310"/>
      <c r="P99" s="307"/>
      <c r="Q99" s="311"/>
      <c r="R99" s="312"/>
      <c r="S99" s="310"/>
      <c r="T99" s="307"/>
      <c r="U99" s="311"/>
      <c r="V99" s="312"/>
      <c r="W99" s="313" t="str">
        <f t="shared" si="6"/>
        <v/>
      </c>
      <c r="X99" s="313"/>
      <c r="AC99" s="346"/>
    </row>
    <row r="100" spans="1:29" hidden="1" x14ac:dyDescent="0.2">
      <c r="A100" s="382"/>
      <c r="B100" s="314"/>
      <c r="C100" s="310"/>
      <c r="D100" s="307"/>
      <c r="E100" s="311"/>
      <c r="F100" s="312"/>
      <c r="G100" s="310"/>
      <c r="H100" s="307"/>
      <c r="I100" s="311"/>
      <c r="J100" s="312"/>
      <c r="K100" s="310"/>
      <c r="L100" s="307"/>
      <c r="M100" s="311"/>
      <c r="N100" s="312"/>
      <c r="O100" s="310"/>
      <c r="P100" s="307"/>
      <c r="Q100" s="311"/>
      <c r="R100" s="312"/>
      <c r="S100" s="310"/>
      <c r="T100" s="307"/>
      <c r="U100" s="311"/>
      <c r="V100" s="312"/>
      <c r="W100" s="313" t="str">
        <f t="shared" si="6"/>
        <v/>
      </c>
      <c r="X100" s="313"/>
    </row>
    <row r="101" spans="1:29" hidden="1" x14ac:dyDescent="0.2">
      <c r="A101" s="382"/>
      <c r="B101" s="314"/>
      <c r="C101" s="310"/>
      <c r="D101" s="307"/>
      <c r="E101" s="311"/>
      <c r="F101" s="312"/>
      <c r="G101" s="310"/>
      <c r="H101" s="307"/>
      <c r="I101" s="311"/>
      <c r="J101" s="312"/>
      <c r="K101" s="310"/>
      <c r="L101" s="307"/>
      <c r="M101" s="311"/>
      <c r="N101" s="312"/>
      <c r="O101" s="310"/>
      <c r="P101" s="307"/>
      <c r="Q101" s="311"/>
      <c r="R101" s="312"/>
      <c r="S101" s="310"/>
      <c r="T101" s="307"/>
      <c r="U101" s="311"/>
      <c r="V101" s="312"/>
      <c r="W101" s="313" t="str">
        <f t="shared" si="6"/>
        <v/>
      </c>
      <c r="X101" s="313"/>
    </row>
    <row r="102" spans="1:29" hidden="1" x14ac:dyDescent="0.2">
      <c r="A102" s="393"/>
      <c r="B102" s="401"/>
      <c r="C102" s="395"/>
      <c r="D102" s="383"/>
      <c r="E102" s="396"/>
      <c r="F102" s="397"/>
      <c r="G102" s="395"/>
      <c r="H102" s="383"/>
      <c r="I102" s="396"/>
      <c r="J102" s="397"/>
      <c r="K102" s="395"/>
      <c r="L102" s="383"/>
      <c r="M102" s="396"/>
      <c r="N102" s="397"/>
      <c r="O102" s="395"/>
      <c r="P102" s="383"/>
      <c r="Q102" s="396"/>
      <c r="R102" s="397"/>
      <c r="S102" s="395"/>
      <c r="T102" s="383"/>
      <c r="U102" s="396"/>
      <c r="V102" s="397"/>
      <c r="W102" s="398" t="str">
        <f t="shared" si="6"/>
        <v/>
      </c>
      <c r="X102" s="398"/>
    </row>
    <row r="103" spans="1:29" hidden="1" x14ac:dyDescent="0.2">
      <c r="A103" s="393"/>
      <c r="B103" s="401"/>
      <c r="C103" s="395"/>
      <c r="D103" s="383"/>
      <c r="E103" s="396"/>
      <c r="F103" s="397"/>
      <c r="G103" s="395"/>
      <c r="H103" s="383"/>
      <c r="I103" s="396"/>
      <c r="J103" s="397"/>
      <c r="K103" s="395"/>
      <c r="L103" s="383"/>
      <c r="M103" s="396"/>
      <c r="N103" s="397"/>
      <c r="O103" s="395"/>
      <c r="P103" s="383"/>
      <c r="Q103" s="396"/>
      <c r="R103" s="397"/>
      <c r="S103" s="395"/>
      <c r="T103" s="383"/>
      <c r="U103" s="396"/>
      <c r="V103" s="397"/>
      <c r="W103" s="398" t="str">
        <f t="shared" si="6"/>
        <v/>
      </c>
      <c r="X103" s="398"/>
    </row>
    <row r="104" spans="1:29" hidden="1" x14ac:dyDescent="0.2">
      <c r="A104" s="393"/>
      <c r="B104" s="402"/>
      <c r="C104" s="395"/>
      <c r="D104" s="383"/>
      <c r="E104" s="396"/>
      <c r="F104" s="397"/>
      <c r="G104" s="395"/>
      <c r="H104" s="383"/>
      <c r="I104" s="396"/>
      <c r="J104" s="397"/>
      <c r="K104" s="395"/>
      <c r="L104" s="383"/>
      <c r="M104" s="396"/>
      <c r="N104" s="397"/>
      <c r="O104" s="395"/>
      <c r="P104" s="383"/>
      <c r="Q104" s="396"/>
      <c r="R104" s="397"/>
      <c r="S104" s="395"/>
      <c r="T104" s="383"/>
      <c r="U104" s="396"/>
      <c r="V104" s="397"/>
      <c r="W104" s="398" t="str">
        <f t="shared" si="6"/>
        <v/>
      </c>
      <c r="X104" s="398"/>
    </row>
    <row r="105" spans="1:29" hidden="1" x14ac:dyDescent="0.2">
      <c r="A105" s="393"/>
      <c r="B105" s="408"/>
      <c r="C105" s="395"/>
      <c r="D105" s="383"/>
      <c r="E105" s="396"/>
      <c r="F105" s="397"/>
      <c r="G105" s="395"/>
      <c r="H105" s="383"/>
      <c r="I105" s="396"/>
      <c r="J105" s="397"/>
      <c r="K105" s="395"/>
      <c r="L105" s="383"/>
      <c r="M105" s="396"/>
      <c r="N105" s="397"/>
      <c r="O105" s="395"/>
      <c r="P105" s="383"/>
      <c r="Q105" s="396"/>
      <c r="R105" s="397"/>
      <c r="S105" s="395"/>
      <c r="T105" s="383"/>
      <c r="U105" s="396"/>
      <c r="V105" s="397"/>
      <c r="W105" s="398" t="str">
        <f t="shared" si="6"/>
        <v/>
      </c>
      <c r="X105" s="398"/>
    </row>
    <row r="106" spans="1:29" hidden="1" x14ac:dyDescent="0.2">
      <c r="A106" s="308"/>
      <c r="B106" s="374"/>
      <c r="C106" s="310"/>
      <c r="D106" s="307"/>
      <c r="E106" s="311"/>
      <c r="F106" s="312"/>
      <c r="G106" s="310"/>
      <c r="H106" s="307"/>
      <c r="I106" s="311"/>
      <c r="J106" s="312"/>
      <c r="K106" s="310"/>
      <c r="L106" s="307"/>
      <c r="M106" s="311"/>
      <c r="N106" s="312"/>
      <c r="O106" s="310"/>
      <c r="P106" s="307"/>
      <c r="Q106" s="311"/>
      <c r="R106" s="312"/>
      <c r="S106" s="310"/>
      <c r="T106" s="307"/>
      <c r="U106" s="311"/>
      <c r="V106" s="312"/>
      <c r="W106" s="313" t="str">
        <f t="shared" ref="W106:W109" si="7">IF(COUNTA(C106:V106)=0,"",SUM(C106:V106)+COUNTIF(C106:V106,5)/100+COUNTIF(C106:V106,3)/10000)</f>
        <v/>
      </c>
      <c r="X106" s="313"/>
      <c r="AC106" s="346"/>
    </row>
    <row r="107" spans="1:29" hidden="1" x14ac:dyDescent="0.2">
      <c r="A107" s="308"/>
      <c r="B107" s="342"/>
      <c r="C107" s="310"/>
      <c r="D107" s="307"/>
      <c r="E107" s="311"/>
      <c r="F107" s="312"/>
      <c r="G107" s="310"/>
      <c r="H107" s="307"/>
      <c r="I107" s="311"/>
      <c r="J107" s="312"/>
      <c r="K107" s="310"/>
      <c r="L107" s="307"/>
      <c r="M107" s="311"/>
      <c r="N107" s="312"/>
      <c r="O107" s="310"/>
      <c r="P107" s="307"/>
      <c r="Q107" s="311"/>
      <c r="R107" s="312"/>
      <c r="S107" s="310"/>
      <c r="T107" s="307"/>
      <c r="U107" s="311"/>
      <c r="V107" s="312"/>
      <c r="W107" s="313" t="str">
        <f t="shared" si="7"/>
        <v/>
      </c>
      <c r="X107" s="313"/>
      <c r="AC107" s="346"/>
    </row>
    <row r="108" spans="1:29" hidden="1" x14ac:dyDescent="0.2">
      <c r="A108" s="382"/>
      <c r="B108" s="314"/>
      <c r="C108" s="310"/>
      <c r="D108" s="307"/>
      <c r="E108" s="311"/>
      <c r="F108" s="312"/>
      <c r="G108" s="310"/>
      <c r="H108" s="307"/>
      <c r="I108" s="311"/>
      <c r="J108" s="312"/>
      <c r="K108" s="310"/>
      <c r="L108" s="307"/>
      <c r="M108" s="311"/>
      <c r="N108" s="312"/>
      <c r="O108" s="310"/>
      <c r="P108" s="307"/>
      <c r="Q108" s="311"/>
      <c r="R108" s="312"/>
      <c r="S108" s="310"/>
      <c r="T108" s="307"/>
      <c r="U108" s="311"/>
      <c r="V108" s="312"/>
      <c r="W108" s="313" t="str">
        <f t="shared" si="7"/>
        <v/>
      </c>
      <c r="X108" s="313"/>
    </row>
    <row r="109" spans="1:29" ht="13.5" hidden="1" thickBot="1" x14ac:dyDescent="0.25">
      <c r="A109" s="384"/>
      <c r="B109" s="385"/>
      <c r="C109" s="386"/>
      <c r="D109" s="317"/>
      <c r="E109" s="387"/>
      <c r="F109" s="388"/>
      <c r="G109" s="386"/>
      <c r="H109" s="317"/>
      <c r="I109" s="387"/>
      <c r="J109" s="388"/>
      <c r="K109" s="386"/>
      <c r="L109" s="317"/>
      <c r="M109" s="387"/>
      <c r="N109" s="388"/>
      <c r="O109" s="386"/>
      <c r="P109" s="317"/>
      <c r="Q109" s="387"/>
      <c r="R109" s="388"/>
      <c r="S109" s="386"/>
      <c r="T109" s="317"/>
      <c r="U109" s="387"/>
      <c r="V109" s="388"/>
      <c r="W109" s="336" t="str">
        <f t="shared" si="7"/>
        <v/>
      </c>
      <c r="X109" s="336"/>
    </row>
    <row r="110" spans="1:29" x14ac:dyDescent="0.2">
      <c r="A110" s="366"/>
      <c r="B110" s="302" t="s">
        <v>378</v>
      </c>
      <c r="C110" s="303"/>
      <c r="D110" s="304"/>
      <c r="E110" s="304"/>
      <c r="F110" s="305"/>
      <c r="G110" s="303"/>
      <c r="H110" s="304"/>
      <c r="I110" s="304"/>
      <c r="J110" s="305"/>
      <c r="K110" s="303"/>
      <c r="L110" s="304"/>
      <c r="M110" s="304"/>
      <c r="N110" s="305"/>
      <c r="O110" s="303"/>
      <c r="P110" s="304"/>
      <c r="Q110" s="304"/>
      <c r="R110" s="305"/>
      <c r="S110" s="303"/>
      <c r="T110" s="304"/>
      <c r="U110" s="304"/>
      <c r="V110" s="305"/>
      <c r="W110" s="368" t="str">
        <f t="shared" ref="W110:W132" si="8">IF(COUNTA(C110:V110)=0,"",SUM(C110:V110)+COUNTIF(C110:V110,5)/100+COUNTIF(C110:V110,3)/10000)</f>
        <v/>
      </c>
      <c r="X110" s="306"/>
      <c r="Y110" s="439"/>
      <c r="Z110" s="323"/>
      <c r="AA110" s="324" t="s">
        <v>379</v>
      </c>
      <c r="AB110" s="324" t="s">
        <v>380</v>
      </c>
    </row>
    <row r="111" spans="1:29" ht="13.5" thickBot="1" x14ac:dyDescent="0.25">
      <c r="A111" s="408">
        <v>4</v>
      </c>
      <c r="B111" s="409" t="s">
        <v>261</v>
      </c>
      <c r="C111" s="410">
        <v>3</v>
      </c>
      <c r="D111" s="411">
        <v>0</v>
      </c>
      <c r="E111" s="411">
        <v>0</v>
      </c>
      <c r="F111" s="412">
        <v>0</v>
      </c>
      <c r="G111" s="410">
        <v>3</v>
      </c>
      <c r="H111" s="411">
        <v>0</v>
      </c>
      <c r="I111" s="411">
        <v>3</v>
      </c>
      <c r="J111" s="412">
        <v>0</v>
      </c>
      <c r="K111" s="410">
        <v>1</v>
      </c>
      <c r="L111" s="411">
        <v>1</v>
      </c>
      <c r="M111" s="411">
        <v>0</v>
      </c>
      <c r="N111" s="412">
        <v>0</v>
      </c>
      <c r="O111" s="410">
        <v>0</v>
      </c>
      <c r="P111" s="411">
        <v>0</v>
      </c>
      <c r="Q111" s="411">
        <v>0</v>
      </c>
      <c r="R111" s="412">
        <v>0</v>
      </c>
      <c r="S111" s="410">
        <v>0</v>
      </c>
      <c r="T111" s="411">
        <v>0</v>
      </c>
      <c r="U111" s="411">
        <v>0</v>
      </c>
      <c r="V111" s="412">
        <v>0</v>
      </c>
      <c r="W111" s="557">
        <f t="shared" si="8"/>
        <v>11.000299999999999</v>
      </c>
      <c r="X111" s="414">
        <f>IF(ISBLANK(C111),"",IF(W111=W112,"edasi "&amp;RANK(W111,$AB$111:$AB$118),(IF(RANK(Z111,$Z$111:$Z$112)&lt;2,"edasi "&amp;RANK(W111,$AB$111:$AB$118),RANK(W111,$AA$111:$AA$118)+4))))</f>
        <v>7</v>
      </c>
      <c r="Z111" s="325">
        <f>IF(COUNTA(C111:V111)=0,100,W111+IF(RANK(W111,$W$111:$W$112)=1,100,0))</f>
        <v>11.000299999999999</v>
      </c>
      <c r="AA111" s="324">
        <f>MIN(W111:W112)</f>
        <v>11.000299999999999</v>
      </c>
      <c r="AB111" s="324">
        <f>MAX(W111:W112)</f>
        <v>26.0106</v>
      </c>
    </row>
    <row r="112" spans="1:29" ht="14.25" thickTop="1" thickBot="1" x14ac:dyDescent="0.25">
      <c r="A112" s="408">
        <v>5</v>
      </c>
      <c r="B112" s="438" t="s">
        <v>59</v>
      </c>
      <c r="C112" s="410">
        <v>3</v>
      </c>
      <c r="D112" s="411">
        <v>3</v>
      </c>
      <c r="E112" s="411">
        <v>0</v>
      </c>
      <c r="F112" s="412">
        <v>0</v>
      </c>
      <c r="G112" s="410">
        <v>3</v>
      </c>
      <c r="H112" s="411">
        <v>0</v>
      </c>
      <c r="I112" s="411">
        <v>3</v>
      </c>
      <c r="J112" s="412">
        <v>3</v>
      </c>
      <c r="K112" s="410">
        <v>1</v>
      </c>
      <c r="L112" s="411">
        <v>1</v>
      </c>
      <c r="M112" s="411">
        <v>0</v>
      </c>
      <c r="N112" s="412">
        <v>3</v>
      </c>
      <c r="O112" s="410">
        <v>0</v>
      </c>
      <c r="P112" s="411">
        <v>0</v>
      </c>
      <c r="Q112" s="411">
        <v>0</v>
      </c>
      <c r="R112" s="412">
        <v>1</v>
      </c>
      <c r="S112" s="521">
        <v>5</v>
      </c>
      <c r="T112" s="411">
        <v>0</v>
      </c>
      <c r="U112" s="411">
        <v>0</v>
      </c>
      <c r="V112" s="412">
        <v>0</v>
      </c>
      <c r="W112" s="557">
        <f t="shared" si="8"/>
        <v>26.0106</v>
      </c>
      <c r="X112" s="414" t="str">
        <f>IF(ISBLANK(C112),"",IF(RANK(Z112,$Z$111:$Z$112)&lt;2,"edasi "&amp;RANK(W112,$AB$111:$AB$118),RANK(W112,$AA$111:$AA$118)+4))</f>
        <v>edasi 3</v>
      </c>
      <c r="Z112" s="326">
        <f>IF(COUNTA(C112:V112)=0,0,W112+IF(RANK(W112,$W$111:$W$112)=1,100,0))</f>
        <v>126.0106</v>
      </c>
      <c r="AA112" s="324"/>
      <c r="AB112" s="324"/>
    </row>
    <row r="113" spans="1:29" ht="14.25" thickTop="1" thickBot="1" x14ac:dyDescent="0.25">
      <c r="A113" s="318">
        <v>3</v>
      </c>
      <c r="B113" s="327" t="s">
        <v>270</v>
      </c>
      <c r="C113" s="319">
        <v>3</v>
      </c>
      <c r="D113" s="522">
        <v>5</v>
      </c>
      <c r="E113" s="320">
        <v>0</v>
      </c>
      <c r="F113" s="321">
        <v>0</v>
      </c>
      <c r="G113" s="319">
        <v>0</v>
      </c>
      <c r="H113" s="320">
        <v>0</v>
      </c>
      <c r="I113" s="320">
        <v>3</v>
      </c>
      <c r="J113" s="321">
        <v>0</v>
      </c>
      <c r="K113" s="319">
        <v>1</v>
      </c>
      <c r="L113" s="320">
        <v>1</v>
      </c>
      <c r="M113" s="320">
        <v>0</v>
      </c>
      <c r="N113" s="321">
        <v>0</v>
      </c>
      <c r="O113" s="319">
        <v>3</v>
      </c>
      <c r="P113" s="320">
        <v>3</v>
      </c>
      <c r="Q113" s="320">
        <v>3</v>
      </c>
      <c r="R113" s="321">
        <v>3</v>
      </c>
      <c r="S113" s="319">
        <v>0</v>
      </c>
      <c r="T113" s="522">
        <v>5</v>
      </c>
      <c r="U113" s="320">
        <v>0</v>
      </c>
      <c r="V113" s="321">
        <v>0</v>
      </c>
      <c r="W113" s="557">
        <f t="shared" si="8"/>
        <v>30.020599999999998</v>
      </c>
      <c r="X113" s="322" t="str">
        <f>IF(ISBLANK(C113),"",IF(RANK(Z113,$Z$113:$Z$114)&lt;2,"edasi "&amp;RANK(W113,$AB$111:$AB$118),RANK(W113,$AA$111:$AA$118)+4))</f>
        <v>edasi 2</v>
      </c>
      <c r="Z113" s="325">
        <f>IF(COUNTA(C113:V113)=0,100,W113+IF(RANK(W113,$W$113:$W$114)=1,100,0))</f>
        <v>130.0206</v>
      </c>
      <c r="AA113" s="324">
        <f>MIN(W113:W114)</f>
        <v>5.0000999999999998</v>
      </c>
      <c r="AB113" s="324">
        <f>MAX(W113:W114)</f>
        <v>30.020599999999998</v>
      </c>
    </row>
    <row r="114" spans="1:29" ht="14.25" thickTop="1" thickBot="1" x14ac:dyDescent="0.25">
      <c r="A114" s="318">
        <v>6</v>
      </c>
      <c r="B114" s="328" t="s">
        <v>435</v>
      </c>
      <c r="C114" s="319">
        <v>0</v>
      </c>
      <c r="D114" s="320">
        <v>0</v>
      </c>
      <c r="E114" s="320">
        <v>0</v>
      </c>
      <c r="F114" s="321">
        <v>0</v>
      </c>
      <c r="G114" s="319">
        <v>0</v>
      </c>
      <c r="H114" s="320">
        <v>3</v>
      </c>
      <c r="I114" s="320">
        <v>0</v>
      </c>
      <c r="J114" s="321">
        <v>1</v>
      </c>
      <c r="K114" s="319">
        <v>1</v>
      </c>
      <c r="L114" s="320">
        <v>0</v>
      </c>
      <c r="M114" s="320">
        <v>0</v>
      </c>
      <c r="N114" s="321">
        <v>0</v>
      </c>
      <c r="O114" s="319">
        <v>0</v>
      </c>
      <c r="P114" s="320">
        <v>0</v>
      </c>
      <c r="Q114" s="320">
        <v>0</v>
      </c>
      <c r="R114" s="321">
        <v>0</v>
      </c>
      <c r="S114" s="319">
        <v>0</v>
      </c>
      <c r="T114" s="320">
        <v>0</v>
      </c>
      <c r="U114" s="320">
        <v>0</v>
      </c>
      <c r="V114" s="321">
        <v>0</v>
      </c>
      <c r="W114" s="557">
        <f t="shared" si="8"/>
        <v>5.0000999999999998</v>
      </c>
      <c r="X114" s="322">
        <f>IF(ISBLANK(C114),"",IF(RANK(Z114,$Z$113:$Z$114)&lt;2,"edasi "&amp;RANK(W114,$AB$111:$AB$118),RANK(W114,$AA$111:$AA$118)+4))</f>
        <v>8</v>
      </c>
      <c r="Z114" s="326">
        <f>IF(COUNTA(C114:V114)=0,0,W114+IF(RANK(W114,$W$113:$W$114)=1,100,0))</f>
        <v>5.0000999999999998</v>
      </c>
      <c r="AA114" s="324"/>
      <c r="AB114" s="324"/>
    </row>
    <row r="115" spans="1:29" ht="14.25" thickTop="1" thickBot="1" x14ac:dyDescent="0.25">
      <c r="A115" s="408">
        <v>2</v>
      </c>
      <c r="B115" s="421" t="s">
        <v>35</v>
      </c>
      <c r="C115" s="410">
        <v>0</v>
      </c>
      <c r="D115" s="411">
        <v>3</v>
      </c>
      <c r="E115" s="411">
        <v>0</v>
      </c>
      <c r="F115" s="412">
        <v>3</v>
      </c>
      <c r="G115" s="410">
        <v>0</v>
      </c>
      <c r="H115" s="411">
        <v>0</v>
      </c>
      <c r="I115" s="411">
        <v>3</v>
      </c>
      <c r="J115" s="412">
        <v>0</v>
      </c>
      <c r="K115" s="410">
        <v>1</v>
      </c>
      <c r="L115" s="411">
        <v>1</v>
      </c>
      <c r="M115" s="411">
        <v>0</v>
      </c>
      <c r="N115" s="412">
        <v>0</v>
      </c>
      <c r="O115" s="410">
        <v>0</v>
      </c>
      <c r="P115" s="411">
        <v>0</v>
      </c>
      <c r="Q115" s="411">
        <v>0</v>
      </c>
      <c r="R115" s="412">
        <v>0</v>
      </c>
      <c r="S115" s="521">
        <v>5</v>
      </c>
      <c r="T115" s="411">
        <v>0</v>
      </c>
      <c r="U115" s="521">
        <v>5</v>
      </c>
      <c r="V115" s="412">
        <v>0</v>
      </c>
      <c r="W115" s="557">
        <f t="shared" si="8"/>
        <v>21.020299999999999</v>
      </c>
      <c r="X115" s="414" t="str">
        <f>IF(ISBLANK(C115),"",IF(RANK(Z115,$Z$115:$Z$116)&lt;2,"edasi "&amp;RANK(W115,$AB$111:$AB$118),RANK(W115,$AA$111:$AA$118)+4))</f>
        <v>edasi 4</v>
      </c>
      <c r="Z115" s="325">
        <f>IF(COUNTA(C115:V115)=0,100,W115+IF(RANK(W115,$W$115:$W$116)=1,100,0))</f>
        <v>121.02029999999999</v>
      </c>
      <c r="AA115" s="324">
        <f>MIN(W115:W116)</f>
        <v>21.0105</v>
      </c>
      <c r="AB115" s="324">
        <f>MAX(W115:W116)</f>
        <v>21.020299999999999</v>
      </c>
    </row>
    <row r="116" spans="1:29" ht="14.25" thickTop="1" thickBot="1" x14ac:dyDescent="0.25">
      <c r="A116" s="408">
        <v>7</v>
      </c>
      <c r="B116" s="400" t="s">
        <v>55</v>
      </c>
      <c r="C116" s="410">
        <v>0</v>
      </c>
      <c r="D116" s="411">
        <v>3</v>
      </c>
      <c r="E116" s="411">
        <v>3</v>
      </c>
      <c r="F116" s="412">
        <v>3</v>
      </c>
      <c r="G116" s="410">
        <v>3</v>
      </c>
      <c r="H116" s="411">
        <v>0</v>
      </c>
      <c r="I116" s="411">
        <v>0</v>
      </c>
      <c r="J116" s="412">
        <v>0</v>
      </c>
      <c r="K116" s="410">
        <v>3</v>
      </c>
      <c r="L116" s="411">
        <v>0</v>
      </c>
      <c r="M116" s="411">
        <v>0</v>
      </c>
      <c r="N116" s="412">
        <v>0</v>
      </c>
      <c r="O116" s="410">
        <v>0</v>
      </c>
      <c r="P116" s="411">
        <v>1</v>
      </c>
      <c r="Q116" s="411">
        <v>0</v>
      </c>
      <c r="R116" s="412">
        <v>0</v>
      </c>
      <c r="S116" s="410">
        <v>0</v>
      </c>
      <c r="T116" s="411">
        <v>0</v>
      </c>
      <c r="U116" s="521">
        <v>5</v>
      </c>
      <c r="V116" s="412">
        <v>0</v>
      </c>
      <c r="W116" s="557">
        <f t="shared" si="8"/>
        <v>21.0105</v>
      </c>
      <c r="X116" s="414">
        <f>IF(ISBLANK(C116),"",IF(RANK(Z116,$Z$115:$Z$116)&lt;2,"edasi "&amp;RANK(W116,$AB$111:$AB$118),RANK(W116,$AA$111:$AA$118)+4))</f>
        <v>5</v>
      </c>
      <c r="Z116" s="326">
        <f>IF(COUNTA(C116:V116)=0,0,W116+IF(RANK(W116,$W$115:$W$116)=1,100,0))</f>
        <v>21.0105</v>
      </c>
      <c r="AA116" s="324"/>
      <c r="AB116" s="324"/>
    </row>
    <row r="117" spans="1:29" ht="14.25" thickTop="1" thickBot="1" x14ac:dyDescent="0.25">
      <c r="A117" s="318">
        <v>1</v>
      </c>
      <c r="B117" s="436" t="s">
        <v>439</v>
      </c>
      <c r="C117" s="522">
        <v>5</v>
      </c>
      <c r="D117" s="320">
        <v>1</v>
      </c>
      <c r="E117" s="320">
        <v>0</v>
      </c>
      <c r="F117" s="321">
        <v>3</v>
      </c>
      <c r="G117" s="319">
        <v>3</v>
      </c>
      <c r="H117" s="320">
        <v>0</v>
      </c>
      <c r="I117" s="320">
        <v>1</v>
      </c>
      <c r="J117" s="321">
        <v>3</v>
      </c>
      <c r="K117" s="522">
        <v>5</v>
      </c>
      <c r="L117" s="320">
        <v>3</v>
      </c>
      <c r="M117" s="320">
        <v>0</v>
      </c>
      <c r="N117" s="321">
        <v>1</v>
      </c>
      <c r="O117" s="319">
        <v>0</v>
      </c>
      <c r="P117" s="320">
        <v>3</v>
      </c>
      <c r="Q117" s="320">
        <v>0</v>
      </c>
      <c r="R117" s="321">
        <v>0</v>
      </c>
      <c r="S117" s="319">
        <v>0</v>
      </c>
      <c r="T117" s="522">
        <v>5</v>
      </c>
      <c r="U117" s="320">
        <v>0</v>
      </c>
      <c r="V117" s="522">
        <v>5</v>
      </c>
      <c r="W117" s="557">
        <f t="shared" si="8"/>
        <v>38.040500000000002</v>
      </c>
      <c r="X117" s="322" t="str">
        <f>IF(ISBLANK(C117),"",IF(RANK(Z117,$Z$117:$Z$118)&lt;2,"edasi "&amp;RANK(W117,$AB$111:$AB$118),RANK(W117,$AA$111:$AA$118)+4))</f>
        <v>edasi 1</v>
      </c>
      <c r="Z117" s="325">
        <f>IF(COUNTA(C117:V117)=0,100,W117+IF(RANK(W117,$W$117:$W$118)=1,100,0))</f>
        <v>138.04050000000001</v>
      </c>
      <c r="AA117" s="324">
        <f>MIN(W117:W118)</f>
        <v>17.020199999999999</v>
      </c>
      <c r="AB117" s="324">
        <f>MAX(W117:W118)</f>
        <v>38.040500000000002</v>
      </c>
    </row>
    <row r="118" spans="1:29" ht="14.25" thickTop="1" thickBot="1" x14ac:dyDescent="0.25">
      <c r="A118" s="331">
        <v>8</v>
      </c>
      <c r="B118" s="426" t="s">
        <v>25</v>
      </c>
      <c r="C118" s="522">
        <v>5</v>
      </c>
      <c r="D118" s="522">
        <v>5</v>
      </c>
      <c r="E118" s="334">
        <v>0</v>
      </c>
      <c r="F118" s="335">
        <v>0</v>
      </c>
      <c r="G118" s="333">
        <v>0</v>
      </c>
      <c r="H118" s="334">
        <v>3</v>
      </c>
      <c r="I118" s="334">
        <v>0</v>
      </c>
      <c r="J118" s="335">
        <v>0</v>
      </c>
      <c r="K118" s="333">
        <v>1</v>
      </c>
      <c r="L118" s="334">
        <v>0</v>
      </c>
      <c r="M118" s="334">
        <v>0</v>
      </c>
      <c r="N118" s="335">
        <v>0</v>
      </c>
      <c r="O118" s="333">
        <v>0</v>
      </c>
      <c r="P118" s="334">
        <v>0</v>
      </c>
      <c r="Q118" s="334">
        <v>3</v>
      </c>
      <c r="R118" s="335">
        <v>0</v>
      </c>
      <c r="S118" s="333">
        <v>0</v>
      </c>
      <c r="T118" s="334">
        <v>0</v>
      </c>
      <c r="U118" s="334">
        <v>0</v>
      </c>
      <c r="V118" s="335">
        <v>0</v>
      </c>
      <c r="W118" s="558">
        <f t="shared" si="8"/>
        <v>17.020199999999999</v>
      </c>
      <c r="X118" s="370">
        <f>IF(ISBLANK(C118),"",IF(RANK(Z118,$Z$117:$Z$118)&lt;2,"edasi "&amp;RANK(W118,$AB$111:$AB$118),RANK(W118,$AA$111:$AA$118)+4))</f>
        <v>6</v>
      </c>
      <c r="Z118" s="326">
        <f>IF(COUNTA(C118:V118)=0,0,W118+IF(RANK(W118,$W$117:$W$118)=1,100,0))</f>
        <v>17.020199999999999</v>
      </c>
      <c r="AA118" s="324"/>
      <c r="AB118" s="324"/>
    </row>
    <row r="119" spans="1:29" x14ac:dyDescent="0.2">
      <c r="A119" s="366"/>
      <c r="B119" s="367" t="s">
        <v>458</v>
      </c>
      <c r="C119" s="319"/>
      <c r="D119" s="320"/>
      <c r="E119" s="320"/>
      <c r="F119" s="321"/>
      <c r="G119" s="319"/>
      <c r="H119" s="320"/>
      <c r="I119" s="320"/>
      <c r="J119" s="321"/>
      <c r="K119" s="319"/>
      <c r="L119" s="320"/>
      <c r="M119" s="320"/>
      <c r="N119" s="321"/>
      <c r="O119" s="319"/>
      <c r="P119" s="320"/>
      <c r="Q119" s="320"/>
      <c r="R119" s="321"/>
      <c r="S119" s="319"/>
      <c r="T119" s="320"/>
      <c r="U119" s="320"/>
      <c r="V119" s="321"/>
      <c r="W119" s="306"/>
      <c r="X119" s="306"/>
      <c r="Z119" s="315"/>
      <c r="AA119" s="316"/>
      <c r="AB119" s="316"/>
    </row>
    <row r="120" spans="1:29" x14ac:dyDescent="0.2">
      <c r="A120" s="393"/>
      <c r="B120" s="432" t="s">
        <v>55</v>
      </c>
      <c r="C120" s="395"/>
      <c r="D120" s="383">
        <v>0</v>
      </c>
      <c r="E120" s="396"/>
      <c r="F120" s="397"/>
      <c r="G120" s="395"/>
      <c r="H120" s="383">
        <v>0</v>
      </c>
      <c r="I120" s="396"/>
      <c r="J120" s="397"/>
      <c r="K120" s="395"/>
      <c r="L120" s="383">
        <v>0</v>
      </c>
      <c r="M120" s="396"/>
      <c r="N120" s="397"/>
      <c r="O120" s="395"/>
      <c r="P120" s="434">
        <v>0</v>
      </c>
      <c r="Q120" s="396"/>
      <c r="R120" s="397"/>
      <c r="S120" s="395"/>
      <c r="T120" s="434" t="s">
        <v>102</v>
      </c>
      <c r="U120" s="396"/>
      <c r="V120" s="397"/>
      <c r="W120" s="557">
        <f t="shared" ref="W120:W121" si="9">IF(COUNTA(C120:V120)=0,"",SUM(C120:V120)+COUNTIF(C120:V120,5)/100+COUNTIF(C120:V120,3)/10000)</f>
        <v>0</v>
      </c>
      <c r="X120" s="398"/>
      <c r="Z120" s="315"/>
      <c r="AA120" s="316"/>
      <c r="AB120" s="316"/>
      <c r="AC120" s="435"/>
    </row>
    <row r="121" spans="1:29" ht="13.5" thickBot="1" x14ac:dyDescent="0.25">
      <c r="A121" s="393"/>
      <c r="B121" s="422" t="s">
        <v>35</v>
      </c>
      <c r="C121" s="395"/>
      <c r="D121" s="383">
        <v>3</v>
      </c>
      <c r="E121" s="396"/>
      <c r="F121" s="397"/>
      <c r="G121" s="395"/>
      <c r="H121" s="383">
        <v>3</v>
      </c>
      <c r="I121" s="396"/>
      <c r="J121" s="397"/>
      <c r="K121" s="395"/>
      <c r="L121" s="383">
        <v>0</v>
      </c>
      <c r="M121" s="396"/>
      <c r="N121" s="397"/>
      <c r="O121" s="395"/>
      <c r="P121" s="383" t="s">
        <v>102</v>
      </c>
      <c r="Q121" s="396"/>
      <c r="R121" s="397"/>
      <c r="S121" s="395"/>
      <c r="T121" s="434" t="s">
        <v>102</v>
      </c>
      <c r="U121" s="396"/>
      <c r="V121" s="397"/>
      <c r="W121" s="557">
        <f t="shared" si="9"/>
        <v>6.0002000000000004</v>
      </c>
      <c r="X121" s="398"/>
      <c r="Z121" s="315"/>
      <c r="AA121" s="316"/>
      <c r="AB121" s="316"/>
    </row>
    <row r="122" spans="1:29" ht="13.5" thickBot="1" x14ac:dyDescent="0.25">
      <c r="A122" s="366"/>
      <c r="B122" s="302" t="s">
        <v>381</v>
      </c>
      <c r="C122" s="303"/>
      <c r="D122" s="304"/>
      <c r="E122" s="304"/>
      <c r="F122" s="305"/>
      <c r="G122" s="303"/>
      <c r="H122" s="304"/>
      <c r="I122" s="304"/>
      <c r="J122" s="305"/>
      <c r="K122" s="303"/>
      <c r="L122" s="304"/>
      <c r="M122" s="304"/>
      <c r="N122" s="305"/>
      <c r="O122" s="303"/>
      <c r="P122" s="304"/>
      <c r="Q122" s="304"/>
      <c r="R122" s="305"/>
      <c r="S122" s="303"/>
      <c r="T122" s="304"/>
      <c r="U122" s="304"/>
      <c r="V122" s="305"/>
      <c r="W122" s="368" t="str">
        <f t="shared" si="8"/>
        <v/>
      </c>
      <c r="X122" s="306"/>
    </row>
    <row r="123" spans="1:29" ht="14.25" thickTop="1" thickBot="1" x14ac:dyDescent="0.25">
      <c r="A123" s="408">
        <v>1</v>
      </c>
      <c r="B123" s="400" t="s">
        <v>439</v>
      </c>
      <c r="C123" s="521">
        <v>5</v>
      </c>
      <c r="D123" s="521">
        <v>5</v>
      </c>
      <c r="E123" s="521">
        <v>5</v>
      </c>
      <c r="F123" s="412">
        <v>3</v>
      </c>
      <c r="G123" s="410">
        <v>3</v>
      </c>
      <c r="H123" s="411">
        <v>0</v>
      </c>
      <c r="I123" s="521">
        <v>5</v>
      </c>
      <c r="J123" s="412">
        <v>0</v>
      </c>
      <c r="K123" s="410">
        <v>1</v>
      </c>
      <c r="L123" s="411">
        <v>1</v>
      </c>
      <c r="M123" s="521">
        <v>5</v>
      </c>
      <c r="N123" s="412">
        <v>0</v>
      </c>
      <c r="O123" s="410">
        <v>1</v>
      </c>
      <c r="P123" s="411">
        <v>0</v>
      </c>
      <c r="Q123" s="411">
        <v>0</v>
      </c>
      <c r="R123" s="412">
        <v>0</v>
      </c>
      <c r="S123" s="521">
        <v>5</v>
      </c>
      <c r="T123" s="411">
        <v>0</v>
      </c>
      <c r="U123" s="411">
        <v>0</v>
      </c>
      <c r="V123" s="412">
        <v>0</v>
      </c>
      <c r="W123" s="557">
        <f t="shared" si="8"/>
        <v>39.060200000000002</v>
      </c>
      <c r="X123" s="414" t="str">
        <f>IF(COUNTA(C123:V123)=0,"",IF(W123=W124,"ümbervisk",IF(W123&gt;W124,"finaali "&amp;(IF(W123&lt;MAX(W125:W126),2,IF(W123=MAX(W125:W126),"",1))),"pronksi "&amp;(IF(W123&lt;MIN(W125:W126),2,IF(W123=MIN(W125:W126),"",1))))))</f>
        <v>finaali 1</v>
      </c>
    </row>
    <row r="124" spans="1:29" ht="14.25" thickTop="1" thickBot="1" x14ac:dyDescent="0.25">
      <c r="A124" s="408">
        <v>4</v>
      </c>
      <c r="B124" s="537" t="s">
        <v>35</v>
      </c>
      <c r="C124" s="410">
        <v>3</v>
      </c>
      <c r="D124" s="411">
        <v>3</v>
      </c>
      <c r="E124" s="411">
        <v>3</v>
      </c>
      <c r="F124" s="412">
        <v>3</v>
      </c>
      <c r="G124" s="410">
        <v>3</v>
      </c>
      <c r="H124" s="411">
        <v>0</v>
      </c>
      <c r="I124" s="411">
        <v>3</v>
      </c>
      <c r="J124" s="412">
        <v>0</v>
      </c>
      <c r="K124" s="410">
        <v>1</v>
      </c>
      <c r="L124" s="411">
        <v>1</v>
      </c>
      <c r="M124" s="411">
        <v>1</v>
      </c>
      <c r="N124" s="412">
        <v>0</v>
      </c>
      <c r="O124" s="410">
        <v>0</v>
      </c>
      <c r="P124" s="411">
        <v>3</v>
      </c>
      <c r="Q124" s="411">
        <v>1</v>
      </c>
      <c r="R124" s="412">
        <v>0</v>
      </c>
      <c r="S124" s="410">
        <v>0</v>
      </c>
      <c r="T124" s="411">
        <v>0</v>
      </c>
      <c r="U124" s="411">
        <v>0</v>
      </c>
      <c r="V124" s="412">
        <v>0</v>
      </c>
      <c r="W124" s="557">
        <f t="shared" si="8"/>
        <v>25.000699999999998</v>
      </c>
      <c r="X124" s="414" t="str">
        <f>IF(COUNTA(C124:V124)=0,"",IF(W123=W124,"ümbervisk",IF(W124&gt;W123,"finaali "&amp;(IF(W124&lt;MAX(W125:W126),2,IF(W124=MAX(W125:W126),"",1))),"pronksi "&amp;(IF(W124&lt;MIN(W125:W126),2,IF(W124=MIN(W125:W126),"",1))))))</f>
        <v>pronksi 2</v>
      </c>
    </row>
    <row r="125" spans="1:29" ht="14.25" thickTop="1" thickBot="1" x14ac:dyDescent="0.25">
      <c r="A125" s="318">
        <v>2</v>
      </c>
      <c r="B125" s="436" t="s">
        <v>270</v>
      </c>
      <c r="C125" s="319">
        <v>3</v>
      </c>
      <c r="D125" s="320">
        <v>3</v>
      </c>
      <c r="E125" s="320">
        <v>3</v>
      </c>
      <c r="F125" s="321">
        <v>3</v>
      </c>
      <c r="G125" s="319">
        <v>3</v>
      </c>
      <c r="H125" s="320">
        <v>3</v>
      </c>
      <c r="I125" s="320">
        <v>0</v>
      </c>
      <c r="J125" s="321">
        <v>3</v>
      </c>
      <c r="K125" s="319">
        <v>1</v>
      </c>
      <c r="L125" s="320">
        <v>1</v>
      </c>
      <c r="M125" s="320">
        <v>0</v>
      </c>
      <c r="N125" s="321">
        <v>0</v>
      </c>
      <c r="O125" s="319">
        <v>0</v>
      </c>
      <c r="P125" s="320">
        <v>0</v>
      </c>
      <c r="Q125" s="320">
        <v>3</v>
      </c>
      <c r="R125" s="321">
        <v>3</v>
      </c>
      <c r="S125" s="522">
        <v>5</v>
      </c>
      <c r="T125" s="522">
        <v>5</v>
      </c>
      <c r="U125" s="320">
        <v>0</v>
      </c>
      <c r="V125" s="321">
        <v>0</v>
      </c>
      <c r="W125" s="557">
        <f t="shared" si="8"/>
        <v>39.020900000000005</v>
      </c>
      <c r="X125" s="322" t="str">
        <f>IF(COUNTA(C125:V125)=0,"",IF(W125=W126,"ümbervisk",IF(W125&gt;W126,"finaali "&amp;(IF(W125&lt;MAX(W123:W124),2,IF(W125=MAX(W123:W124),"",1))),"pronksi "&amp;(IF(W125&lt;MIN(W123:W124),2,IF(W125=MIN(W123:W124),"",1))))))</f>
        <v>finaali 2</v>
      </c>
    </row>
    <row r="126" spans="1:29" ht="14.25" thickTop="1" thickBot="1" x14ac:dyDescent="0.25">
      <c r="A126" s="331">
        <v>3</v>
      </c>
      <c r="B126" s="426" t="s">
        <v>59</v>
      </c>
      <c r="C126" s="333">
        <v>3</v>
      </c>
      <c r="D126" s="522">
        <v>5</v>
      </c>
      <c r="E126" s="522">
        <v>5</v>
      </c>
      <c r="F126" s="335">
        <v>3</v>
      </c>
      <c r="G126" s="333">
        <v>3</v>
      </c>
      <c r="H126" s="334">
        <v>0</v>
      </c>
      <c r="I126" s="334">
        <v>3</v>
      </c>
      <c r="J126" s="335">
        <v>3</v>
      </c>
      <c r="K126" s="333">
        <v>0</v>
      </c>
      <c r="L126" s="334">
        <v>0</v>
      </c>
      <c r="M126" s="334">
        <v>0</v>
      </c>
      <c r="N126" s="335">
        <v>3</v>
      </c>
      <c r="O126" s="333">
        <v>0</v>
      </c>
      <c r="P126" s="334">
        <v>0</v>
      </c>
      <c r="Q126" s="334">
        <v>0</v>
      </c>
      <c r="R126" s="335">
        <v>0</v>
      </c>
      <c r="S126" s="333">
        <v>0</v>
      </c>
      <c r="T126" s="334">
        <v>0</v>
      </c>
      <c r="U126" s="334">
        <v>0</v>
      </c>
      <c r="V126" s="335">
        <v>0</v>
      </c>
      <c r="W126" s="558">
        <f t="shared" si="8"/>
        <v>28.020599999999998</v>
      </c>
      <c r="X126" s="370" t="str">
        <f>IF(COUNTA(C126:V126)=0,"",IF(W125=W126,"ümbervisk",IF(W126&gt;W125,"finaali "&amp;(IF(W126&lt;MAX(W123:W124),2,IF(W126=MAX(W123:W124),"",1))),"pronksi "&amp;(IF(W126&lt;MIN(W123:W124),2,IF(W126=MIN(W123:W124),"",1))))))</f>
        <v>pronksi 1</v>
      </c>
    </row>
    <row r="127" spans="1:29" x14ac:dyDescent="0.2">
      <c r="A127" s="366"/>
      <c r="B127" s="371" t="s">
        <v>382</v>
      </c>
      <c r="C127" s="303"/>
      <c r="D127" s="304"/>
      <c r="E127" s="304"/>
      <c r="F127" s="305"/>
      <c r="G127" s="303"/>
      <c r="H127" s="304"/>
      <c r="I127" s="304"/>
      <c r="J127" s="305"/>
      <c r="K127" s="303"/>
      <c r="L127" s="304"/>
      <c r="M127" s="304"/>
      <c r="N127" s="305"/>
      <c r="O127" s="303"/>
      <c r="P127" s="304"/>
      <c r="Q127" s="304"/>
      <c r="R127" s="305"/>
      <c r="S127" s="303"/>
      <c r="T127" s="304"/>
      <c r="U127" s="304"/>
      <c r="V127" s="305"/>
      <c r="W127" s="368" t="str">
        <f t="shared" si="8"/>
        <v/>
      </c>
      <c r="X127" s="306"/>
    </row>
    <row r="128" spans="1:29" ht="13.5" thickBot="1" x14ac:dyDescent="0.25">
      <c r="A128" s="318"/>
      <c r="B128" s="538" t="s">
        <v>35</v>
      </c>
      <c r="C128" s="319">
        <v>3</v>
      </c>
      <c r="D128" s="320">
        <v>0</v>
      </c>
      <c r="E128" s="320">
        <v>0</v>
      </c>
      <c r="F128" s="321">
        <v>0</v>
      </c>
      <c r="G128" s="319">
        <v>0</v>
      </c>
      <c r="H128" s="320">
        <v>3</v>
      </c>
      <c r="I128" s="320">
        <v>0</v>
      </c>
      <c r="J128" s="321">
        <v>0</v>
      </c>
      <c r="K128" s="319">
        <v>1</v>
      </c>
      <c r="L128" s="320">
        <v>3</v>
      </c>
      <c r="M128" s="320">
        <v>0</v>
      </c>
      <c r="N128" s="321">
        <v>0</v>
      </c>
      <c r="O128" s="319">
        <v>0</v>
      </c>
      <c r="P128" s="320">
        <v>0</v>
      </c>
      <c r="Q128" s="320">
        <v>0</v>
      </c>
      <c r="R128" s="321">
        <v>0</v>
      </c>
      <c r="S128" s="319">
        <v>0</v>
      </c>
      <c r="T128" s="320">
        <v>0</v>
      </c>
      <c r="U128" s="320">
        <v>0</v>
      </c>
      <c r="V128" s="321">
        <v>0</v>
      </c>
      <c r="W128" s="557">
        <f t="shared" si="8"/>
        <v>10.000299999999999</v>
      </c>
      <c r="X128" s="329">
        <f ca="1">IF( INDIRECT("RC[-1]",0)=MAX(( INDIRECT("R[-1]C[-1]",0)):( INDIRECT("R[1]C[-1]",0))),3,4)</f>
        <v>4</v>
      </c>
    </row>
    <row r="129" spans="1:27" ht="14.25" thickTop="1" thickBot="1" x14ac:dyDescent="0.25">
      <c r="A129" s="331"/>
      <c r="B129" s="369" t="s">
        <v>59</v>
      </c>
      <c r="C129" s="333">
        <v>3</v>
      </c>
      <c r="D129" s="334">
        <v>3</v>
      </c>
      <c r="E129" s="334">
        <v>3</v>
      </c>
      <c r="F129" s="335">
        <v>0</v>
      </c>
      <c r="G129" s="333">
        <v>0</v>
      </c>
      <c r="H129" s="334">
        <v>0</v>
      </c>
      <c r="I129" s="334">
        <v>0</v>
      </c>
      <c r="J129" s="523">
        <v>5</v>
      </c>
      <c r="K129" s="333">
        <v>0</v>
      </c>
      <c r="L129" s="334">
        <v>0</v>
      </c>
      <c r="M129" s="334">
        <v>1</v>
      </c>
      <c r="N129" s="335">
        <v>0</v>
      </c>
      <c r="O129" s="333">
        <v>0</v>
      </c>
      <c r="P129" s="334">
        <v>0</v>
      </c>
      <c r="Q129" s="334">
        <v>0</v>
      </c>
      <c r="R129" s="335">
        <v>3</v>
      </c>
      <c r="S129" s="333">
        <v>0</v>
      </c>
      <c r="T129" s="334">
        <v>0</v>
      </c>
      <c r="U129" s="334">
        <v>0</v>
      </c>
      <c r="V129" s="335">
        <v>0</v>
      </c>
      <c r="W129" s="558">
        <f t="shared" si="8"/>
        <v>18.010400000000001</v>
      </c>
      <c r="X129" s="337">
        <f ca="1">IF( INDIRECT("RC[-1]",0)=MAX(( INDIRECT("R[-1]C[-1]",0)):( INDIRECT("R[1]C[-1]",0))),3,4)</f>
        <v>3</v>
      </c>
    </row>
    <row r="130" spans="1:27" ht="13.5" thickBot="1" x14ac:dyDescent="0.25">
      <c r="A130" s="366"/>
      <c r="B130" s="371" t="s">
        <v>383</v>
      </c>
      <c r="C130" s="303"/>
      <c r="D130" s="304"/>
      <c r="E130" s="304"/>
      <c r="F130" s="305"/>
      <c r="G130" s="303"/>
      <c r="H130" s="304"/>
      <c r="I130" s="304"/>
      <c r="J130" s="305"/>
      <c r="K130" s="303"/>
      <c r="L130" s="304"/>
      <c r="M130" s="304"/>
      <c r="N130" s="305"/>
      <c r="O130" s="303"/>
      <c r="P130" s="304"/>
      <c r="Q130" s="304"/>
      <c r="R130" s="305"/>
      <c r="S130" s="303"/>
      <c r="T130" s="304"/>
      <c r="U130" s="304"/>
      <c r="V130" s="305"/>
      <c r="W130" s="368" t="str">
        <f t="shared" si="8"/>
        <v/>
      </c>
      <c r="X130" s="306"/>
    </row>
    <row r="131" spans="1:27" ht="14.25" thickTop="1" thickBot="1" x14ac:dyDescent="0.25">
      <c r="A131" s="318"/>
      <c r="B131" s="327" t="s">
        <v>439</v>
      </c>
      <c r="C131" s="319">
        <v>3</v>
      </c>
      <c r="D131" s="522">
        <v>5</v>
      </c>
      <c r="E131" s="522">
        <v>5</v>
      </c>
      <c r="F131" s="321">
        <v>3</v>
      </c>
      <c r="G131" s="522">
        <v>5</v>
      </c>
      <c r="H131" s="320">
        <v>1</v>
      </c>
      <c r="I131" s="320">
        <v>3</v>
      </c>
      <c r="J131" s="321">
        <v>3</v>
      </c>
      <c r="K131" s="319">
        <v>1</v>
      </c>
      <c r="L131" s="320">
        <v>0</v>
      </c>
      <c r="M131" s="320">
        <v>1</v>
      </c>
      <c r="N131" s="321">
        <v>1</v>
      </c>
      <c r="O131" s="319">
        <v>3</v>
      </c>
      <c r="P131" s="320">
        <v>3</v>
      </c>
      <c r="Q131" s="320">
        <v>0</v>
      </c>
      <c r="R131" s="321">
        <v>0</v>
      </c>
      <c r="S131" s="522">
        <v>5</v>
      </c>
      <c r="T131" s="320">
        <v>0</v>
      </c>
      <c r="U131" s="522">
        <v>5</v>
      </c>
      <c r="V131" s="321">
        <v>0</v>
      </c>
      <c r="W131" s="557">
        <f t="shared" si="8"/>
        <v>47.050599999999996</v>
      </c>
      <c r="X131" s="329">
        <f ca="1">IF( INDIRECT("RC[-1]",0)=MAX(( INDIRECT("R[-1]C[-1]",0)):( INDIRECT("R[1]C[-1]",0))),1,2)</f>
        <v>1</v>
      </c>
    </row>
    <row r="132" spans="1:27" ht="14.25" thickTop="1" thickBot="1" x14ac:dyDescent="0.25">
      <c r="A132" s="331"/>
      <c r="B132" s="332" t="s">
        <v>270</v>
      </c>
      <c r="C132" s="522">
        <v>5</v>
      </c>
      <c r="D132" s="334">
        <v>3</v>
      </c>
      <c r="E132" s="334">
        <v>3</v>
      </c>
      <c r="F132" s="522">
        <v>5</v>
      </c>
      <c r="G132" s="333">
        <v>3</v>
      </c>
      <c r="H132" s="522">
        <v>5</v>
      </c>
      <c r="I132" s="334">
        <v>3</v>
      </c>
      <c r="J132" s="335">
        <v>0</v>
      </c>
      <c r="K132" s="333">
        <v>1</v>
      </c>
      <c r="L132" s="334">
        <v>0</v>
      </c>
      <c r="M132" s="334">
        <v>1</v>
      </c>
      <c r="N132" s="335">
        <v>0</v>
      </c>
      <c r="O132" s="333">
        <v>0</v>
      </c>
      <c r="P132" s="334">
        <v>0</v>
      </c>
      <c r="Q132" s="334">
        <v>3</v>
      </c>
      <c r="R132" s="335">
        <v>0</v>
      </c>
      <c r="S132" s="522">
        <v>5</v>
      </c>
      <c r="T132" s="334">
        <v>0</v>
      </c>
      <c r="U132" s="334">
        <v>0</v>
      </c>
      <c r="V132" s="335">
        <v>0</v>
      </c>
      <c r="W132" s="558">
        <f t="shared" si="8"/>
        <v>37.040500000000002</v>
      </c>
      <c r="X132" s="337">
        <f ca="1">IF( INDIRECT("RC[-1]",0)=MAX(( INDIRECT("R[-1]C[-1]",0)):( INDIRECT("R[1]C[-1]",0))),1,2)</f>
        <v>2</v>
      </c>
    </row>
    <row r="133" spans="1:27" x14ac:dyDescent="0.2">
      <c r="A133" s="570"/>
      <c r="B133" s="571"/>
      <c r="C133" s="572"/>
      <c r="D133" s="572"/>
      <c r="E133" s="572"/>
      <c r="F133" s="572"/>
      <c r="G133" s="572"/>
      <c r="H133" s="572"/>
      <c r="I133" s="572"/>
      <c r="J133" s="572"/>
      <c r="K133" s="572"/>
      <c r="L133" s="572"/>
      <c r="M133" s="572"/>
      <c r="N133" s="572"/>
      <c r="O133" s="572"/>
      <c r="P133" s="572"/>
      <c r="Q133" s="572"/>
      <c r="R133" s="572"/>
      <c r="S133" s="572"/>
      <c r="T133" s="572"/>
      <c r="U133" s="572"/>
      <c r="V133" s="572"/>
      <c r="W133" s="574"/>
      <c r="X133" s="573"/>
    </row>
    <row r="134" spans="1:27" ht="21" x14ac:dyDescent="0.2">
      <c r="A134" s="570"/>
      <c r="B134" s="575" t="s">
        <v>502</v>
      </c>
      <c r="C134" s="692">
        <f t="shared" ref="C134:V134" si="10">SUM(C9:C118,C123:C132)</f>
        <v>113</v>
      </c>
      <c r="D134" s="693">
        <f t="shared" si="10"/>
        <v>108</v>
      </c>
      <c r="E134" s="579">
        <f t="shared" si="10"/>
        <v>77</v>
      </c>
      <c r="F134" s="580">
        <f t="shared" si="10"/>
        <v>72</v>
      </c>
      <c r="G134" s="581">
        <f t="shared" si="10"/>
        <v>66</v>
      </c>
      <c r="H134" s="579">
        <f t="shared" si="10"/>
        <v>63</v>
      </c>
      <c r="I134" s="579">
        <f t="shared" si="10"/>
        <v>63</v>
      </c>
      <c r="J134" s="580">
        <f t="shared" si="10"/>
        <v>54</v>
      </c>
      <c r="K134" s="581">
        <f t="shared" si="10"/>
        <v>55</v>
      </c>
      <c r="L134" s="579">
        <f t="shared" si="10"/>
        <v>40</v>
      </c>
      <c r="M134" s="579">
        <f t="shared" si="10"/>
        <v>26</v>
      </c>
      <c r="N134" s="580">
        <f t="shared" si="10"/>
        <v>25</v>
      </c>
      <c r="O134" s="581">
        <f t="shared" si="10"/>
        <v>35</v>
      </c>
      <c r="P134" s="579">
        <f t="shared" si="10"/>
        <v>48</v>
      </c>
      <c r="Q134" s="579">
        <f t="shared" si="10"/>
        <v>34</v>
      </c>
      <c r="R134" s="580">
        <f t="shared" si="10"/>
        <v>26</v>
      </c>
      <c r="S134" s="581">
        <f t="shared" si="10"/>
        <v>80</v>
      </c>
      <c r="T134" s="579">
        <f t="shared" si="10"/>
        <v>56</v>
      </c>
      <c r="U134" s="579">
        <f t="shared" si="10"/>
        <v>43</v>
      </c>
      <c r="V134" s="580">
        <f t="shared" si="10"/>
        <v>36</v>
      </c>
      <c r="W134" s="574"/>
      <c r="X134" s="573"/>
    </row>
    <row r="135" spans="1:27" x14ac:dyDescent="0.2">
      <c r="A135" s="570"/>
      <c r="C135" s="578">
        <f t="shared" ref="C135:V135" si="11">SUM(C9:C118,C123:C132)</f>
        <v>113</v>
      </c>
      <c r="D135" s="576">
        <f t="shared" si="11"/>
        <v>108</v>
      </c>
      <c r="E135" s="576">
        <f t="shared" si="11"/>
        <v>77</v>
      </c>
      <c r="F135" s="577">
        <f t="shared" si="11"/>
        <v>72</v>
      </c>
      <c r="G135" s="578">
        <f t="shared" si="11"/>
        <v>66</v>
      </c>
      <c r="H135" s="576">
        <f t="shared" si="11"/>
        <v>63</v>
      </c>
      <c r="I135" s="576">
        <f t="shared" si="11"/>
        <v>63</v>
      </c>
      <c r="J135" s="577">
        <f t="shared" si="11"/>
        <v>54</v>
      </c>
      <c r="K135" s="578">
        <f t="shared" si="11"/>
        <v>55</v>
      </c>
      <c r="L135" s="576">
        <f t="shared" si="11"/>
        <v>40</v>
      </c>
      <c r="M135" s="576">
        <f t="shared" si="11"/>
        <v>26</v>
      </c>
      <c r="N135" s="577">
        <f t="shared" si="11"/>
        <v>25</v>
      </c>
      <c r="O135" s="578">
        <f t="shared" si="11"/>
        <v>35</v>
      </c>
      <c r="P135" s="576">
        <f t="shared" si="11"/>
        <v>48</v>
      </c>
      <c r="Q135" s="576">
        <f t="shared" si="11"/>
        <v>34</v>
      </c>
      <c r="R135" s="577">
        <f t="shared" si="11"/>
        <v>26</v>
      </c>
      <c r="S135" s="578">
        <f t="shared" si="11"/>
        <v>80</v>
      </c>
      <c r="T135" s="576">
        <f t="shared" si="11"/>
        <v>56</v>
      </c>
      <c r="U135" s="576">
        <f t="shared" si="11"/>
        <v>43</v>
      </c>
      <c r="V135" s="577">
        <f t="shared" si="11"/>
        <v>36</v>
      </c>
      <c r="W135" s="574"/>
      <c r="X135" s="573"/>
    </row>
    <row r="136" spans="1:27" x14ac:dyDescent="0.2">
      <c r="A136" s="570"/>
      <c r="B136" s="571"/>
      <c r="C136" s="726">
        <f>SUM(C9:F118,C123:F132)</f>
        <v>370</v>
      </c>
      <c r="D136" s="727"/>
      <c r="E136" s="727"/>
      <c r="F136" s="728"/>
      <c r="G136" s="726">
        <f>SUM(G9:J118,G123:J132)</f>
        <v>246</v>
      </c>
      <c r="H136" s="727"/>
      <c r="I136" s="727"/>
      <c r="J136" s="728"/>
      <c r="K136" s="726">
        <f>SUM(K9:N118,K123:N132)</f>
        <v>146</v>
      </c>
      <c r="L136" s="727"/>
      <c r="M136" s="727"/>
      <c r="N136" s="728"/>
      <c r="O136" s="726">
        <f>SUM(O9:R118,O123:R132)</f>
        <v>143</v>
      </c>
      <c r="P136" s="727"/>
      <c r="Q136" s="727"/>
      <c r="R136" s="728"/>
      <c r="S136" s="726">
        <f>SUM(S9:V118,S123:V132)</f>
        <v>215</v>
      </c>
      <c r="T136" s="727"/>
      <c r="U136" s="727"/>
      <c r="V136" s="728"/>
      <c r="W136" s="574"/>
      <c r="X136" s="573"/>
    </row>
    <row r="137" spans="1:27" x14ac:dyDescent="0.2">
      <c r="A137" s="570"/>
      <c r="B137" s="571"/>
      <c r="C137" s="572"/>
      <c r="D137" s="572"/>
      <c r="E137" s="572"/>
      <c r="F137" s="572"/>
      <c r="G137" s="572"/>
      <c r="H137" s="572"/>
      <c r="I137" s="572"/>
      <c r="J137" s="572"/>
      <c r="K137" s="572"/>
      <c r="L137" s="572"/>
      <c r="M137" s="572"/>
      <c r="N137" s="572"/>
      <c r="O137" s="572"/>
      <c r="P137" s="572"/>
      <c r="Q137" s="572"/>
      <c r="R137" s="572"/>
      <c r="S137" s="572"/>
      <c r="T137" s="572"/>
      <c r="U137" s="572"/>
      <c r="V137" s="572"/>
      <c r="W137" s="574"/>
      <c r="X137" s="573"/>
    </row>
    <row r="138" spans="1:27" x14ac:dyDescent="0.2">
      <c r="A138" s="338"/>
      <c r="B138" s="338"/>
      <c r="C138" s="338"/>
      <c r="D138" s="338"/>
      <c r="E138" s="338"/>
      <c r="F138" s="338"/>
      <c r="G138" s="338"/>
      <c r="H138" s="338"/>
      <c r="I138" s="338"/>
      <c r="J138" s="338"/>
      <c r="K138" s="338"/>
      <c r="L138" s="338"/>
      <c r="M138" s="338"/>
      <c r="N138" s="338"/>
      <c r="O138" s="448"/>
      <c r="P138" s="338"/>
      <c r="Q138" s="338"/>
      <c r="R138" s="338"/>
      <c r="S138" s="338"/>
      <c r="T138" s="451"/>
      <c r="U138" s="338"/>
      <c r="V138" s="338"/>
      <c r="W138" s="338"/>
      <c r="X138" s="338"/>
      <c r="Y138" s="338"/>
    </row>
    <row r="139" spans="1:27" x14ac:dyDescent="0.2">
      <c r="A139" s="339">
        <v>1</v>
      </c>
      <c r="B139" s="541" t="str">
        <f t="shared" ref="B139:B148" ca="1" si="12">IF(IFERROR(INDEX($B$9:$B$132,MATCH($A139,$X$9:$X$132,0)),"")=0,"",IFERROR(INDEX($B$9:$B$132,MATCH($A139,$X$9:$X$132,0)),""))</f>
        <v>Veiko Proos</v>
      </c>
      <c r="C139" s="338"/>
      <c r="D139" s="338"/>
      <c r="E139" s="449"/>
      <c r="F139" s="450">
        <v>11</v>
      </c>
      <c r="G139" s="341" t="str">
        <f>IF(IFERROR(INDEX($B$9:$B$132,MATCH($F139,$X$9:$X$132,0)),"")=0,"",IFERROR(INDEX($B$9:$B$132,MATCH($F139,$X$9:$X$132,0)),""))</f>
        <v>Aimar Poom</v>
      </c>
      <c r="H139" s="342"/>
      <c r="I139" s="342"/>
      <c r="J139" s="342"/>
      <c r="K139" s="342"/>
      <c r="L139" s="342"/>
      <c r="M139" s="343"/>
      <c r="P139" s="449"/>
      <c r="Q139" s="452" t="s">
        <v>472</v>
      </c>
      <c r="R139" s="341" t="s">
        <v>434</v>
      </c>
      <c r="S139" s="342"/>
      <c r="T139" s="342"/>
      <c r="U139" s="389"/>
      <c r="V139" s="389"/>
      <c r="W139" s="381"/>
      <c r="Z139" s="342"/>
      <c r="AA139" s="343"/>
    </row>
    <row r="140" spans="1:27" x14ac:dyDescent="0.2">
      <c r="A140" s="339">
        <v>2</v>
      </c>
      <c r="B140" s="344" t="str">
        <f t="shared" ca="1" si="12"/>
        <v>Margus Berkmann</v>
      </c>
      <c r="C140" s="338"/>
      <c r="D140" s="338"/>
      <c r="E140" s="449"/>
      <c r="F140" s="450">
        <v>12</v>
      </c>
      <c r="G140" s="341" t="str">
        <f>IF(IFERROR(INDEX($B$9:$B$132,MATCH($F140,$X$9:$X$132,0)),"")=0,"",IFERROR(INDEX($B$9:$B$132,MATCH($F140,$X$9:$X$132,0)),""))</f>
        <v>Hardo Sokk</v>
      </c>
      <c r="H140" s="342"/>
      <c r="I140" s="342"/>
      <c r="J140" s="342"/>
      <c r="K140" s="342"/>
      <c r="L140" s="342"/>
      <c r="M140" s="343"/>
      <c r="P140" s="449"/>
      <c r="Q140" s="452" t="s">
        <v>473</v>
      </c>
      <c r="R140" s="341" t="s">
        <v>47</v>
      </c>
      <c r="S140" s="342"/>
      <c r="T140" s="342"/>
      <c r="U140" s="389"/>
      <c r="V140" s="389"/>
      <c r="W140" s="381"/>
      <c r="Z140" s="342"/>
      <c r="AA140" s="343"/>
    </row>
    <row r="141" spans="1:27" x14ac:dyDescent="0.2">
      <c r="A141" s="339">
        <v>3</v>
      </c>
      <c r="B141" s="345" t="str">
        <f t="shared" ca="1" si="12"/>
        <v>Kaido Kopel</v>
      </c>
      <c r="C141" s="338"/>
      <c r="D141" s="338"/>
      <c r="E141" s="449"/>
      <c r="F141" s="450">
        <v>13</v>
      </c>
      <c r="G141" s="341" t="str">
        <f>IF(IFERROR(INDEX($B$9:$B$132,MATCH($F141,$X$9:$X$132,0)),"")=0,"",IFERROR(INDEX($B$9:$B$132,MATCH($F141,$X$9:$X$132,0)),""))</f>
        <v>Arti Lindvest</v>
      </c>
      <c r="H141" s="342"/>
      <c r="I141" s="342"/>
      <c r="J141" s="342"/>
      <c r="K141" s="342"/>
      <c r="L141" s="342"/>
      <c r="M141" s="343"/>
      <c r="P141" s="449"/>
      <c r="Q141" s="452" t="s">
        <v>473</v>
      </c>
      <c r="R141" s="548" t="s">
        <v>437</v>
      </c>
      <c r="S141" s="549"/>
      <c r="T141" s="549"/>
      <c r="U141" s="550"/>
      <c r="V141" s="550"/>
      <c r="W141" s="551"/>
      <c r="Z141" s="342"/>
      <c r="AA141" s="343"/>
    </row>
    <row r="142" spans="1:27" x14ac:dyDescent="0.2">
      <c r="A142" s="339">
        <v>4</v>
      </c>
      <c r="B142" s="539" t="str">
        <f t="shared" ca="1" si="12"/>
        <v>Kadri Arunurm</v>
      </c>
      <c r="C142" s="338"/>
      <c r="D142" s="338"/>
      <c r="E142" s="449"/>
      <c r="F142" s="452" t="s">
        <v>471</v>
      </c>
      <c r="G142" s="341" t="s">
        <v>37</v>
      </c>
      <c r="H142" s="342"/>
      <c r="I142" s="342"/>
      <c r="J142" s="342"/>
      <c r="K142" s="342"/>
      <c r="L142" s="342"/>
      <c r="M142" s="343"/>
      <c r="P142" s="449"/>
      <c r="Q142" s="450">
        <v>24</v>
      </c>
      <c r="R142" s="540" t="str">
        <f>IF(IFERROR(INDEX($B$9:$B$132,MATCH($Q142,$X$9:$X$132,0)),"")=0,"",IFERROR(INDEX($B$9:$B$132,MATCH($Q142,$X$9:$X$132,0)),""))</f>
        <v>Sirje Viljaste</v>
      </c>
      <c r="S142" s="342"/>
      <c r="T142" s="342"/>
      <c r="U142" s="389"/>
      <c r="V142" s="389"/>
      <c r="W142" s="381"/>
      <c r="Z142" s="342"/>
      <c r="AA142" s="343"/>
    </row>
    <row r="143" spans="1:27" x14ac:dyDescent="0.2">
      <c r="A143" s="339">
        <v>5</v>
      </c>
      <c r="B143" s="46" t="str">
        <f t="shared" si="12"/>
        <v>Margo Peebo</v>
      </c>
      <c r="C143" s="338"/>
      <c r="D143" s="338"/>
      <c r="E143" s="449"/>
      <c r="F143" s="452" t="s">
        <v>471</v>
      </c>
      <c r="G143" s="540" t="s">
        <v>45</v>
      </c>
      <c r="H143" s="342"/>
      <c r="I143" s="342"/>
      <c r="J143" s="342"/>
      <c r="K143" s="342"/>
      <c r="L143" s="342"/>
      <c r="M143" s="343"/>
      <c r="P143" s="449"/>
      <c r="Q143" s="450">
        <v>25</v>
      </c>
      <c r="R143" s="341" t="str">
        <f>IF(IFERROR(INDEX($B$9:$B$132,MATCH($Q143,$X$9:$X$132,0)),"")=0,"",IFERROR(INDEX($B$9:$B$132,MATCH($Q143,$X$9:$X$132,0)),""))</f>
        <v>Alar Sinimäe</v>
      </c>
      <c r="S143" s="342"/>
      <c r="T143" s="342"/>
      <c r="U143" s="389"/>
      <c r="V143" s="389"/>
      <c r="W143" s="381"/>
      <c r="Z143" s="342"/>
      <c r="AA143" s="343"/>
    </row>
    <row r="144" spans="1:27" x14ac:dyDescent="0.2">
      <c r="A144" s="339">
        <v>6</v>
      </c>
      <c r="B144" s="46" t="str">
        <f t="shared" si="12"/>
        <v>Ivar Viljaste</v>
      </c>
      <c r="C144" s="338"/>
      <c r="D144" s="338"/>
      <c r="E144" s="449"/>
      <c r="F144" s="450">
        <v>16</v>
      </c>
      <c r="G144" s="341" t="str">
        <f>IF(IFERROR(INDEX($B$9:$B$132,MATCH($F144,$X$9:$X$132,0)),"")=0,"",IFERROR(INDEX($B$9:$B$132,MATCH($F144,$X$9:$X$132,0)),""))</f>
        <v>Tiit Palk</v>
      </c>
      <c r="H144" s="342"/>
      <c r="I144" s="342"/>
      <c r="J144" s="342"/>
      <c r="K144" s="342"/>
      <c r="L144" s="342"/>
      <c r="M144" s="343"/>
      <c r="P144" s="449"/>
      <c r="Q144" s="450">
        <v>26</v>
      </c>
      <c r="R144" s="341" t="str">
        <f>IF(IFERROR(INDEX($B$9:$B$132,MATCH($Q144,$X$9:$X$132,0)),"")=0,"",IFERROR(INDEX($B$9:$B$132,MATCH($Q144,$X$9:$X$132,0)),""))</f>
        <v>Vahur Raudsepp</v>
      </c>
      <c r="S144" s="342"/>
      <c r="T144" s="342"/>
      <c r="U144" s="389"/>
      <c r="V144" s="389"/>
      <c r="W144" s="381"/>
      <c r="Z144" s="342"/>
      <c r="AA144" s="343"/>
    </row>
    <row r="145" spans="1:27" x14ac:dyDescent="0.2">
      <c r="A145" s="339">
        <v>7</v>
      </c>
      <c r="B145" s="46" t="str">
        <f t="shared" si="12"/>
        <v>Urmo Auväärt</v>
      </c>
      <c r="C145" s="338"/>
      <c r="D145" s="338"/>
      <c r="E145" s="449"/>
      <c r="F145" s="450">
        <v>17</v>
      </c>
      <c r="G145" s="540" t="str">
        <f>IF(IFERROR(INDEX($B$9:$B$132,MATCH($F145,$X$9:$X$132,0)),"")=0,"",IFERROR(INDEX($B$9:$B$132,MATCH($F145,$X$9:$X$132,0)),""))</f>
        <v>Marge Mägi</v>
      </c>
      <c r="H145" s="342"/>
      <c r="I145" s="342"/>
      <c r="J145" s="342"/>
      <c r="K145" s="342"/>
      <c r="L145" s="342"/>
      <c r="M145" s="343"/>
      <c r="P145" s="449"/>
      <c r="Q145" s="450">
        <v>27</v>
      </c>
      <c r="R145" s="341" t="str">
        <f>IF(IFERROR(INDEX($B$9:$B$132,MATCH($Q145,$X$9:$X$132,0)),"")=0,"",IFERROR(INDEX($B$9:$B$132,MATCH($Q145,$X$9:$X$132,0)),""))</f>
        <v>Silver Kingissepp</v>
      </c>
      <c r="S145" s="342"/>
      <c r="T145" s="342"/>
      <c r="U145" s="389"/>
      <c r="V145" s="389"/>
      <c r="W145" s="381"/>
      <c r="Z145" s="342"/>
      <c r="AA145" s="343"/>
    </row>
    <row r="146" spans="1:27" x14ac:dyDescent="0.2">
      <c r="A146" s="339">
        <v>8</v>
      </c>
      <c r="B146" s="552" t="str">
        <f t="shared" si="12"/>
        <v>Harry Lusbo</v>
      </c>
      <c r="C146" s="338"/>
      <c r="D146" s="338"/>
      <c r="E146" s="449"/>
      <c r="F146" s="450">
        <v>18</v>
      </c>
      <c r="G146" s="341" t="str">
        <f>IF(IFERROR(INDEX($B$9:$B$132,MATCH($F146,$X$9:$X$132,0)),"")=0,"",IFERROR(INDEX($B$9:$B$132,MATCH($F146,$X$9:$X$132,0)),""))</f>
        <v>Margus Strööm</v>
      </c>
      <c r="H146" s="342"/>
      <c r="I146" s="342"/>
      <c r="J146" s="342"/>
      <c r="K146" s="342"/>
      <c r="L146" s="342"/>
      <c r="M146" s="343"/>
      <c r="P146" s="449"/>
      <c r="Q146" s="452" t="s">
        <v>474</v>
      </c>
      <c r="R146" s="548" t="s">
        <v>250</v>
      </c>
      <c r="S146" s="549"/>
      <c r="T146" s="549"/>
      <c r="U146" s="550"/>
      <c r="V146" s="550"/>
      <c r="W146" s="551"/>
      <c r="Z146" s="342"/>
      <c r="AA146" s="343"/>
    </row>
    <row r="147" spans="1:27" x14ac:dyDescent="0.2">
      <c r="A147" s="339">
        <v>9</v>
      </c>
      <c r="B147" s="46" t="str">
        <f t="shared" si="12"/>
        <v>Thibaut Sergei Mathon</v>
      </c>
      <c r="C147" s="338"/>
      <c r="D147" s="338"/>
      <c r="E147" s="449"/>
      <c r="F147" s="450">
        <v>19</v>
      </c>
      <c r="G147" s="341" t="str">
        <f>IF(IFERROR(INDEX($B$9:$B$132,MATCH($F147,$X$9:$X$132,0)),"")=0,"",IFERROR(INDEX($B$9:$B$132,MATCH($F147,$X$9:$X$132,0)),""))</f>
        <v>Janek Kiisk</v>
      </c>
      <c r="H147" s="342"/>
      <c r="I147" s="342"/>
      <c r="J147" s="342"/>
      <c r="K147" s="342"/>
      <c r="L147" s="342"/>
      <c r="M147" s="343"/>
      <c r="P147" s="449"/>
      <c r="Q147" s="452" t="s">
        <v>474</v>
      </c>
      <c r="R147" s="341" t="s">
        <v>251</v>
      </c>
      <c r="S147" s="342"/>
      <c r="T147" s="342"/>
      <c r="U147" s="389"/>
      <c r="V147" s="389"/>
      <c r="W147" s="381"/>
      <c r="Z147" s="342"/>
      <c r="AA147" s="343"/>
    </row>
    <row r="148" spans="1:27" x14ac:dyDescent="0.2">
      <c r="A148" s="339">
        <v>10</v>
      </c>
      <c r="B148" s="539" t="str">
        <f t="shared" si="12"/>
        <v>Merike Aava</v>
      </c>
      <c r="C148" s="338"/>
      <c r="D148" s="338"/>
      <c r="E148" s="449"/>
      <c r="F148" s="452" t="s">
        <v>472</v>
      </c>
      <c r="G148" s="341" t="s">
        <v>177</v>
      </c>
      <c r="H148" s="342"/>
      <c r="I148" s="342"/>
      <c r="J148" s="342"/>
      <c r="K148" s="342"/>
      <c r="L148" s="342"/>
      <c r="M148" s="343"/>
      <c r="P148" s="338"/>
      <c r="Q148" s="338"/>
      <c r="R148" s="338"/>
      <c r="S148" s="338"/>
      <c r="T148" s="338"/>
      <c r="U148" s="338"/>
      <c r="V148" s="338"/>
      <c r="W148" s="338"/>
      <c r="Z148" s="342"/>
      <c r="AA148" s="343"/>
    </row>
    <row r="149" spans="1:27" x14ac:dyDescent="0.2">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row>
    <row r="150" spans="1:27" x14ac:dyDescent="0.2">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row>
    <row r="151" spans="1:27" x14ac:dyDescent="0.2">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row>
    <row r="152" spans="1:27" x14ac:dyDescent="0.2">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row>
    <row r="153" spans="1:27" x14ac:dyDescent="0.2">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row>
    <row r="154" spans="1:27" x14ac:dyDescent="0.2">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row>
    <row r="155" spans="1:27" x14ac:dyDescent="0.2">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row>
  </sheetData>
  <mergeCells count="5">
    <mergeCell ref="C136:F136"/>
    <mergeCell ref="G136:J136"/>
    <mergeCell ref="K136:N136"/>
    <mergeCell ref="O136:R136"/>
    <mergeCell ref="S136:V136"/>
  </mergeCells>
  <conditionalFormatting sqref="X123:X126">
    <cfRule type="duplicateValues" dxfId="256" priority="53"/>
  </conditionalFormatting>
  <conditionalFormatting sqref="B25:B32">
    <cfRule type="duplicateValues" dxfId="255" priority="50" stopIfTrue="1"/>
  </conditionalFormatting>
  <conditionalFormatting sqref="X9:X38">
    <cfRule type="duplicateValues" dxfId="254" priority="9"/>
    <cfRule type="top10" dxfId="253" priority="52" rank="100"/>
  </conditionalFormatting>
  <conditionalFormatting sqref="B22:B24">
    <cfRule type="duplicateValues" dxfId="252" priority="49" stopIfTrue="1"/>
  </conditionalFormatting>
  <conditionalFormatting sqref="B33:B38 B10:B12 B14">
    <cfRule type="duplicateValues" dxfId="251" priority="54" stopIfTrue="1"/>
  </conditionalFormatting>
  <conditionalFormatting sqref="B40:B45">
    <cfRule type="duplicateValues" dxfId="250" priority="47" stopIfTrue="1"/>
  </conditionalFormatting>
  <conditionalFormatting sqref="X40:X47 X64:X67">
    <cfRule type="duplicateValues" dxfId="249" priority="55"/>
    <cfRule type="top10" dxfId="248" priority="56" stopIfTrue="1" rank="100"/>
  </conditionalFormatting>
  <conditionalFormatting sqref="B46:B47 B64:B67">
    <cfRule type="duplicateValues" dxfId="247" priority="57" stopIfTrue="1"/>
  </conditionalFormatting>
  <conditionalFormatting sqref="B56:B61">
    <cfRule type="duplicateValues" dxfId="246" priority="43" stopIfTrue="1"/>
  </conditionalFormatting>
  <conditionalFormatting sqref="X56:X63">
    <cfRule type="duplicateValues" dxfId="245" priority="44"/>
    <cfRule type="top10" dxfId="244" priority="45" stopIfTrue="1" rank="100"/>
  </conditionalFormatting>
  <conditionalFormatting sqref="B62:B63">
    <cfRule type="duplicateValues" dxfId="243" priority="46" stopIfTrue="1"/>
  </conditionalFormatting>
  <conditionalFormatting sqref="B86:B91">
    <cfRule type="duplicateValues" dxfId="242" priority="39" stopIfTrue="1"/>
  </conditionalFormatting>
  <conditionalFormatting sqref="X86:X93 X102:X105">
    <cfRule type="duplicateValues" dxfId="241" priority="40"/>
    <cfRule type="top10" dxfId="240" priority="41" stopIfTrue="1" rank="100"/>
  </conditionalFormatting>
  <conditionalFormatting sqref="B92:B93 B102:B105">
    <cfRule type="duplicateValues" dxfId="239" priority="42" stopIfTrue="1"/>
  </conditionalFormatting>
  <conditionalFormatting sqref="B94:B99">
    <cfRule type="duplicateValues" dxfId="238" priority="35" stopIfTrue="1"/>
  </conditionalFormatting>
  <conditionalFormatting sqref="X94:X101">
    <cfRule type="duplicateValues" dxfId="237" priority="36"/>
    <cfRule type="top10" dxfId="236" priority="37" stopIfTrue="1" rank="100"/>
  </conditionalFormatting>
  <conditionalFormatting sqref="B100:B101">
    <cfRule type="duplicateValues" dxfId="235" priority="38" stopIfTrue="1"/>
  </conditionalFormatting>
  <conditionalFormatting sqref="B106:B107">
    <cfRule type="duplicateValues" dxfId="234" priority="31" stopIfTrue="1"/>
  </conditionalFormatting>
  <conditionalFormatting sqref="X106:X109">
    <cfRule type="duplicateValues" dxfId="233" priority="32"/>
    <cfRule type="top10" dxfId="232" priority="33" stopIfTrue="1" rank="100"/>
  </conditionalFormatting>
  <conditionalFormatting sqref="B108:B109">
    <cfRule type="duplicateValues" dxfId="231" priority="34" stopIfTrue="1"/>
  </conditionalFormatting>
  <conditionalFormatting sqref="B68:B69">
    <cfRule type="duplicateValues" dxfId="230" priority="30" stopIfTrue="1"/>
  </conditionalFormatting>
  <conditionalFormatting sqref="B48:B53">
    <cfRule type="duplicateValues" dxfId="229" priority="26" stopIfTrue="1"/>
  </conditionalFormatting>
  <conditionalFormatting sqref="X48:X55">
    <cfRule type="duplicateValues" dxfId="228" priority="27"/>
    <cfRule type="top10" dxfId="227" priority="28" stopIfTrue="1" rank="100"/>
  </conditionalFormatting>
  <conditionalFormatting sqref="B54:B55">
    <cfRule type="duplicateValues" dxfId="226" priority="29" stopIfTrue="1"/>
  </conditionalFormatting>
  <conditionalFormatting sqref="X73:X84">
    <cfRule type="duplicateValues" dxfId="225" priority="25"/>
    <cfRule type="top10" dxfId="224" priority="48" rank="100"/>
  </conditionalFormatting>
  <conditionalFormatting sqref="W40:W43">
    <cfRule type="top10" dxfId="223" priority="24" rank="1"/>
  </conditionalFormatting>
  <conditionalFormatting sqref="W44:W47">
    <cfRule type="top10" dxfId="222" priority="23" rank="1"/>
  </conditionalFormatting>
  <conditionalFormatting sqref="W48:W51">
    <cfRule type="top10" dxfId="221" priority="22" rank="1"/>
  </conditionalFormatting>
  <conditionalFormatting sqref="W52:W55">
    <cfRule type="top10" dxfId="220" priority="21" rank="1"/>
  </conditionalFormatting>
  <conditionalFormatting sqref="W56:W59">
    <cfRule type="top10" dxfId="219" priority="20" rank="1"/>
  </conditionalFormatting>
  <conditionalFormatting sqref="W60:W63">
    <cfRule type="top10" dxfId="218" priority="19" rank="1"/>
  </conditionalFormatting>
  <conditionalFormatting sqref="W64:W67">
    <cfRule type="top10" dxfId="217" priority="18" rank="1"/>
  </conditionalFormatting>
  <conditionalFormatting sqref="W68:W71">
    <cfRule type="top10" dxfId="216" priority="17" rank="1"/>
  </conditionalFormatting>
  <conditionalFormatting sqref="W86:W89">
    <cfRule type="top10" dxfId="215" priority="16" rank="1"/>
  </conditionalFormatting>
  <conditionalFormatting sqref="W90:W93">
    <cfRule type="top10" dxfId="214" priority="15" rank="1"/>
  </conditionalFormatting>
  <conditionalFormatting sqref="W94:W97">
    <cfRule type="top10" dxfId="213" priority="14" rank="1"/>
  </conditionalFormatting>
  <conditionalFormatting sqref="W98:W101">
    <cfRule type="top10" dxfId="212" priority="13" rank="1"/>
  </conditionalFormatting>
  <conditionalFormatting sqref="W102:W105">
    <cfRule type="top10" dxfId="211" priority="12" rank="1"/>
  </conditionalFormatting>
  <conditionalFormatting sqref="W106:W109">
    <cfRule type="top10" dxfId="210" priority="11" rank="1"/>
  </conditionalFormatting>
  <conditionalFormatting sqref="W111:W112">
    <cfRule type="top10" dxfId="209" priority="58" rank="1"/>
  </conditionalFormatting>
  <conditionalFormatting sqref="W113:W114">
    <cfRule type="top10" dxfId="208" priority="59" rank="1"/>
  </conditionalFormatting>
  <conditionalFormatting sqref="W115:W116">
    <cfRule type="top10" dxfId="207" priority="60" rank="1"/>
  </conditionalFormatting>
  <conditionalFormatting sqref="W123:W124">
    <cfRule type="top10" dxfId="206" priority="61" rank="1"/>
  </conditionalFormatting>
  <conditionalFormatting sqref="W125:W126">
    <cfRule type="top10" dxfId="205" priority="62" rank="1"/>
  </conditionalFormatting>
  <conditionalFormatting sqref="W128:W129">
    <cfRule type="top10" dxfId="204" priority="63" rank="1"/>
  </conditionalFormatting>
  <conditionalFormatting sqref="W131:W134 W136:W137">
    <cfRule type="top10" dxfId="203" priority="64" rank="1"/>
  </conditionalFormatting>
  <conditionalFormatting sqref="X111:X118">
    <cfRule type="duplicateValues" dxfId="202" priority="65"/>
    <cfRule type="top10" dxfId="201" priority="66" stopIfTrue="1" rank="4"/>
  </conditionalFormatting>
  <conditionalFormatting sqref="W117:W118">
    <cfRule type="top10" dxfId="200" priority="67" rank="1"/>
  </conditionalFormatting>
  <conditionalFormatting sqref="B120:B121">
    <cfRule type="duplicateValues" dxfId="199" priority="68" stopIfTrue="1"/>
  </conditionalFormatting>
  <conditionalFormatting sqref="X120:X121">
    <cfRule type="duplicateValues" dxfId="198" priority="69"/>
    <cfRule type="top10" dxfId="197" priority="70" stopIfTrue="1" rank="100"/>
  </conditionalFormatting>
  <conditionalFormatting sqref="W120:W121">
    <cfRule type="top10" dxfId="196" priority="71" rank="1"/>
  </conditionalFormatting>
  <conditionalFormatting sqref="Y73:Y84">
    <cfRule type="duplicateValues" dxfId="195" priority="10"/>
  </conditionalFormatting>
  <conditionalFormatting sqref="W9:W134 W136:W137">
    <cfRule type="top10" dxfId="194" priority="5229" rank="1"/>
  </conditionalFormatting>
  <conditionalFormatting sqref="X68:X71">
    <cfRule type="duplicateValues" dxfId="193" priority="5231"/>
    <cfRule type="top10" dxfId="192" priority="5232" stopIfTrue="1" rank="100"/>
  </conditionalFormatting>
  <conditionalFormatting sqref="B70:B71">
    <cfRule type="duplicateValues" dxfId="191" priority="5233" stopIfTrue="1"/>
  </conditionalFormatting>
  <conditionalFormatting sqref="C136:V137">
    <cfRule type="colorScale" priority="8">
      <colorScale>
        <cfvo type="min"/>
        <cfvo type="percentile" val="50"/>
        <cfvo type="max"/>
        <color rgb="FFF8696B"/>
        <color rgb="FFFFEB84"/>
        <color rgb="FF63BE7B"/>
      </colorScale>
    </cfRule>
  </conditionalFormatting>
  <conditionalFormatting sqref="W135">
    <cfRule type="top10" dxfId="190" priority="6" rank="1"/>
  </conditionalFormatting>
  <conditionalFormatting sqref="W135">
    <cfRule type="top10" dxfId="189" priority="7" rank="1"/>
  </conditionalFormatting>
  <conditionalFormatting sqref="C135:V135">
    <cfRule type="dataBar" priority="4">
      <dataBar>
        <cfvo type="min"/>
        <cfvo type="max"/>
        <color rgb="FF008AEF"/>
      </dataBar>
      <extLst>
        <ext xmlns:x14="http://schemas.microsoft.com/office/spreadsheetml/2009/9/main" uri="{B025F937-C7B1-47D3-B67F-A62EFF666E3E}">
          <x14:id>{69325625-05E3-4878-9BB5-9D3C4D0F881A}</x14:id>
        </ext>
      </extLst>
    </cfRule>
  </conditionalFormatting>
  <conditionalFormatting sqref="C134:V134">
    <cfRule type="top10" dxfId="188" priority="2" rank="1"/>
    <cfRule type="colorScale" priority="3">
      <colorScale>
        <cfvo type="min"/>
        <cfvo type="percentile" val="50"/>
        <cfvo type="max"/>
        <color rgb="FFF8696B"/>
        <color rgb="FFFFEB84"/>
        <color rgb="FF63BE7B"/>
      </colorScale>
    </cfRule>
  </conditionalFormatting>
  <conditionalFormatting sqref="C136:V136">
    <cfRule type="top10" dxfId="187" priority="1" rank="1"/>
  </conditionalFormatting>
  <pageMargins left="0.78740157480314965" right="0.27559055118110237" top="0.59055118110236227" bottom="0.39370078740157483" header="0.39370078740157483" footer="0"/>
  <pageSetup paperSize="9" fitToHeight="0" orientation="portrait" r:id="rId1"/>
  <headerFooter alignWithMargins="0">
    <oddHeader>&amp;R&amp;"Arial,Regular"&amp;9Page &amp;P of &amp;N</oddHeader>
  </headerFooter>
  <rowBreaks count="1" manualBreakCount="1">
    <brk id="109"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69325625-05E3-4878-9BB5-9D3C4D0F881A}">
            <x14:dataBar minLength="0" maxLength="100" gradient="0">
              <x14:cfvo type="autoMin"/>
              <x14:cfvo type="autoMax"/>
              <x14:negativeFillColor rgb="FFFF0000"/>
              <x14:axisColor rgb="FF000000"/>
            </x14:dataBar>
          </x14:cfRule>
          <xm:sqref>C135:V135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50"/>
  <sheetViews>
    <sheetView showGridLines="0" showRowColHeaders="0" zoomScaleNormal="100" workbookViewId="0">
      <pane ySplit="7" topLeftCell="A8" activePane="bottomLeft" state="frozen"/>
      <selection activeCell="W1" sqref="W1"/>
      <selection pane="bottomLeft" activeCell="W1" sqref="W1"/>
    </sheetView>
  </sheetViews>
  <sheetFormatPr defaultRowHeight="12.75" x14ac:dyDescent="0.2"/>
  <cols>
    <col min="1" max="1" width="3" style="293" customWidth="1"/>
    <col min="2" max="2" width="18.85546875" style="293" customWidth="1"/>
    <col min="3" max="22" width="2.7109375" style="293" customWidth="1"/>
    <col min="23" max="23" width="3" style="293" bestFit="1" customWidth="1"/>
    <col min="24" max="24" width="11.5703125" style="293" bestFit="1" customWidth="1"/>
    <col min="25" max="25" width="3" style="293" customWidth="1"/>
    <col min="26" max="27" width="4" style="293" hidden="1" customWidth="1"/>
    <col min="28" max="28" width="4.5703125" style="293" hidden="1" customWidth="1"/>
    <col min="29" max="29" width="9.140625" style="293"/>
    <col min="30" max="36" width="2.7109375" style="293" customWidth="1"/>
    <col min="37" max="226" width="9.140625" style="293"/>
    <col min="227" max="227" width="3" style="293" customWidth="1"/>
    <col min="228" max="228" width="18.7109375" style="293" customWidth="1"/>
    <col min="229" max="248" width="2.85546875" style="293" customWidth="1"/>
    <col min="249" max="249" width="3" style="293" bestFit="1" customWidth="1"/>
    <col min="250" max="250" width="10.5703125" style="293" customWidth="1"/>
    <col min="251" max="253" width="0" style="293" hidden="1" customWidth="1"/>
    <col min="254" max="482" width="9.140625" style="293"/>
    <col min="483" max="483" width="3" style="293" customWidth="1"/>
    <col min="484" max="484" width="18.7109375" style="293" customWidth="1"/>
    <col min="485" max="504" width="2.85546875" style="293" customWidth="1"/>
    <col min="505" max="505" width="3" style="293" bestFit="1" customWidth="1"/>
    <col min="506" max="506" width="10.5703125" style="293" customWidth="1"/>
    <col min="507" max="509" width="0" style="293" hidden="1" customWidth="1"/>
    <col min="510" max="738" width="9.140625" style="293"/>
    <col min="739" max="739" width="3" style="293" customWidth="1"/>
    <col min="740" max="740" width="18.7109375" style="293" customWidth="1"/>
    <col min="741" max="760" width="2.85546875" style="293" customWidth="1"/>
    <col min="761" max="761" width="3" style="293" bestFit="1" customWidth="1"/>
    <col min="762" max="762" width="10.5703125" style="293" customWidth="1"/>
    <col min="763" max="765" width="0" style="293" hidden="1" customWidth="1"/>
    <col min="766" max="994" width="9.140625" style="293"/>
    <col min="995" max="995" width="3" style="293" customWidth="1"/>
    <col min="996" max="996" width="18.7109375" style="293" customWidth="1"/>
    <col min="997" max="1016" width="2.85546875" style="293" customWidth="1"/>
    <col min="1017" max="1017" width="3" style="293" bestFit="1" customWidth="1"/>
    <col min="1018" max="1018" width="10.5703125" style="293" customWidth="1"/>
    <col min="1019" max="1021" width="0" style="293" hidden="1" customWidth="1"/>
    <col min="1022" max="1250" width="9.140625" style="293"/>
    <col min="1251" max="1251" width="3" style="293" customWidth="1"/>
    <col min="1252" max="1252" width="18.7109375" style="293" customWidth="1"/>
    <col min="1253" max="1272" width="2.85546875" style="293" customWidth="1"/>
    <col min="1273" max="1273" width="3" style="293" bestFit="1" customWidth="1"/>
    <col min="1274" max="1274" width="10.5703125" style="293" customWidth="1"/>
    <col min="1275" max="1277" width="0" style="293" hidden="1" customWidth="1"/>
    <col min="1278" max="1506" width="9.140625" style="293"/>
    <col min="1507" max="1507" width="3" style="293" customWidth="1"/>
    <col min="1508" max="1508" width="18.7109375" style="293" customWidth="1"/>
    <col min="1509" max="1528" width="2.85546875" style="293" customWidth="1"/>
    <col min="1529" max="1529" width="3" style="293" bestFit="1" customWidth="1"/>
    <col min="1530" max="1530" width="10.5703125" style="293" customWidth="1"/>
    <col min="1531" max="1533" width="0" style="293" hidden="1" customWidth="1"/>
    <col min="1534" max="1762" width="9.140625" style="293"/>
    <col min="1763" max="1763" width="3" style="293" customWidth="1"/>
    <col min="1764" max="1764" width="18.7109375" style="293" customWidth="1"/>
    <col min="1765" max="1784" width="2.85546875" style="293" customWidth="1"/>
    <col min="1785" max="1785" width="3" style="293" bestFit="1" customWidth="1"/>
    <col min="1786" max="1786" width="10.5703125" style="293" customWidth="1"/>
    <col min="1787" max="1789" width="0" style="293" hidden="1" customWidth="1"/>
    <col min="1790" max="2018" width="9.140625" style="293"/>
    <col min="2019" max="2019" width="3" style="293" customWidth="1"/>
    <col min="2020" max="2020" width="18.7109375" style="293" customWidth="1"/>
    <col min="2021" max="2040" width="2.85546875" style="293" customWidth="1"/>
    <col min="2041" max="2041" width="3" style="293" bestFit="1" customWidth="1"/>
    <col min="2042" max="2042" width="10.5703125" style="293" customWidth="1"/>
    <col min="2043" max="2045" width="0" style="293" hidden="1" customWidth="1"/>
    <col min="2046" max="2274" width="9.140625" style="293"/>
    <col min="2275" max="2275" width="3" style="293" customWidth="1"/>
    <col min="2276" max="2276" width="18.7109375" style="293" customWidth="1"/>
    <col min="2277" max="2296" width="2.85546875" style="293" customWidth="1"/>
    <col min="2297" max="2297" width="3" style="293" bestFit="1" customWidth="1"/>
    <col min="2298" max="2298" width="10.5703125" style="293" customWidth="1"/>
    <col min="2299" max="2301" width="0" style="293" hidden="1" customWidth="1"/>
    <col min="2302" max="2530" width="9.140625" style="293"/>
    <col min="2531" max="2531" width="3" style="293" customWidth="1"/>
    <col min="2532" max="2532" width="18.7109375" style="293" customWidth="1"/>
    <col min="2533" max="2552" width="2.85546875" style="293" customWidth="1"/>
    <col min="2553" max="2553" width="3" style="293" bestFit="1" customWidth="1"/>
    <col min="2554" max="2554" width="10.5703125" style="293" customWidth="1"/>
    <col min="2555" max="2557" width="0" style="293" hidden="1" customWidth="1"/>
    <col min="2558" max="2786" width="9.140625" style="293"/>
    <col min="2787" max="2787" width="3" style="293" customWidth="1"/>
    <col min="2788" max="2788" width="18.7109375" style="293" customWidth="1"/>
    <col min="2789" max="2808" width="2.85546875" style="293" customWidth="1"/>
    <col min="2809" max="2809" width="3" style="293" bestFit="1" customWidth="1"/>
    <col min="2810" max="2810" width="10.5703125" style="293" customWidth="1"/>
    <col min="2811" max="2813" width="0" style="293" hidden="1" customWidth="1"/>
    <col min="2814" max="3042" width="9.140625" style="293"/>
    <col min="3043" max="3043" width="3" style="293" customWidth="1"/>
    <col min="3044" max="3044" width="18.7109375" style="293" customWidth="1"/>
    <col min="3045" max="3064" width="2.85546875" style="293" customWidth="1"/>
    <col min="3065" max="3065" width="3" style="293" bestFit="1" customWidth="1"/>
    <col min="3066" max="3066" width="10.5703125" style="293" customWidth="1"/>
    <col min="3067" max="3069" width="0" style="293" hidden="1" customWidth="1"/>
    <col min="3070" max="3298" width="9.140625" style="293"/>
    <col min="3299" max="3299" width="3" style="293" customWidth="1"/>
    <col min="3300" max="3300" width="18.7109375" style="293" customWidth="1"/>
    <col min="3301" max="3320" width="2.85546875" style="293" customWidth="1"/>
    <col min="3321" max="3321" width="3" style="293" bestFit="1" customWidth="1"/>
    <col min="3322" max="3322" width="10.5703125" style="293" customWidth="1"/>
    <col min="3323" max="3325" width="0" style="293" hidden="1" customWidth="1"/>
    <col min="3326" max="3554" width="9.140625" style="293"/>
    <col min="3555" max="3555" width="3" style="293" customWidth="1"/>
    <col min="3556" max="3556" width="18.7109375" style="293" customWidth="1"/>
    <col min="3557" max="3576" width="2.85546875" style="293" customWidth="1"/>
    <col min="3577" max="3577" width="3" style="293" bestFit="1" customWidth="1"/>
    <col min="3578" max="3578" width="10.5703125" style="293" customWidth="1"/>
    <col min="3579" max="3581" width="0" style="293" hidden="1" customWidth="1"/>
    <col min="3582" max="3810" width="9.140625" style="293"/>
    <col min="3811" max="3811" width="3" style="293" customWidth="1"/>
    <col min="3812" max="3812" width="18.7109375" style="293" customWidth="1"/>
    <col min="3813" max="3832" width="2.85546875" style="293" customWidth="1"/>
    <col min="3833" max="3833" width="3" style="293" bestFit="1" customWidth="1"/>
    <col min="3834" max="3834" width="10.5703125" style="293" customWidth="1"/>
    <col min="3835" max="3837" width="0" style="293" hidden="1" customWidth="1"/>
    <col min="3838" max="4066" width="9.140625" style="293"/>
    <col min="4067" max="4067" width="3" style="293" customWidth="1"/>
    <col min="4068" max="4068" width="18.7109375" style="293" customWidth="1"/>
    <col min="4069" max="4088" width="2.85546875" style="293" customWidth="1"/>
    <col min="4089" max="4089" width="3" style="293" bestFit="1" customWidth="1"/>
    <col min="4090" max="4090" width="10.5703125" style="293" customWidth="1"/>
    <col min="4091" max="4093" width="0" style="293" hidden="1" customWidth="1"/>
    <col min="4094" max="4322" width="9.140625" style="293"/>
    <col min="4323" max="4323" width="3" style="293" customWidth="1"/>
    <col min="4324" max="4324" width="18.7109375" style="293" customWidth="1"/>
    <col min="4325" max="4344" width="2.85546875" style="293" customWidth="1"/>
    <col min="4345" max="4345" width="3" style="293" bestFit="1" customWidth="1"/>
    <col min="4346" max="4346" width="10.5703125" style="293" customWidth="1"/>
    <col min="4347" max="4349" width="0" style="293" hidden="1" customWidth="1"/>
    <col min="4350" max="4578" width="9.140625" style="293"/>
    <col min="4579" max="4579" width="3" style="293" customWidth="1"/>
    <col min="4580" max="4580" width="18.7109375" style="293" customWidth="1"/>
    <col min="4581" max="4600" width="2.85546875" style="293" customWidth="1"/>
    <col min="4601" max="4601" width="3" style="293" bestFit="1" customWidth="1"/>
    <col min="4602" max="4602" width="10.5703125" style="293" customWidth="1"/>
    <col min="4603" max="4605" width="0" style="293" hidden="1" customWidth="1"/>
    <col min="4606" max="4834" width="9.140625" style="293"/>
    <col min="4835" max="4835" width="3" style="293" customWidth="1"/>
    <col min="4836" max="4836" width="18.7109375" style="293" customWidth="1"/>
    <col min="4837" max="4856" width="2.85546875" style="293" customWidth="1"/>
    <col min="4857" max="4857" width="3" style="293" bestFit="1" customWidth="1"/>
    <col min="4858" max="4858" width="10.5703125" style="293" customWidth="1"/>
    <col min="4859" max="4861" width="0" style="293" hidden="1" customWidth="1"/>
    <col min="4862" max="5090" width="9.140625" style="293"/>
    <col min="5091" max="5091" width="3" style="293" customWidth="1"/>
    <col min="5092" max="5092" width="18.7109375" style="293" customWidth="1"/>
    <col min="5093" max="5112" width="2.85546875" style="293" customWidth="1"/>
    <col min="5113" max="5113" width="3" style="293" bestFit="1" customWidth="1"/>
    <col min="5114" max="5114" width="10.5703125" style="293" customWidth="1"/>
    <col min="5115" max="5117" width="0" style="293" hidden="1" customWidth="1"/>
    <col min="5118" max="5346" width="9.140625" style="293"/>
    <col min="5347" max="5347" width="3" style="293" customWidth="1"/>
    <col min="5348" max="5348" width="18.7109375" style="293" customWidth="1"/>
    <col min="5349" max="5368" width="2.85546875" style="293" customWidth="1"/>
    <col min="5369" max="5369" width="3" style="293" bestFit="1" customWidth="1"/>
    <col min="5370" max="5370" width="10.5703125" style="293" customWidth="1"/>
    <col min="5371" max="5373" width="0" style="293" hidden="1" customWidth="1"/>
    <col min="5374" max="5602" width="9.140625" style="293"/>
    <col min="5603" max="5603" width="3" style="293" customWidth="1"/>
    <col min="5604" max="5604" width="18.7109375" style="293" customWidth="1"/>
    <col min="5605" max="5624" width="2.85546875" style="293" customWidth="1"/>
    <col min="5625" max="5625" width="3" style="293" bestFit="1" customWidth="1"/>
    <col min="5626" max="5626" width="10.5703125" style="293" customWidth="1"/>
    <col min="5627" max="5629" width="0" style="293" hidden="1" customWidth="1"/>
    <col min="5630" max="5858" width="9.140625" style="293"/>
    <col min="5859" max="5859" width="3" style="293" customWidth="1"/>
    <col min="5860" max="5860" width="18.7109375" style="293" customWidth="1"/>
    <col min="5861" max="5880" width="2.85546875" style="293" customWidth="1"/>
    <col min="5881" max="5881" width="3" style="293" bestFit="1" customWidth="1"/>
    <col min="5882" max="5882" width="10.5703125" style="293" customWidth="1"/>
    <col min="5883" max="5885" width="0" style="293" hidden="1" customWidth="1"/>
    <col min="5886" max="6114" width="9.140625" style="293"/>
    <col min="6115" max="6115" width="3" style="293" customWidth="1"/>
    <col min="6116" max="6116" width="18.7109375" style="293" customWidth="1"/>
    <col min="6117" max="6136" width="2.85546875" style="293" customWidth="1"/>
    <col min="6137" max="6137" width="3" style="293" bestFit="1" customWidth="1"/>
    <col min="6138" max="6138" width="10.5703125" style="293" customWidth="1"/>
    <col min="6139" max="6141" width="0" style="293" hidden="1" customWidth="1"/>
    <col min="6142" max="6370" width="9.140625" style="293"/>
    <col min="6371" max="6371" width="3" style="293" customWidth="1"/>
    <col min="6372" max="6372" width="18.7109375" style="293" customWidth="1"/>
    <col min="6373" max="6392" width="2.85546875" style="293" customWidth="1"/>
    <col min="6393" max="6393" width="3" style="293" bestFit="1" customWidth="1"/>
    <col min="6394" max="6394" width="10.5703125" style="293" customWidth="1"/>
    <col min="6395" max="6397" width="0" style="293" hidden="1" customWidth="1"/>
    <col min="6398" max="6626" width="9.140625" style="293"/>
    <col min="6627" max="6627" width="3" style="293" customWidth="1"/>
    <col min="6628" max="6628" width="18.7109375" style="293" customWidth="1"/>
    <col min="6629" max="6648" width="2.85546875" style="293" customWidth="1"/>
    <col min="6649" max="6649" width="3" style="293" bestFit="1" customWidth="1"/>
    <col min="6650" max="6650" width="10.5703125" style="293" customWidth="1"/>
    <col min="6651" max="6653" width="0" style="293" hidden="1" customWidth="1"/>
    <col min="6654" max="6882" width="9.140625" style="293"/>
    <col min="6883" max="6883" width="3" style="293" customWidth="1"/>
    <col min="6884" max="6884" width="18.7109375" style="293" customWidth="1"/>
    <col min="6885" max="6904" width="2.85546875" style="293" customWidth="1"/>
    <col min="6905" max="6905" width="3" style="293" bestFit="1" customWidth="1"/>
    <col min="6906" max="6906" width="10.5703125" style="293" customWidth="1"/>
    <col min="6907" max="6909" width="0" style="293" hidden="1" customWidth="1"/>
    <col min="6910" max="7138" width="9.140625" style="293"/>
    <col min="7139" max="7139" width="3" style="293" customWidth="1"/>
    <col min="7140" max="7140" width="18.7109375" style="293" customWidth="1"/>
    <col min="7141" max="7160" width="2.85546875" style="293" customWidth="1"/>
    <col min="7161" max="7161" width="3" style="293" bestFit="1" customWidth="1"/>
    <col min="7162" max="7162" width="10.5703125" style="293" customWidth="1"/>
    <col min="7163" max="7165" width="0" style="293" hidden="1" customWidth="1"/>
    <col min="7166" max="7394" width="9.140625" style="293"/>
    <col min="7395" max="7395" width="3" style="293" customWidth="1"/>
    <col min="7396" max="7396" width="18.7109375" style="293" customWidth="1"/>
    <col min="7397" max="7416" width="2.85546875" style="293" customWidth="1"/>
    <col min="7417" max="7417" width="3" style="293" bestFit="1" customWidth="1"/>
    <col min="7418" max="7418" width="10.5703125" style="293" customWidth="1"/>
    <col min="7419" max="7421" width="0" style="293" hidden="1" customWidth="1"/>
    <col min="7422" max="7650" width="9.140625" style="293"/>
    <col min="7651" max="7651" width="3" style="293" customWidth="1"/>
    <col min="7652" max="7652" width="18.7109375" style="293" customWidth="1"/>
    <col min="7653" max="7672" width="2.85546875" style="293" customWidth="1"/>
    <col min="7673" max="7673" width="3" style="293" bestFit="1" customWidth="1"/>
    <col min="7674" max="7674" width="10.5703125" style="293" customWidth="1"/>
    <col min="7675" max="7677" width="0" style="293" hidden="1" customWidth="1"/>
    <col min="7678" max="7906" width="9.140625" style="293"/>
    <col min="7907" max="7907" width="3" style="293" customWidth="1"/>
    <col min="7908" max="7908" width="18.7109375" style="293" customWidth="1"/>
    <col min="7909" max="7928" width="2.85546875" style="293" customWidth="1"/>
    <col min="7929" max="7929" width="3" style="293" bestFit="1" customWidth="1"/>
    <col min="7930" max="7930" width="10.5703125" style="293" customWidth="1"/>
    <col min="7931" max="7933" width="0" style="293" hidden="1" customWidth="1"/>
    <col min="7934" max="8162" width="9.140625" style="293"/>
    <col min="8163" max="8163" width="3" style="293" customWidth="1"/>
    <col min="8164" max="8164" width="18.7109375" style="293" customWidth="1"/>
    <col min="8165" max="8184" width="2.85546875" style="293" customWidth="1"/>
    <col min="8185" max="8185" width="3" style="293" bestFit="1" customWidth="1"/>
    <col min="8186" max="8186" width="10.5703125" style="293" customWidth="1"/>
    <col min="8187" max="8189" width="0" style="293" hidden="1" customWidth="1"/>
    <col min="8190" max="8418" width="9.140625" style="293"/>
    <col min="8419" max="8419" width="3" style="293" customWidth="1"/>
    <col min="8420" max="8420" width="18.7109375" style="293" customWidth="1"/>
    <col min="8421" max="8440" width="2.85546875" style="293" customWidth="1"/>
    <col min="8441" max="8441" width="3" style="293" bestFit="1" customWidth="1"/>
    <col min="8442" max="8442" width="10.5703125" style="293" customWidth="1"/>
    <col min="8443" max="8445" width="0" style="293" hidden="1" customWidth="1"/>
    <col min="8446" max="8674" width="9.140625" style="293"/>
    <col min="8675" max="8675" width="3" style="293" customWidth="1"/>
    <col min="8676" max="8676" width="18.7109375" style="293" customWidth="1"/>
    <col min="8677" max="8696" width="2.85546875" style="293" customWidth="1"/>
    <col min="8697" max="8697" width="3" style="293" bestFit="1" customWidth="1"/>
    <col min="8698" max="8698" width="10.5703125" style="293" customWidth="1"/>
    <col min="8699" max="8701" width="0" style="293" hidden="1" customWidth="1"/>
    <col min="8702" max="8930" width="9.140625" style="293"/>
    <col min="8931" max="8931" width="3" style="293" customWidth="1"/>
    <col min="8932" max="8932" width="18.7109375" style="293" customWidth="1"/>
    <col min="8933" max="8952" width="2.85546875" style="293" customWidth="1"/>
    <col min="8953" max="8953" width="3" style="293" bestFit="1" customWidth="1"/>
    <col min="8954" max="8954" width="10.5703125" style="293" customWidth="1"/>
    <col min="8955" max="8957" width="0" style="293" hidden="1" customWidth="1"/>
    <col min="8958" max="9186" width="9.140625" style="293"/>
    <col min="9187" max="9187" width="3" style="293" customWidth="1"/>
    <col min="9188" max="9188" width="18.7109375" style="293" customWidth="1"/>
    <col min="9189" max="9208" width="2.85546875" style="293" customWidth="1"/>
    <col min="9209" max="9209" width="3" style="293" bestFit="1" customWidth="1"/>
    <col min="9210" max="9210" width="10.5703125" style="293" customWidth="1"/>
    <col min="9211" max="9213" width="0" style="293" hidden="1" customWidth="1"/>
    <col min="9214" max="9442" width="9.140625" style="293"/>
    <col min="9443" max="9443" width="3" style="293" customWidth="1"/>
    <col min="9444" max="9444" width="18.7109375" style="293" customWidth="1"/>
    <col min="9445" max="9464" width="2.85546875" style="293" customWidth="1"/>
    <col min="9465" max="9465" width="3" style="293" bestFit="1" customWidth="1"/>
    <col min="9466" max="9466" width="10.5703125" style="293" customWidth="1"/>
    <col min="9467" max="9469" width="0" style="293" hidden="1" customWidth="1"/>
    <col min="9470" max="9698" width="9.140625" style="293"/>
    <col min="9699" max="9699" width="3" style="293" customWidth="1"/>
    <col min="9700" max="9700" width="18.7109375" style="293" customWidth="1"/>
    <col min="9701" max="9720" width="2.85546875" style="293" customWidth="1"/>
    <col min="9721" max="9721" width="3" style="293" bestFit="1" customWidth="1"/>
    <col min="9722" max="9722" width="10.5703125" style="293" customWidth="1"/>
    <col min="9723" max="9725" width="0" style="293" hidden="1" customWidth="1"/>
    <col min="9726" max="9954" width="9.140625" style="293"/>
    <col min="9955" max="9955" width="3" style="293" customWidth="1"/>
    <col min="9956" max="9956" width="18.7109375" style="293" customWidth="1"/>
    <col min="9957" max="9976" width="2.85546875" style="293" customWidth="1"/>
    <col min="9977" max="9977" width="3" style="293" bestFit="1" customWidth="1"/>
    <col min="9978" max="9978" width="10.5703125" style="293" customWidth="1"/>
    <col min="9979" max="9981" width="0" style="293" hidden="1" customWidth="1"/>
    <col min="9982" max="10210" width="9.140625" style="293"/>
    <col min="10211" max="10211" width="3" style="293" customWidth="1"/>
    <col min="10212" max="10212" width="18.7109375" style="293" customWidth="1"/>
    <col min="10213" max="10232" width="2.85546875" style="293" customWidth="1"/>
    <col min="10233" max="10233" width="3" style="293" bestFit="1" customWidth="1"/>
    <col min="10234" max="10234" width="10.5703125" style="293" customWidth="1"/>
    <col min="10235" max="10237" width="0" style="293" hidden="1" customWidth="1"/>
    <col min="10238" max="10466" width="9.140625" style="293"/>
    <col min="10467" max="10467" width="3" style="293" customWidth="1"/>
    <col min="10468" max="10468" width="18.7109375" style="293" customWidth="1"/>
    <col min="10469" max="10488" width="2.85546875" style="293" customWidth="1"/>
    <col min="10489" max="10489" width="3" style="293" bestFit="1" customWidth="1"/>
    <col min="10490" max="10490" width="10.5703125" style="293" customWidth="1"/>
    <col min="10491" max="10493" width="0" style="293" hidden="1" customWidth="1"/>
    <col min="10494" max="10722" width="9.140625" style="293"/>
    <col min="10723" max="10723" width="3" style="293" customWidth="1"/>
    <col min="10724" max="10724" width="18.7109375" style="293" customWidth="1"/>
    <col min="10725" max="10744" width="2.85546875" style="293" customWidth="1"/>
    <col min="10745" max="10745" width="3" style="293" bestFit="1" customWidth="1"/>
    <col min="10746" max="10746" width="10.5703125" style="293" customWidth="1"/>
    <col min="10747" max="10749" width="0" style="293" hidden="1" customWidth="1"/>
    <col min="10750" max="10978" width="9.140625" style="293"/>
    <col min="10979" max="10979" width="3" style="293" customWidth="1"/>
    <col min="10980" max="10980" width="18.7109375" style="293" customWidth="1"/>
    <col min="10981" max="11000" width="2.85546875" style="293" customWidth="1"/>
    <col min="11001" max="11001" width="3" style="293" bestFit="1" customWidth="1"/>
    <col min="11002" max="11002" width="10.5703125" style="293" customWidth="1"/>
    <col min="11003" max="11005" width="0" style="293" hidden="1" customWidth="1"/>
    <col min="11006" max="11234" width="9.140625" style="293"/>
    <col min="11235" max="11235" width="3" style="293" customWidth="1"/>
    <col min="11236" max="11236" width="18.7109375" style="293" customWidth="1"/>
    <col min="11237" max="11256" width="2.85546875" style="293" customWidth="1"/>
    <col min="11257" max="11257" width="3" style="293" bestFit="1" customWidth="1"/>
    <col min="11258" max="11258" width="10.5703125" style="293" customWidth="1"/>
    <col min="11259" max="11261" width="0" style="293" hidden="1" customWidth="1"/>
    <col min="11262" max="11490" width="9.140625" style="293"/>
    <col min="11491" max="11491" width="3" style="293" customWidth="1"/>
    <col min="11492" max="11492" width="18.7109375" style="293" customWidth="1"/>
    <col min="11493" max="11512" width="2.85546875" style="293" customWidth="1"/>
    <col min="11513" max="11513" width="3" style="293" bestFit="1" customWidth="1"/>
    <col min="11514" max="11514" width="10.5703125" style="293" customWidth="1"/>
    <col min="11515" max="11517" width="0" style="293" hidden="1" customWidth="1"/>
    <col min="11518" max="11746" width="9.140625" style="293"/>
    <col min="11747" max="11747" width="3" style="293" customWidth="1"/>
    <col min="11748" max="11748" width="18.7109375" style="293" customWidth="1"/>
    <col min="11749" max="11768" width="2.85546875" style="293" customWidth="1"/>
    <col min="11769" max="11769" width="3" style="293" bestFit="1" customWidth="1"/>
    <col min="11770" max="11770" width="10.5703125" style="293" customWidth="1"/>
    <col min="11771" max="11773" width="0" style="293" hidden="1" customWidth="1"/>
    <col min="11774" max="12002" width="9.140625" style="293"/>
    <col min="12003" max="12003" width="3" style="293" customWidth="1"/>
    <col min="12004" max="12004" width="18.7109375" style="293" customWidth="1"/>
    <col min="12005" max="12024" width="2.85546875" style="293" customWidth="1"/>
    <col min="12025" max="12025" width="3" style="293" bestFit="1" customWidth="1"/>
    <col min="12026" max="12026" width="10.5703125" style="293" customWidth="1"/>
    <col min="12027" max="12029" width="0" style="293" hidden="1" customWidth="1"/>
    <col min="12030" max="12258" width="9.140625" style="293"/>
    <col min="12259" max="12259" width="3" style="293" customWidth="1"/>
    <col min="12260" max="12260" width="18.7109375" style="293" customWidth="1"/>
    <col min="12261" max="12280" width="2.85546875" style="293" customWidth="1"/>
    <col min="12281" max="12281" width="3" style="293" bestFit="1" customWidth="1"/>
    <col min="12282" max="12282" width="10.5703125" style="293" customWidth="1"/>
    <col min="12283" max="12285" width="0" style="293" hidden="1" customWidth="1"/>
    <col min="12286" max="12514" width="9.140625" style="293"/>
    <col min="12515" max="12515" width="3" style="293" customWidth="1"/>
    <col min="12516" max="12516" width="18.7109375" style="293" customWidth="1"/>
    <col min="12517" max="12536" width="2.85546875" style="293" customWidth="1"/>
    <col min="12537" max="12537" width="3" style="293" bestFit="1" customWidth="1"/>
    <col min="12538" max="12538" width="10.5703125" style="293" customWidth="1"/>
    <col min="12539" max="12541" width="0" style="293" hidden="1" customWidth="1"/>
    <col min="12542" max="12770" width="9.140625" style="293"/>
    <col min="12771" max="12771" width="3" style="293" customWidth="1"/>
    <col min="12772" max="12772" width="18.7109375" style="293" customWidth="1"/>
    <col min="12773" max="12792" width="2.85546875" style="293" customWidth="1"/>
    <col min="12793" max="12793" width="3" style="293" bestFit="1" customWidth="1"/>
    <col min="12794" max="12794" width="10.5703125" style="293" customWidth="1"/>
    <col min="12795" max="12797" width="0" style="293" hidden="1" customWidth="1"/>
    <col min="12798" max="13026" width="9.140625" style="293"/>
    <col min="13027" max="13027" width="3" style="293" customWidth="1"/>
    <col min="13028" max="13028" width="18.7109375" style="293" customWidth="1"/>
    <col min="13029" max="13048" width="2.85546875" style="293" customWidth="1"/>
    <col min="13049" max="13049" width="3" style="293" bestFit="1" customWidth="1"/>
    <col min="13050" max="13050" width="10.5703125" style="293" customWidth="1"/>
    <col min="13051" max="13053" width="0" style="293" hidden="1" customWidth="1"/>
    <col min="13054" max="13282" width="9.140625" style="293"/>
    <col min="13283" max="13283" width="3" style="293" customWidth="1"/>
    <col min="13284" max="13284" width="18.7109375" style="293" customWidth="1"/>
    <col min="13285" max="13304" width="2.85546875" style="293" customWidth="1"/>
    <col min="13305" max="13305" width="3" style="293" bestFit="1" customWidth="1"/>
    <col min="13306" max="13306" width="10.5703125" style="293" customWidth="1"/>
    <col min="13307" max="13309" width="0" style="293" hidden="1" customWidth="1"/>
    <col min="13310" max="13538" width="9.140625" style="293"/>
    <col min="13539" max="13539" width="3" style="293" customWidth="1"/>
    <col min="13540" max="13540" width="18.7109375" style="293" customWidth="1"/>
    <col min="13541" max="13560" width="2.85546875" style="293" customWidth="1"/>
    <col min="13561" max="13561" width="3" style="293" bestFit="1" customWidth="1"/>
    <col min="13562" max="13562" width="10.5703125" style="293" customWidth="1"/>
    <col min="13563" max="13565" width="0" style="293" hidden="1" customWidth="1"/>
    <col min="13566" max="13794" width="9.140625" style="293"/>
    <col min="13795" max="13795" width="3" style="293" customWidth="1"/>
    <col min="13796" max="13796" width="18.7109375" style="293" customWidth="1"/>
    <col min="13797" max="13816" width="2.85546875" style="293" customWidth="1"/>
    <col min="13817" max="13817" width="3" style="293" bestFit="1" customWidth="1"/>
    <col min="13818" max="13818" width="10.5703125" style="293" customWidth="1"/>
    <col min="13819" max="13821" width="0" style="293" hidden="1" customWidth="1"/>
    <col min="13822" max="14050" width="9.140625" style="293"/>
    <col min="14051" max="14051" width="3" style="293" customWidth="1"/>
    <col min="14052" max="14052" width="18.7109375" style="293" customWidth="1"/>
    <col min="14053" max="14072" width="2.85546875" style="293" customWidth="1"/>
    <col min="14073" max="14073" width="3" style="293" bestFit="1" customWidth="1"/>
    <col min="14074" max="14074" width="10.5703125" style="293" customWidth="1"/>
    <col min="14075" max="14077" width="0" style="293" hidden="1" customWidth="1"/>
    <col min="14078" max="14306" width="9.140625" style="293"/>
    <col min="14307" max="14307" width="3" style="293" customWidth="1"/>
    <col min="14308" max="14308" width="18.7109375" style="293" customWidth="1"/>
    <col min="14309" max="14328" width="2.85546875" style="293" customWidth="1"/>
    <col min="14329" max="14329" width="3" style="293" bestFit="1" customWidth="1"/>
    <col min="14330" max="14330" width="10.5703125" style="293" customWidth="1"/>
    <col min="14331" max="14333" width="0" style="293" hidden="1" customWidth="1"/>
    <col min="14334" max="14562" width="9.140625" style="293"/>
    <col min="14563" max="14563" width="3" style="293" customWidth="1"/>
    <col min="14564" max="14564" width="18.7109375" style="293" customWidth="1"/>
    <col min="14565" max="14584" width="2.85546875" style="293" customWidth="1"/>
    <col min="14585" max="14585" width="3" style="293" bestFit="1" customWidth="1"/>
    <col min="14586" max="14586" width="10.5703125" style="293" customWidth="1"/>
    <col min="14587" max="14589" width="0" style="293" hidden="1" customWidth="1"/>
    <col min="14590" max="14818" width="9.140625" style="293"/>
    <col min="14819" max="14819" width="3" style="293" customWidth="1"/>
    <col min="14820" max="14820" width="18.7109375" style="293" customWidth="1"/>
    <col min="14821" max="14840" width="2.85546875" style="293" customWidth="1"/>
    <col min="14841" max="14841" width="3" style="293" bestFit="1" customWidth="1"/>
    <col min="14842" max="14842" width="10.5703125" style="293" customWidth="1"/>
    <col min="14843" max="14845" width="0" style="293" hidden="1" customWidth="1"/>
    <col min="14846" max="15074" width="9.140625" style="293"/>
    <col min="15075" max="15075" width="3" style="293" customWidth="1"/>
    <col min="15076" max="15076" width="18.7109375" style="293" customWidth="1"/>
    <col min="15077" max="15096" width="2.85546875" style="293" customWidth="1"/>
    <col min="15097" max="15097" width="3" style="293" bestFit="1" customWidth="1"/>
    <col min="15098" max="15098" width="10.5703125" style="293" customWidth="1"/>
    <col min="15099" max="15101" width="0" style="293" hidden="1" customWidth="1"/>
    <col min="15102" max="15330" width="9.140625" style="293"/>
    <col min="15331" max="15331" width="3" style="293" customWidth="1"/>
    <col min="15332" max="15332" width="18.7109375" style="293" customWidth="1"/>
    <col min="15333" max="15352" width="2.85546875" style="293" customWidth="1"/>
    <col min="15353" max="15353" width="3" style="293" bestFit="1" customWidth="1"/>
    <col min="15354" max="15354" width="10.5703125" style="293" customWidth="1"/>
    <col min="15355" max="15357" width="0" style="293" hidden="1" customWidth="1"/>
    <col min="15358" max="15586" width="9.140625" style="293"/>
    <col min="15587" max="15587" width="3" style="293" customWidth="1"/>
    <col min="15588" max="15588" width="18.7109375" style="293" customWidth="1"/>
    <col min="15589" max="15608" width="2.85546875" style="293" customWidth="1"/>
    <col min="15609" max="15609" width="3" style="293" bestFit="1" customWidth="1"/>
    <col min="15610" max="15610" width="10.5703125" style="293" customWidth="1"/>
    <col min="15611" max="15613" width="0" style="293" hidden="1" customWidth="1"/>
    <col min="15614" max="15842" width="9.140625" style="293"/>
    <col min="15843" max="15843" width="3" style="293" customWidth="1"/>
    <col min="15844" max="15844" width="18.7109375" style="293" customWidth="1"/>
    <col min="15845" max="15864" width="2.85546875" style="293" customWidth="1"/>
    <col min="15865" max="15865" width="3" style="293" bestFit="1" customWidth="1"/>
    <col min="15866" max="15866" width="10.5703125" style="293" customWidth="1"/>
    <col min="15867" max="15869" width="0" style="293" hidden="1" customWidth="1"/>
    <col min="15870" max="16098" width="9.140625" style="293"/>
    <col min="16099" max="16099" width="3" style="293" customWidth="1"/>
    <col min="16100" max="16100" width="18.7109375" style="293" customWidth="1"/>
    <col min="16101" max="16120" width="2.85546875" style="293" customWidth="1"/>
    <col min="16121" max="16121" width="3" style="293" bestFit="1" customWidth="1"/>
    <col min="16122" max="16122" width="10.5703125" style="293" customWidth="1"/>
    <col min="16123" max="16125" width="0" style="293" hidden="1" customWidth="1"/>
    <col min="16126" max="16384" width="9.140625" style="293"/>
  </cols>
  <sheetData>
    <row r="1" spans="1:25" s="83" customFormat="1" x14ac:dyDescent="0.2">
      <c r="A1" s="138" t="str">
        <f>UPPER((Kalend!D18)&amp;" - "&amp;(Kalend!C18)&amp;" - "&amp;(Kalend!E18))</f>
        <v>5 - EESTI SISE-MV - TULISTAMINE</v>
      </c>
      <c r="B1" s="34"/>
      <c r="C1" s="34"/>
      <c r="D1" s="34"/>
      <c r="E1" s="34"/>
      <c r="R1" s="34"/>
      <c r="S1" s="61" t="str">
        <f>HYPERLINK("#'Üldreiting'!T1","Reiting")</f>
        <v>Reiting</v>
      </c>
      <c r="T1" s="34"/>
      <c r="U1" s="34"/>
    </row>
    <row r="2" spans="1:25" s="83" customFormat="1" x14ac:dyDescent="0.2">
      <c r="A2" s="148" t="str">
        <f>"Toimumisaeg: "&amp;(Kalend!A18)&amp;" kell "&amp;(Kalend!B18)</f>
        <v>Toimumisaeg: P, 08.01.2017 kell 10:00</v>
      </c>
      <c r="B2" s="34"/>
      <c r="C2" s="34"/>
      <c r="D2" s="34"/>
      <c r="E2" s="34"/>
      <c r="O2" s="34"/>
      <c r="P2" s="34"/>
      <c r="Q2" s="34"/>
      <c r="R2" s="34"/>
      <c r="S2" s="34"/>
      <c r="T2" s="34"/>
    </row>
    <row r="3" spans="1:25" s="83" customFormat="1" x14ac:dyDescent="0.2">
      <c r="A3" s="148" t="str">
        <f>"Toimumiskoht: "&amp;(Kalend!F18)</f>
        <v>Toimumiskoht: Tallinn, Algi 38</v>
      </c>
      <c r="B3" s="34"/>
      <c r="C3" s="34"/>
      <c r="D3" s="34"/>
      <c r="E3" s="34"/>
      <c r="O3" s="34"/>
      <c r="P3" s="34"/>
      <c r="Q3" s="34"/>
      <c r="R3" s="34"/>
      <c r="S3" s="34"/>
      <c r="T3" s="34"/>
    </row>
    <row r="4" spans="1:25" s="83" customFormat="1" x14ac:dyDescent="0.2">
      <c r="A4" s="148" t="str">
        <f>"Korraldaja: "&amp;(Kalend!G18)</f>
        <v>Korraldaja: EPKL</v>
      </c>
      <c r="B4" s="34"/>
      <c r="C4" s="34"/>
      <c r="D4" s="34"/>
      <c r="E4" s="34"/>
      <c r="O4" s="34"/>
      <c r="P4" s="34"/>
      <c r="Q4" s="34"/>
      <c r="R4" s="34"/>
      <c r="S4" s="34"/>
      <c r="T4" s="34"/>
    </row>
    <row r="5" spans="1:25" s="83" customFormat="1" ht="13.5" thickBot="1" x14ac:dyDescent="0.25">
      <c r="A5" s="34"/>
      <c r="B5" s="34"/>
      <c r="C5" s="34"/>
      <c r="D5" s="34"/>
      <c r="E5" s="34"/>
      <c r="F5" s="34"/>
      <c r="G5" s="34"/>
      <c r="H5" s="34"/>
      <c r="I5" s="34"/>
      <c r="J5" s="34"/>
      <c r="K5" s="34"/>
    </row>
    <row r="6" spans="1:25" ht="58.5" customHeight="1" thickBot="1" x14ac:dyDescent="0.25">
      <c r="A6" s="287"/>
      <c r="B6" s="288"/>
      <c r="C6" s="289"/>
      <c r="D6" s="289"/>
      <c r="E6" s="289"/>
      <c r="F6" s="289"/>
      <c r="G6" s="290"/>
      <c r="H6" s="289"/>
      <c r="I6" s="289"/>
      <c r="J6" s="291"/>
      <c r="K6" s="289"/>
      <c r="L6" s="289"/>
      <c r="M6" s="289"/>
      <c r="N6" s="289"/>
      <c r="O6" s="290"/>
      <c r="P6" s="289"/>
      <c r="Q6" s="289"/>
      <c r="R6" s="291"/>
      <c r="S6" s="289"/>
      <c r="T6" s="289"/>
      <c r="U6" s="289"/>
      <c r="V6" s="289"/>
      <c r="W6" s="292"/>
      <c r="X6" s="292"/>
      <c r="Y6" s="524" t="s">
        <v>476</v>
      </c>
    </row>
    <row r="7" spans="1:25" s="300" customFormat="1" ht="13.5" thickBot="1" x14ac:dyDescent="0.25">
      <c r="A7" s="460"/>
      <c r="B7" s="294"/>
      <c r="C7" s="295">
        <v>6</v>
      </c>
      <c r="D7" s="296">
        <v>7</v>
      </c>
      <c r="E7" s="296">
        <v>8</v>
      </c>
      <c r="F7" s="297">
        <v>9</v>
      </c>
      <c r="G7" s="295">
        <v>6</v>
      </c>
      <c r="H7" s="296">
        <v>7</v>
      </c>
      <c r="I7" s="296">
        <v>8</v>
      </c>
      <c r="J7" s="297">
        <v>9</v>
      </c>
      <c r="K7" s="295">
        <v>6</v>
      </c>
      <c r="L7" s="296">
        <v>7</v>
      </c>
      <c r="M7" s="296">
        <v>8</v>
      </c>
      <c r="N7" s="297">
        <v>9</v>
      </c>
      <c r="O7" s="295">
        <v>6</v>
      </c>
      <c r="P7" s="296">
        <v>7</v>
      </c>
      <c r="Q7" s="296">
        <v>8</v>
      </c>
      <c r="R7" s="297">
        <v>9</v>
      </c>
      <c r="S7" s="295">
        <v>6</v>
      </c>
      <c r="T7" s="296">
        <v>7</v>
      </c>
      <c r="U7" s="296">
        <v>8</v>
      </c>
      <c r="V7" s="297">
        <v>9</v>
      </c>
      <c r="W7" s="554" t="s">
        <v>110</v>
      </c>
      <c r="X7" s="299" t="s">
        <v>376</v>
      </c>
      <c r="Y7" s="299" t="s">
        <v>444</v>
      </c>
    </row>
    <row r="8" spans="1:25" x14ac:dyDescent="0.2">
      <c r="A8" s="459" t="s">
        <v>475</v>
      </c>
      <c r="B8" s="302" t="s">
        <v>377</v>
      </c>
      <c r="C8" s="303"/>
      <c r="D8" s="304"/>
      <c r="E8" s="304"/>
      <c r="F8" s="305"/>
      <c r="G8" s="303"/>
      <c r="H8" s="304"/>
      <c r="I8" s="304"/>
      <c r="J8" s="305"/>
      <c r="K8" s="303"/>
      <c r="L8" s="304"/>
      <c r="M8" s="304"/>
      <c r="N8" s="305"/>
      <c r="O8" s="303"/>
      <c r="P8" s="304"/>
      <c r="Q8" s="304"/>
      <c r="R8" s="305"/>
      <c r="S8" s="303"/>
      <c r="T8" s="304"/>
      <c r="U8" s="304"/>
      <c r="V8" s="305"/>
      <c r="W8" s="555"/>
      <c r="X8" s="306"/>
      <c r="Y8" s="439"/>
    </row>
    <row r="9" spans="1:25" x14ac:dyDescent="0.2">
      <c r="A9" s="393">
        <v>1</v>
      </c>
      <c r="B9" s="394" t="s">
        <v>439</v>
      </c>
      <c r="C9" s="395">
        <v>3</v>
      </c>
      <c r="D9" s="396">
        <v>3</v>
      </c>
      <c r="E9" s="396">
        <v>0</v>
      </c>
      <c r="F9" s="397">
        <v>3</v>
      </c>
      <c r="G9" s="395">
        <v>0</v>
      </c>
      <c r="H9" s="396">
        <v>0</v>
      </c>
      <c r="I9" s="396">
        <v>0</v>
      </c>
      <c r="J9" s="397">
        <v>3</v>
      </c>
      <c r="K9" s="395">
        <v>1</v>
      </c>
      <c r="L9" s="396">
        <v>5</v>
      </c>
      <c r="M9" s="396">
        <v>3</v>
      </c>
      <c r="N9" s="397">
        <v>1</v>
      </c>
      <c r="O9" s="395">
        <v>1</v>
      </c>
      <c r="P9" s="396">
        <v>3</v>
      </c>
      <c r="Q9" s="396">
        <v>0</v>
      </c>
      <c r="R9" s="397">
        <v>0</v>
      </c>
      <c r="S9" s="395">
        <v>5</v>
      </c>
      <c r="T9" s="396">
        <v>3</v>
      </c>
      <c r="U9" s="396">
        <v>5</v>
      </c>
      <c r="V9" s="397">
        <v>5</v>
      </c>
      <c r="W9" s="556">
        <f>SUM(C9:V9)+COUNTIF(C9:V9,5)/100+COUNTIF(C9:V9,3)/10000</f>
        <v>44.040700000000001</v>
      </c>
      <c r="X9" s="398" t="str">
        <f>IF(COUNTA(C9:V9)=0,"",IF(RANK(W9,W$9:W$38)&lt;5,"edasi "&amp;RANK(W9,W$9:W$38),IF(RANK(W9,W$9:W$38)&lt;17,"vahevooru "&amp;RANK(W9,W$9:W$38)-4,RANK(W9,W$9:W$38))))</f>
        <v>edasi 1</v>
      </c>
    </row>
    <row r="10" spans="1:25" x14ac:dyDescent="0.2">
      <c r="A10" s="393">
        <v>2</v>
      </c>
      <c r="B10" s="429" t="s">
        <v>438</v>
      </c>
      <c r="C10" s="395">
        <v>0</v>
      </c>
      <c r="D10" s="396">
        <v>0</v>
      </c>
      <c r="E10" s="396">
        <v>0</v>
      </c>
      <c r="F10" s="397">
        <v>5</v>
      </c>
      <c r="G10" s="395">
        <v>1</v>
      </c>
      <c r="H10" s="396">
        <v>0</v>
      </c>
      <c r="I10" s="396">
        <v>3</v>
      </c>
      <c r="J10" s="397">
        <v>0</v>
      </c>
      <c r="K10" s="395">
        <v>1</v>
      </c>
      <c r="L10" s="396">
        <v>0</v>
      </c>
      <c r="M10" s="396">
        <v>0</v>
      </c>
      <c r="N10" s="397">
        <v>0</v>
      </c>
      <c r="O10" s="395">
        <v>0</v>
      </c>
      <c r="P10" s="396">
        <v>0</v>
      </c>
      <c r="Q10" s="396">
        <v>3</v>
      </c>
      <c r="R10" s="397">
        <v>0</v>
      </c>
      <c r="S10" s="395">
        <v>0</v>
      </c>
      <c r="T10" s="396">
        <v>5</v>
      </c>
      <c r="U10" s="396">
        <v>0</v>
      </c>
      <c r="V10" s="397">
        <v>3</v>
      </c>
      <c r="W10" s="556">
        <f t="shared" ref="W10:W38" si="0">SUM(C10:V10)+COUNTIF(C10:V10,5)/100+COUNTIF(C10:V10,3)/10000</f>
        <v>21.020299999999999</v>
      </c>
      <c r="X10" s="398" t="str">
        <f t="shared" ref="X10:X38" si="1">IF(COUNTA(C10:V10)=0,"",IF(RANK(W10,W$9:W$38)&lt;5,"edasi "&amp;RANK(W10,W$9:W$38),IF(RANK(W10,W$9:W$38)&lt;17,"vahevooru "&amp;RANK(W10,W$9:W$38)-4,RANK(W10,W$9:W$38))))</f>
        <v>vahevooru 8</v>
      </c>
    </row>
    <row r="11" spans="1:25" x14ac:dyDescent="0.2">
      <c r="A11" s="308">
        <v>3</v>
      </c>
      <c r="B11" s="430" t="s">
        <v>437</v>
      </c>
      <c r="C11" s="310">
        <v>3</v>
      </c>
      <c r="D11" s="311">
        <v>0</v>
      </c>
      <c r="E11" s="311">
        <v>0</v>
      </c>
      <c r="F11" s="312">
        <v>0</v>
      </c>
      <c r="G11" s="310">
        <v>0</v>
      </c>
      <c r="H11" s="311">
        <v>0</v>
      </c>
      <c r="I11" s="311">
        <v>3</v>
      </c>
      <c r="J11" s="312">
        <v>0</v>
      </c>
      <c r="K11" s="310">
        <v>0</v>
      </c>
      <c r="L11" s="311">
        <v>3</v>
      </c>
      <c r="M11" s="311">
        <v>0</v>
      </c>
      <c r="N11" s="312">
        <v>0</v>
      </c>
      <c r="O11" s="310">
        <v>0</v>
      </c>
      <c r="P11" s="311">
        <v>0</v>
      </c>
      <c r="Q11" s="311">
        <v>0</v>
      </c>
      <c r="R11" s="312">
        <v>0</v>
      </c>
      <c r="S11" s="310">
        <v>0</v>
      </c>
      <c r="T11" s="311">
        <v>0</v>
      </c>
      <c r="U11" s="311">
        <v>0</v>
      </c>
      <c r="V11" s="312">
        <v>0</v>
      </c>
      <c r="W11" s="557">
        <f t="shared" si="0"/>
        <v>9.0002999999999993</v>
      </c>
      <c r="X11" s="390">
        <f t="shared" si="1"/>
        <v>22</v>
      </c>
    </row>
    <row r="12" spans="1:25" x14ac:dyDescent="0.2">
      <c r="A12" s="308">
        <v>4</v>
      </c>
      <c r="B12" s="430" t="s">
        <v>436</v>
      </c>
      <c r="C12" s="310">
        <v>3</v>
      </c>
      <c r="D12" s="311">
        <v>0</v>
      </c>
      <c r="E12" s="311">
        <v>3</v>
      </c>
      <c r="F12" s="312">
        <v>5</v>
      </c>
      <c r="G12" s="310">
        <v>0</v>
      </c>
      <c r="H12" s="311">
        <v>3</v>
      </c>
      <c r="I12" s="311">
        <v>3</v>
      </c>
      <c r="J12" s="312">
        <v>0</v>
      </c>
      <c r="K12" s="310">
        <v>1</v>
      </c>
      <c r="L12" s="311">
        <v>0</v>
      </c>
      <c r="M12" s="311">
        <v>1</v>
      </c>
      <c r="N12" s="312">
        <v>0</v>
      </c>
      <c r="O12" s="310">
        <v>0</v>
      </c>
      <c r="P12" s="311">
        <v>3</v>
      </c>
      <c r="Q12" s="311">
        <v>0</v>
      </c>
      <c r="R12" s="312">
        <v>0</v>
      </c>
      <c r="S12" s="310">
        <v>0</v>
      </c>
      <c r="T12" s="311">
        <v>0</v>
      </c>
      <c r="U12" s="311">
        <v>5</v>
      </c>
      <c r="V12" s="312">
        <v>0</v>
      </c>
      <c r="W12" s="556">
        <f t="shared" si="0"/>
        <v>27.020499999999998</v>
      </c>
      <c r="X12" s="313" t="str">
        <f t="shared" si="1"/>
        <v>vahevooru 2</v>
      </c>
    </row>
    <row r="13" spans="1:25" x14ac:dyDescent="0.2">
      <c r="A13" s="393">
        <v>5</v>
      </c>
      <c r="B13" s="394" t="s">
        <v>435</v>
      </c>
      <c r="C13" s="395">
        <v>3</v>
      </c>
      <c r="D13" s="396">
        <v>5</v>
      </c>
      <c r="E13" s="396">
        <v>0</v>
      </c>
      <c r="F13" s="397">
        <v>0</v>
      </c>
      <c r="G13" s="395">
        <v>1</v>
      </c>
      <c r="H13" s="396">
        <v>1</v>
      </c>
      <c r="I13" s="396">
        <v>0</v>
      </c>
      <c r="J13" s="397">
        <v>3</v>
      </c>
      <c r="K13" s="395">
        <v>1</v>
      </c>
      <c r="L13" s="396">
        <v>1</v>
      </c>
      <c r="M13" s="396">
        <v>1</v>
      </c>
      <c r="N13" s="397">
        <v>1</v>
      </c>
      <c r="O13" s="395">
        <v>1</v>
      </c>
      <c r="P13" s="396">
        <v>3</v>
      </c>
      <c r="Q13" s="396">
        <v>3</v>
      </c>
      <c r="R13" s="397">
        <v>3</v>
      </c>
      <c r="S13" s="395">
        <v>0</v>
      </c>
      <c r="T13" s="396">
        <v>0</v>
      </c>
      <c r="U13" s="396">
        <v>0</v>
      </c>
      <c r="V13" s="397">
        <v>0</v>
      </c>
      <c r="W13" s="556">
        <f t="shared" si="0"/>
        <v>27.0105</v>
      </c>
      <c r="X13" s="398" t="str">
        <f t="shared" si="1"/>
        <v>vahevooru 4</v>
      </c>
    </row>
    <row r="14" spans="1:25" x14ac:dyDescent="0.2">
      <c r="A14" s="393">
        <v>6</v>
      </c>
      <c r="B14" s="453" t="s">
        <v>434</v>
      </c>
      <c r="C14" s="395">
        <v>0</v>
      </c>
      <c r="D14" s="396">
        <v>3</v>
      </c>
      <c r="E14" s="396">
        <v>0</v>
      </c>
      <c r="F14" s="397">
        <v>0</v>
      </c>
      <c r="G14" s="395">
        <v>0</v>
      </c>
      <c r="H14" s="396">
        <v>0</v>
      </c>
      <c r="I14" s="396">
        <v>0</v>
      </c>
      <c r="J14" s="397">
        <v>0</v>
      </c>
      <c r="K14" s="395">
        <v>5</v>
      </c>
      <c r="L14" s="396">
        <v>1</v>
      </c>
      <c r="M14" s="396">
        <v>0</v>
      </c>
      <c r="N14" s="397">
        <v>0</v>
      </c>
      <c r="O14" s="395">
        <v>0</v>
      </c>
      <c r="P14" s="396">
        <v>0</v>
      </c>
      <c r="Q14" s="396">
        <v>0</v>
      </c>
      <c r="R14" s="397">
        <v>0</v>
      </c>
      <c r="S14" s="395">
        <v>0</v>
      </c>
      <c r="T14" s="396">
        <v>0</v>
      </c>
      <c r="U14" s="396">
        <v>0</v>
      </c>
      <c r="V14" s="397">
        <v>0</v>
      </c>
      <c r="W14" s="557">
        <f t="shared" si="0"/>
        <v>9.0100999999999996</v>
      </c>
      <c r="X14" s="413">
        <f t="shared" si="1"/>
        <v>20</v>
      </c>
    </row>
    <row r="15" spans="1:25" x14ac:dyDescent="0.2">
      <c r="A15" s="308">
        <v>7</v>
      </c>
      <c r="B15" s="420" t="s">
        <v>433</v>
      </c>
      <c r="C15" s="310">
        <v>0</v>
      </c>
      <c r="D15" s="311">
        <v>5</v>
      </c>
      <c r="E15" s="311">
        <v>0</v>
      </c>
      <c r="F15" s="312">
        <v>0</v>
      </c>
      <c r="G15" s="310">
        <v>0</v>
      </c>
      <c r="H15" s="311">
        <v>0</v>
      </c>
      <c r="I15" s="311">
        <v>0</v>
      </c>
      <c r="J15" s="312">
        <v>0</v>
      </c>
      <c r="K15" s="310">
        <v>1</v>
      </c>
      <c r="L15" s="311">
        <v>1</v>
      </c>
      <c r="M15" s="311">
        <v>1</v>
      </c>
      <c r="N15" s="312">
        <v>1</v>
      </c>
      <c r="O15" s="310">
        <v>0</v>
      </c>
      <c r="P15" s="311">
        <v>3</v>
      </c>
      <c r="Q15" s="311">
        <v>0</v>
      </c>
      <c r="R15" s="312">
        <v>0</v>
      </c>
      <c r="S15" s="310">
        <v>5</v>
      </c>
      <c r="T15" s="311">
        <v>5</v>
      </c>
      <c r="U15" s="311">
        <v>0</v>
      </c>
      <c r="V15" s="312">
        <v>0</v>
      </c>
      <c r="W15" s="556">
        <f t="shared" si="0"/>
        <v>22.030100000000001</v>
      </c>
      <c r="X15" s="313" t="str">
        <f t="shared" si="1"/>
        <v>vahevooru 7</v>
      </c>
    </row>
    <row r="16" spans="1:25" x14ac:dyDescent="0.2">
      <c r="A16" s="308">
        <v>8</v>
      </c>
      <c r="B16" s="380" t="s">
        <v>255</v>
      </c>
      <c r="C16" s="310">
        <v>0</v>
      </c>
      <c r="D16" s="311">
        <v>0</v>
      </c>
      <c r="E16" s="311">
        <v>0</v>
      </c>
      <c r="F16" s="312">
        <v>0</v>
      </c>
      <c r="G16" s="310">
        <v>0</v>
      </c>
      <c r="H16" s="311">
        <v>3</v>
      </c>
      <c r="I16" s="311">
        <v>3</v>
      </c>
      <c r="J16" s="312">
        <v>0</v>
      </c>
      <c r="K16" s="310">
        <v>0</v>
      </c>
      <c r="L16" s="311">
        <v>0</v>
      </c>
      <c r="M16" s="311">
        <v>0</v>
      </c>
      <c r="N16" s="312">
        <v>0</v>
      </c>
      <c r="O16" s="310">
        <v>0</v>
      </c>
      <c r="P16" s="311">
        <v>0</v>
      </c>
      <c r="Q16" s="311">
        <v>0</v>
      </c>
      <c r="R16" s="312">
        <v>0</v>
      </c>
      <c r="S16" s="310">
        <v>0</v>
      </c>
      <c r="T16" s="311">
        <v>0</v>
      </c>
      <c r="U16" s="311">
        <v>0</v>
      </c>
      <c r="V16" s="312">
        <v>0</v>
      </c>
      <c r="W16" s="557">
        <f t="shared" si="0"/>
        <v>6.0002000000000004</v>
      </c>
      <c r="X16" s="313">
        <f t="shared" si="1"/>
        <v>26</v>
      </c>
    </row>
    <row r="17" spans="1:29" x14ac:dyDescent="0.2">
      <c r="A17" s="393">
        <v>9</v>
      </c>
      <c r="B17" s="399" t="s">
        <v>65</v>
      </c>
      <c r="C17" s="455" t="s">
        <v>102</v>
      </c>
      <c r="D17" s="456" t="s">
        <v>102</v>
      </c>
      <c r="E17" s="456" t="s">
        <v>102</v>
      </c>
      <c r="F17" s="457" t="s">
        <v>102</v>
      </c>
      <c r="G17" s="455" t="s">
        <v>102</v>
      </c>
      <c r="H17" s="456" t="s">
        <v>102</v>
      </c>
      <c r="I17" s="456" t="s">
        <v>102</v>
      </c>
      <c r="J17" s="457" t="s">
        <v>102</v>
      </c>
      <c r="K17" s="455" t="s">
        <v>102</v>
      </c>
      <c r="L17" s="456" t="s">
        <v>102</v>
      </c>
      <c r="M17" s="456" t="s">
        <v>102</v>
      </c>
      <c r="N17" s="457" t="s">
        <v>102</v>
      </c>
      <c r="O17" s="455" t="s">
        <v>102</v>
      </c>
      <c r="P17" s="456" t="s">
        <v>102</v>
      </c>
      <c r="Q17" s="456" t="s">
        <v>102</v>
      </c>
      <c r="R17" s="457" t="s">
        <v>102</v>
      </c>
      <c r="S17" s="455" t="s">
        <v>102</v>
      </c>
      <c r="T17" s="456" t="s">
        <v>102</v>
      </c>
      <c r="U17" s="456" t="s">
        <v>102</v>
      </c>
      <c r="V17" s="457" t="s">
        <v>102</v>
      </c>
      <c r="W17" s="557">
        <f t="shared" si="0"/>
        <v>0</v>
      </c>
      <c r="X17" s="398">
        <f t="shared" si="1"/>
        <v>30</v>
      </c>
    </row>
    <row r="18" spans="1:29" x14ac:dyDescent="0.2">
      <c r="A18" s="393">
        <v>10</v>
      </c>
      <c r="B18" s="421" t="s">
        <v>44</v>
      </c>
      <c r="C18" s="395">
        <v>3</v>
      </c>
      <c r="D18" s="396">
        <v>0</v>
      </c>
      <c r="E18" s="396">
        <v>0</v>
      </c>
      <c r="F18" s="397">
        <v>0</v>
      </c>
      <c r="G18" s="395">
        <v>0</v>
      </c>
      <c r="H18" s="396">
        <v>3</v>
      </c>
      <c r="I18" s="396">
        <v>0</v>
      </c>
      <c r="J18" s="397">
        <v>3</v>
      </c>
      <c r="K18" s="395">
        <v>0</v>
      </c>
      <c r="L18" s="396">
        <v>0</v>
      </c>
      <c r="M18" s="396">
        <v>0</v>
      </c>
      <c r="N18" s="397">
        <v>0</v>
      </c>
      <c r="O18" s="395">
        <v>0</v>
      </c>
      <c r="P18" s="396">
        <v>0</v>
      </c>
      <c r="Q18" s="396">
        <v>0</v>
      </c>
      <c r="R18" s="397">
        <v>0</v>
      </c>
      <c r="S18" s="395">
        <v>0</v>
      </c>
      <c r="T18" s="396">
        <v>0</v>
      </c>
      <c r="U18" s="396">
        <v>0</v>
      </c>
      <c r="V18" s="397">
        <v>5</v>
      </c>
      <c r="W18" s="557">
        <f t="shared" si="0"/>
        <v>14.010299999999999</v>
      </c>
      <c r="X18" s="398">
        <f t="shared" si="1"/>
        <v>17</v>
      </c>
    </row>
    <row r="19" spans="1:29" x14ac:dyDescent="0.2">
      <c r="A19" s="308">
        <v>11</v>
      </c>
      <c r="B19" s="428" t="s">
        <v>37</v>
      </c>
      <c r="C19" s="310">
        <v>5</v>
      </c>
      <c r="D19" s="311">
        <v>0</v>
      </c>
      <c r="E19" s="311">
        <v>3</v>
      </c>
      <c r="F19" s="312">
        <v>3</v>
      </c>
      <c r="G19" s="310">
        <v>0</v>
      </c>
      <c r="H19" s="311">
        <v>0</v>
      </c>
      <c r="I19" s="311">
        <v>0</v>
      </c>
      <c r="J19" s="312">
        <v>0</v>
      </c>
      <c r="K19" s="310">
        <v>1</v>
      </c>
      <c r="L19" s="311">
        <v>0</v>
      </c>
      <c r="M19" s="311">
        <v>0</v>
      </c>
      <c r="N19" s="312">
        <v>0</v>
      </c>
      <c r="O19" s="310">
        <v>5</v>
      </c>
      <c r="P19" s="311">
        <v>0</v>
      </c>
      <c r="Q19" s="311">
        <v>0</v>
      </c>
      <c r="R19" s="312">
        <v>0</v>
      </c>
      <c r="S19" s="310">
        <v>0</v>
      </c>
      <c r="T19" s="311">
        <v>0</v>
      </c>
      <c r="U19" s="311">
        <v>0</v>
      </c>
      <c r="V19" s="312">
        <v>0</v>
      </c>
      <c r="W19" s="556">
        <f t="shared" si="0"/>
        <v>17.020199999999999</v>
      </c>
      <c r="X19" s="313" t="str">
        <f t="shared" si="1"/>
        <v>vahevooru 11</v>
      </c>
    </row>
    <row r="20" spans="1:29" x14ac:dyDescent="0.2">
      <c r="A20" s="308">
        <v>12</v>
      </c>
      <c r="B20" s="328" t="s">
        <v>40</v>
      </c>
      <c r="C20" s="310">
        <v>0</v>
      </c>
      <c r="D20" s="311">
        <v>3</v>
      </c>
      <c r="E20" s="311">
        <v>3</v>
      </c>
      <c r="F20" s="312">
        <v>0</v>
      </c>
      <c r="G20" s="310">
        <v>0</v>
      </c>
      <c r="H20" s="311">
        <v>0</v>
      </c>
      <c r="I20" s="311">
        <v>0</v>
      </c>
      <c r="J20" s="312">
        <v>0</v>
      </c>
      <c r="K20" s="310">
        <v>0</v>
      </c>
      <c r="L20" s="311">
        <v>1</v>
      </c>
      <c r="M20" s="311">
        <v>0</v>
      </c>
      <c r="N20" s="312">
        <v>0</v>
      </c>
      <c r="O20" s="310">
        <v>0</v>
      </c>
      <c r="P20" s="311">
        <v>0</v>
      </c>
      <c r="Q20" s="311">
        <v>0</v>
      </c>
      <c r="R20" s="312">
        <v>0</v>
      </c>
      <c r="S20" s="310">
        <v>0</v>
      </c>
      <c r="T20" s="311">
        <v>0</v>
      </c>
      <c r="U20" s="311">
        <v>0</v>
      </c>
      <c r="V20" s="312">
        <v>0</v>
      </c>
      <c r="W20" s="557">
        <f t="shared" si="0"/>
        <v>7.0002000000000004</v>
      </c>
      <c r="X20" s="313">
        <f t="shared" si="1"/>
        <v>25</v>
      </c>
      <c r="Z20" s="315"/>
      <c r="AA20" s="316"/>
      <c r="AB20" s="316"/>
      <c r="AC20" s="346"/>
    </row>
    <row r="21" spans="1:29" x14ac:dyDescent="0.2">
      <c r="A21" s="393">
        <v>13</v>
      </c>
      <c r="B21" s="454" t="s">
        <v>251</v>
      </c>
      <c r="C21" s="395">
        <v>0</v>
      </c>
      <c r="D21" s="396">
        <v>0</v>
      </c>
      <c r="E21" s="396">
        <v>0</v>
      </c>
      <c r="F21" s="397">
        <v>0</v>
      </c>
      <c r="G21" s="395">
        <v>0</v>
      </c>
      <c r="H21" s="396">
        <v>0</v>
      </c>
      <c r="I21" s="396">
        <v>0</v>
      </c>
      <c r="J21" s="397">
        <v>0</v>
      </c>
      <c r="K21" s="395">
        <v>0</v>
      </c>
      <c r="L21" s="396">
        <v>0</v>
      </c>
      <c r="M21" s="396">
        <v>0</v>
      </c>
      <c r="N21" s="397">
        <v>1</v>
      </c>
      <c r="O21" s="395">
        <v>0</v>
      </c>
      <c r="P21" s="396">
        <v>0</v>
      </c>
      <c r="Q21" s="396">
        <v>0</v>
      </c>
      <c r="R21" s="397">
        <v>0</v>
      </c>
      <c r="S21" s="395">
        <v>0</v>
      </c>
      <c r="T21" s="396">
        <v>0</v>
      </c>
      <c r="U21" s="396">
        <v>0</v>
      </c>
      <c r="V21" s="397">
        <v>0</v>
      </c>
      <c r="W21" s="557">
        <f t="shared" si="0"/>
        <v>1</v>
      </c>
      <c r="X21" s="413">
        <f t="shared" si="1"/>
        <v>28</v>
      </c>
      <c r="AC21" s="346"/>
    </row>
    <row r="22" spans="1:29" x14ac:dyDescent="0.2">
      <c r="A22" s="393">
        <v>14</v>
      </c>
      <c r="B22" s="438" t="s">
        <v>47</v>
      </c>
      <c r="C22" s="395">
        <v>0</v>
      </c>
      <c r="D22" s="396">
        <v>3</v>
      </c>
      <c r="E22" s="396">
        <v>0</v>
      </c>
      <c r="F22" s="397">
        <v>0</v>
      </c>
      <c r="G22" s="395">
        <v>0</v>
      </c>
      <c r="H22" s="396">
        <v>3</v>
      </c>
      <c r="I22" s="396">
        <v>0</v>
      </c>
      <c r="J22" s="397">
        <v>0</v>
      </c>
      <c r="K22" s="395">
        <v>0</v>
      </c>
      <c r="L22" s="396">
        <v>0</v>
      </c>
      <c r="M22" s="396">
        <v>0</v>
      </c>
      <c r="N22" s="397">
        <v>3</v>
      </c>
      <c r="O22" s="395">
        <v>0</v>
      </c>
      <c r="P22" s="396">
        <v>0</v>
      </c>
      <c r="Q22" s="396">
        <v>0</v>
      </c>
      <c r="R22" s="397">
        <v>0</v>
      </c>
      <c r="S22" s="395">
        <v>0</v>
      </c>
      <c r="T22" s="396">
        <v>0</v>
      </c>
      <c r="U22" s="396">
        <v>0</v>
      </c>
      <c r="V22" s="397">
        <v>0</v>
      </c>
      <c r="W22" s="557">
        <f t="shared" si="0"/>
        <v>9.0002999999999993</v>
      </c>
      <c r="X22" s="413">
        <f t="shared" si="1"/>
        <v>22</v>
      </c>
      <c r="AC22" s="346"/>
    </row>
    <row r="23" spans="1:29" x14ac:dyDescent="0.2">
      <c r="A23" s="308">
        <v>15</v>
      </c>
      <c r="B23" s="427" t="s">
        <v>50</v>
      </c>
      <c r="C23" s="310">
        <v>0</v>
      </c>
      <c r="D23" s="311">
        <v>3</v>
      </c>
      <c r="E23" s="311">
        <v>5</v>
      </c>
      <c r="F23" s="312">
        <v>0</v>
      </c>
      <c r="G23" s="310">
        <v>0</v>
      </c>
      <c r="H23" s="311">
        <v>3</v>
      </c>
      <c r="I23" s="311">
        <v>0</v>
      </c>
      <c r="J23" s="312">
        <v>0</v>
      </c>
      <c r="K23" s="310">
        <v>3</v>
      </c>
      <c r="L23" s="311">
        <v>0</v>
      </c>
      <c r="M23" s="311">
        <v>1</v>
      </c>
      <c r="N23" s="312">
        <v>0</v>
      </c>
      <c r="O23" s="310">
        <v>0</v>
      </c>
      <c r="P23" s="311">
        <v>0</v>
      </c>
      <c r="Q23" s="311">
        <v>0</v>
      </c>
      <c r="R23" s="312">
        <v>0</v>
      </c>
      <c r="S23" s="310">
        <v>0</v>
      </c>
      <c r="T23" s="311">
        <v>0</v>
      </c>
      <c r="U23" s="311">
        <v>0</v>
      </c>
      <c r="V23" s="312">
        <v>0</v>
      </c>
      <c r="W23" s="556">
        <f t="shared" si="0"/>
        <v>15.010299999999999</v>
      </c>
      <c r="X23" s="313" t="str">
        <f t="shared" si="1"/>
        <v>vahevooru 12</v>
      </c>
      <c r="AC23" s="346"/>
    </row>
    <row r="24" spans="1:29" x14ac:dyDescent="0.2">
      <c r="A24" s="308">
        <v>16</v>
      </c>
      <c r="B24" s="374" t="s">
        <v>261</v>
      </c>
      <c r="C24" s="310">
        <v>3</v>
      </c>
      <c r="D24" s="311">
        <v>5</v>
      </c>
      <c r="E24" s="311">
        <v>3</v>
      </c>
      <c r="F24" s="312">
        <v>0</v>
      </c>
      <c r="G24" s="310">
        <v>0</v>
      </c>
      <c r="H24" s="311">
        <v>3</v>
      </c>
      <c r="I24" s="311">
        <v>0</v>
      </c>
      <c r="J24" s="312">
        <v>0</v>
      </c>
      <c r="K24" s="310">
        <v>0</v>
      </c>
      <c r="L24" s="311">
        <v>1</v>
      </c>
      <c r="M24" s="311">
        <v>0</v>
      </c>
      <c r="N24" s="312">
        <v>1</v>
      </c>
      <c r="O24" s="310">
        <v>0</v>
      </c>
      <c r="P24" s="311">
        <v>3</v>
      </c>
      <c r="Q24" s="311">
        <v>0</v>
      </c>
      <c r="R24" s="312">
        <v>3</v>
      </c>
      <c r="S24" s="310">
        <v>0</v>
      </c>
      <c r="T24" s="311">
        <v>5</v>
      </c>
      <c r="U24" s="311">
        <v>5</v>
      </c>
      <c r="V24" s="312">
        <v>0</v>
      </c>
      <c r="W24" s="556">
        <f t="shared" si="0"/>
        <v>32.030500000000004</v>
      </c>
      <c r="X24" s="313" t="str">
        <f t="shared" si="1"/>
        <v>edasi 4</v>
      </c>
      <c r="AC24" s="346"/>
    </row>
    <row r="25" spans="1:29" x14ac:dyDescent="0.2">
      <c r="A25" s="393">
        <v>17</v>
      </c>
      <c r="B25" s="401" t="s">
        <v>270</v>
      </c>
      <c r="C25" s="395">
        <v>0</v>
      </c>
      <c r="D25" s="396">
        <v>3</v>
      </c>
      <c r="E25" s="396">
        <v>5</v>
      </c>
      <c r="F25" s="397">
        <v>3</v>
      </c>
      <c r="G25" s="395">
        <v>0</v>
      </c>
      <c r="H25" s="396">
        <v>3</v>
      </c>
      <c r="I25" s="396">
        <v>3</v>
      </c>
      <c r="J25" s="397">
        <v>3</v>
      </c>
      <c r="K25" s="395">
        <v>0</v>
      </c>
      <c r="L25" s="396">
        <v>1</v>
      </c>
      <c r="M25" s="396">
        <v>1</v>
      </c>
      <c r="N25" s="397">
        <v>1</v>
      </c>
      <c r="O25" s="395">
        <v>0</v>
      </c>
      <c r="P25" s="396">
        <v>0</v>
      </c>
      <c r="Q25" s="396">
        <v>3</v>
      </c>
      <c r="R25" s="397">
        <v>0</v>
      </c>
      <c r="S25" s="395">
        <v>5</v>
      </c>
      <c r="T25" s="396">
        <v>0</v>
      </c>
      <c r="U25" s="396">
        <v>5</v>
      </c>
      <c r="V25" s="397">
        <v>0</v>
      </c>
      <c r="W25" s="556">
        <f t="shared" si="0"/>
        <v>36.0306</v>
      </c>
      <c r="X25" s="398" t="str">
        <f t="shared" si="1"/>
        <v>edasi 3</v>
      </c>
      <c r="AC25" s="346"/>
    </row>
    <row r="26" spans="1:29" x14ac:dyDescent="0.2">
      <c r="A26" s="393">
        <v>18</v>
      </c>
      <c r="B26" s="402" t="s">
        <v>66</v>
      </c>
      <c r="C26" s="395">
        <v>3</v>
      </c>
      <c r="D26" s="396">
        <v>3</v>
      </c>
      <c r="E26" s="396">
        <v>0</v>
      </c>
      <c r="F26" s="397">
        <v>0</v>
      </c>
      <c r="G26" s="395">
        <v>3</v>
      </c>
      <c r="H26" s="396">
        <v>0</v>
      </c>
      <c r="I26" s="396">
        <v>0</v>
      </c>
      <c r="J26" s="397">
        <v>0</v>
      </c>
      <c r="K26" s="395">
        <v>3</v>
      </c>
      <c r="L26" s="396">
        <v>0</v>
      </c>
      <c r="M26" s="396">
        <v>1</v>
      </c>
      <c r="N26" s="397">
        <v>1</v>
      </c>
      <c r="O26" s="395">
        <v>0</v>
      </c>
      <c r="P26" s="396">
        <v>0</v>
      </c>
      <c r="Q26" s="396">
        <v>0</v>
      </c>
      <c r="R26" s="397">
        <v>0</v>
      </c>
      <c r="S26" s="395">
        <v>0</v>
      </c>
      <c r="T26" s="396">
        <v>0</v>
      </c>
      <c r="U26" s="396">
        <v>0</v>
      </c>
      <c r="V26" s="397">
        <v>0</v>
      </c>
      <c r="W26" s="557">
        <f t="shared" si="0"/>
        <v>14.000400000000001</v>
      </c>
      <c r="X26" s="398">
        <f t="shared" si="1"/>
        <v>18</v>
      </c>
      <c r="AC26" s="346"/>
    </row>
    <row r="27" spans="1:29" x14ac:dyDescent="0.2">
      <c r="A27" s="308">
        <v>19</v>
      </c>
      <c r="B27" s="430" t="s">
        <v>250</v>
      </c>
      <c r="C27" s="310">
        <v>1</v>
      </c>
      <c r="D27" s="311">
        <v>0</v>
      </c>
      <c r="E27" s="311">
        <v>0</v>
      </c>
      <c r="F27" s="312">
        <v>0</v>
      </c>
      <c r="G27" s="310">
        <v>0</v>
      </c>
      <c r="H27" s="311">
        <v>0</v>
      </c>
      <c r="I27" s="311">
        <v>0</v>
      </c>
      <c r="J27" s="312">
        <v>0</v>
      </c>
      <c r="K27" s="310">
        <v>0</v>
      </c>
      <c r="L27" s="311">
        <v>0</v>
      </c>
      <c r="M27" s="311">
        <v>0</v>
      </c>
      <c r="N27" s="312">
        <v>0</v>
      </c>
      <c r="O27" s="310">
        <v>0</v>
      </c>
      <c r="P27" s="311">
        <v>0</v>
      </c>
      <c r="Q27" s="311">
        <v>0</v>
      </c>
      <c r="R27" s="312">
        <v>0</v>
      </c>
      <c r="S27" s="310">
        <v>0</v>
      </c>
      <c r="T27" s="311">
        <v>0</v>
      </c>
      <c r="U27" s="311">
        <v>0</v>
      </c>
      <c r="V27" s="312">
        <v>0</v>
      </c>
      <c r="W27" s="557">
        <f t="shared" si="0"/>
        <v>1</v>
      </c>
      <c r="X27" s="390">
        <f t="shared" si="1"/>
        <v>28</v>
      </c>
      <c r="AC27" s="346"/>
    </row>
    <row r="28" spans="1:29" x14ac:dyDescent="0.2">
      <c r="A28" s="308">
        <v>20</v>
      </c>
      <c r="B28" s="373" t="s">
        <v>41</v>
      </c>
      <c r="C28" s="310">
        <v>0</v>
      </c>
      <c r="D28" s="311">
        <v>0</v>
      </c>
      <c r="E28" s="311">
        <v>0</v>
      </c>
      <c r="F28" s="312">
        <v>0</v>
      </c>
      <c r="G28" s="310">
        <v>0</v>
      </c>
      <c r="H28" s="311">
        <v>0</v>
      </c>
      <c r="I28" s="311">
        <v>0</v>
      </c>
      <c r="J28" s="312">
        <v>0</v>
      </c>
      <c r="K28" s="310">
        <v>0</v>
      </c>
      <c r="L28" s="311">
        <v>0</v>
      </c>
      <c r="M28" s="311">
        <v>0</v>
      </c>
      <c r="N28" s="312">
        <v>0</v>
      </c>
      <c r="O28" s="310">
        <v>0</v>
      </c>
      <c r="P28" s="311">
        <v>1</v>
      </c>
      <c r="Q28" s="311">
        <v>3</v>
      </c>
      <c r="R28" s="312">
        <v>0</v>
      </c>
      <c r="S28" s="310">
        <v>0</v>
      </c>
      <c r="T28" s="311">
        <v>0</v>
      </c>
      <c r="U28" s="311">
        <v>0</v>
      </c>
      <c r="V28" s="312">
        <v>0</v>
      </c>
      <c r="W28" s="557">
        <f t="shared" si="0"/>
        <v>4.0000999999999998</v>
      </c>
      <c r="X28" s="313">
        <f t="shared" si="1"/>
        <v>27</v>
      </c>
      <c r="AC28" s="346"/>
    </row>
    <row r="29" spans="1:29" x14ac:dyDescent="0.2">
      <c r="A29" s="393">
        <v>21</v>
      </c>
      <c r="B29" s="422" t="s">
        <v>45</v>
      </c>
      <c r="C29" s="395">
        <v>0</v>
      </c>
      <c r="D29" s="396">
        <v>0</v>
      </c>
      <c r="E29" s="396">
        <v>0</v>
      </c>
      <c r="F29" s="397">
        <v>0</v>
      </c>
      <c r="G29" s="395">
        <v>3</v>
      </c>
      <c r="H29" s="396">
        <v>0</v>
      </c>
      <c r="I29" s="396">
        <v>3</v>
      </c>
      <c r="J29" s="397">
        <v>3</v>
      </c>
      <c r="K29" s="395">
        <v>1</v>
      </c>
      <c r="L29" s="396">
        <v>0</v>
      </c>
      <c r="M29" s="396">
        <v>1</v>
      </c>
      <c r="N29" s="397">
        <v>0</v>
      </c>
      <c r="O29" s="395">
        <v>0</v>
      </c>
      <c r="P29" s="396">
        <v>0</v>
      </c>
      <c r="Q29" s="396">
        <v>0</v>
      </c>
      <c r="R29" s="397">
        <v>0</v>
      </c>
      <c r="S29" s="395">
        <v>5</v>
      </c>
      <c r="T29" s="396">
        <v>5</v>
      </c>
      <c r="U29" s="396">
        <v>0</v>
      </c>
      <c r="V29" s="397">
        <v>0</v>
      </c>
      <c r="W29" s="556">
        <f t="shared" si="0"/>
        <v>21.020299999999999</v>
      </c>
      <c r="X29" s="398" t="str">
        <f t="shared" si="1"/>
        <v>vahevooru 8</v>
      </c>
      <c r="AC29" s="346"/>
    </row>
    <row r="30" spans="1:29" x14ac:dyDescent="0.2">
      <c r="A30" s="393">
        <v>22</v>
      </c>
      <c r="B30" s="401" t="s">
        <v>54</v>
      </c>
      <c r="C30" s="395">
        <v>3</v>
      </c>
      <c r="D30" s="396">
        <v>0</v>
      </c>
      <c r="E30" s="396">
        <v>3</v>
      </c>
      <c r="F30" s="397">
        <v>0</v>
      </c>
      <c r="G30" s="395">
        <v>0</v>
      </c>
      <c r="H30" s="396">
        <v>0</v>
      </c>
      <c r="I30" s="396">
        <v>0</v>
      </c>
      <c r="J30" s="397">
        <v>0</v>
      </c>
      <c r="K30" s="395">
        <v>0</v>
      </c>
      <c r="L30" s="396">
        <v>1</v>
      </c>
      <c r="M30" s="396">
        <v>0</v>
      </c>
      <c r="N30" s="397">
        <v>0</v>
      </c>
      <c r="O30" s="395">
        <v>3</v>
      </c>
      <c r="P30" s="396">
        <v>3</v>
      </c>
      <c r="Q30" s="396">
        <v>0</v>
      </c>
      <c r="R30" s="397">
        <v>0</v>
      </c>
      <c r="S30" s="395">
        <v>0</v>
      </c>
      <c r="T30" s="396">
        <v>0</v>
      </c>
      <c r="U30" s="396">
        <v>0</v>
      </c>
      <c r="V30" s="397">
        <v>0</v>
      </c>
      <c r="W30" s="557">
        <f t="shared" si="0"/>
        <v>13.000400000000001</v>
      </c>
      <c r="X30" s="398">
        <f t="shared" si="1"/>
        <v>19</v>
      </c>
      <c r="AC30" s="346"/>
    </row>
    <row r="31" spans="1:29" x14ac:dyDescent="0.2">
      <c r="A31" s="308">
        <v>23</v>
      </c>
      <c r="B31" s="427" t="s">
        <v>59</v>
      </c>
      <c r="C31" s="310">
        <v>3</v>
      </c>
      <c r="D31" s="311">
        <v>0</v>
      </c>
      <c r="E31" s="311">
        <v>3</v>
      </c>
      <c r="F31" s="312">
        <v>3</v>
      </c>
      <c r="G31" s="310">
        <v>3</v>
      </c>
      <c r="H31" s="311">
        <v>0</v>
      </c>
      <c r="I31" s="311">
        <v>0</v>
      </c>
      <c r="J31" s="312">
        <v>0</v>
      </c>
      <c r="K31" s="310">
        <v>0</v>
      </c>
      <c r="L31" s="311">
        <v>1</v>
      </c>
      <c r="M31" s="311">
        <v>1</v>
      </c>
      <c r="N31" s="312">
        <v>0</v>
      </c>
      <c r="O31" s="310">
        <v>0</v>
      </c>
      <c r="P31" s="311">
        <v>0</v>
      </c>
      <c r="Q31" s="311">
        <v>0</v>
      </c>
      <c r="R31" s="312">
        <v>0</v>
      </c>
      <c r="S31" s="310">
        <v>0</v>
      </c>
      <c r="T31" s="311">
        <v>5</v>
      </c>
      <c r="U31" s="311">
        <v>0</v>
      </c>
      <c r="V31" s="312">
        <v>0</v>
      </c>
      <c r="W31" s="556">
        <f t="shared" si="0"/>
        <v>19.010400000000001</v>
      </c>
      <c r="X31" s="313" t="str">
        <f t="shared" si="1"/>
        <v>vahevooru 10</v>
      </c>
      <c r="AC31" s="346"/>
    </row>
    <row r="32" spans="1:29" x14ac:dyDescent="0.2">
      <c r="A32" s="308">
        <v>24</v>
      </c>
      <c r="B32" s="433" t="s">
        <v>25</v>
      </c>
      <c r="C32" s="310">
        <v>0</v>
      </c>
      <c r="D32" s="311">
        <v>0</v>
      </c>
      <c r="E32" s="311">
        <v>0</v>
      </c>
      <c r="F32" s="312">
        <v>3</v>
      </c>
      <c r="G32" s="310">
        <v>3</v>
      </c>
      <c r="H32" s="311">
        <v>3</v>
      </c>
      <c r="I32" s="311">
        <v>3</v>
      </c>
      <c r="J32" s="312">
        <v>0</v>
      </c>
      <c r="K32" s="310">
        <v>1</v>
      </c>
      <c r="L32" s="311">
        <v>0</v>
      </c>
      <c r="M32" s="311">
        <v>0</v>
      </c>
      <c r="N32" s="312">
        <v>0</v>
      </c>
      <c r="O32" s="310">
        <v>0</v>
      </c>
      <c r="P32" s="311">
        <v>3</v>
      </c>
      <c r="Q32" s="311">
        <v>3</v>
      </c>
      <c r="R32" s="312">
        <v>3</v>
      </c>
      <c r="S32" s="310">
        <v>5</v>
      </c>
      <c r="T32" s="311">
        <v>0</v>
      </c>
      <c r="U32" s="311">
        <v>0</v>
      </c>
      <c r="V32" s="312">
        <v>5</v>
      </c>
      <c r="W32" s="556">
        <f t="shared" si="0"/>
        <v>32.020700000000005</v>
      </c>
      <c r="X32" s="313" t="str">
        <f t="shared" si="1"/>
        <v>vahevooru 1</v>
      </c>
      <c r="AC32" s="346"/>
    </row>
    <row r="33" spans="1:29" x14ac:dyDescent="0.2">
      <c r="A33" s="393">
        <v>25</v>
      </c>
      <c r="B33" s="422" t="s">
        <v>27</v>
      </c>
      <c r="C33" s="395">
        <v>1</v>
      </c>
      <c r="D33" s="396">
        <v>0</v>
      </c>
      <c r="E33" s="396">
        <v>0</v>
      </c>
      <c r="F33" s="397">
        <v>0</v>
      </c>
      <c r="G33" s="395">
        <v>3</v>
      </c>
      <c r="H33" s="396">
        <v>0</v>
      </c>
      <c r="I33" s="396">
        <v>0</v>
      </c>
      <c r="J33" s="397">
        <v>0</v>
      </c>
      <c r="K33" s="395">
        <v>1</v>
      </c>
      <c r="L33" s="396">
        <v>0</v>
      </c>
      <c r="M33" s="396">
        <v>0</v>
      </c>
      <c r="N33" s="397">
        <v>0</v>
      </c>
      <c r="O33" s="395">
        <v>3</v>
      </c>
      <c r="P33" s="396">
        <v>0</v>
      </c>
      <c r="Q33" s="396">
        <v>0</v>
      </c>
      <c r="R33" s="397">
        <v>0</v>
      </c>
      <c r="S33" s="395">
        <v>0</v>
      </c>
      <c r="T33" s="396">
        <v>0</v>
      </c>
      <c r="U33" s="396">
        <v>0</v>
      </c>
      <c r="V33" s="397">
        <v>0</v>
      </c>
      <c r="W33" s="557">
        <f t="shared" si="0"/>
        <v>8.0001999999999995</v>
      </c>
      <c r="X33" s="398">
        <f t="shared" si="1"/>
        <v>24</v>
      </c>
    </row>
    <row r="34" spans="1:29" x14ac:dyDescent="0.2">
      <c r="A34" s="393">
        <v>26</v>
      </c>
      <c r="B34" s="432" t="s">
        <v>55</v>
      </c>
      <c r="C34" s="395">
        <v>3</v>
      </c>
      <c r="D34" s="396">
        <v>0</v>
      </c>
      <c r="E34" s="396">
        <v>5</v>
      </c>
      <c r="F34" s="397">
        <v>3</v>
      </c>
      <c r="G34" s="395">
        <v>3</v>
      </c>
      <c r="H34" s="396">
        <v>0</v>
      </c>
      <c r="I34" s="396">
        <v>0</v>
      </c>
      <c r="J34" s="397">
        <v>0</v>
      </c>
      <c r="K34" s="395">
        <v>1</v>
      </c>
      <c r="L34" s="396">
        <v>1</v>
      </c>
      <c r="M34" s="396">
        <v>0</v>
      </c>
      <c r="N34" s="397">
        <v>0</v>
      </c>
      <c r="O34" s="395">
        <v>3</v>
      </c>
      <c r="P34" s="396">
        <v>0</v>
      </c>
      <c r="Q34" s="396">
        <v>0</v>
      </c>
      <c r="R34" s="397">
        <v>3</v>
      </c>
      <c r="S34" s="395">
        <v>5</v>
      </c>
      <c r="T34" s="396">
        <v>0</v>
      </c>
      <c r="U34" s="396">
        <v>0</v>
      </c>
      <c r="V34" s="397">
        <v>0</v>
      </c>
      <c r="W34" s="556">
        <f t="shared" si="0"/>
        <v>27.020499999999998</v>
      </c>
      <c r="X34" s="398" t="str">
        <f t="shared" si="1"/>
        <v>vahevooru 2</v>
      </c>
    </row>
    <row r="35" spans="1:29" x14ac:dyDescent="0.2">
      <c r="A35" s="308">
        <v>27</v>
      </c>
      <c r="B35" s="430" t="s">
        <v>177</v>
      </c>
      <c r="C35" s="310">
        <v>0</v>
      </c>
      <c r="D35" s="311">
        <v>0</v>
      </c>
      <c r="E35" s="311">
        <v>0</v>
      </c>
      <c r="F35" s="312">
        <v>0</v>
      </c>
      <c r="G35" s="310">
        <v>3</v>
      </c>
      <c r="H35" s="311">
        <v>0</v>
      </c>
      <c r="I35" s="311">
        <v>0</v>
      </c>
      <c r="J35" s="312">
        <v>0</v>
      </c>
      <c r="K35" s="310">
        <v>0</v>
      </c>
      <c r="L35" s="311">
        <v>1</v>
      </c>
      <c r="M35" s="311">
        <v>0</v>
      </c>
      <c r="N35" s="312">
        <v>5</v>
      </c>
      <c r="O35" s="310">
        <v>0</v>
      </c>
      <c r="P35" s="311">
        <v>0</v>
      </c>
      <c r="Q35" s="311">
        <v>0</v>
      </c>
      <c r="R35" s="312">
        <v>0</v>
      </c>
      <c r="S35" s="310">
        <v>0</v>
      </c>
      <c r="T35" s="311">
        <v>0</v>
      </c>
      <c r="U35" s="311">
        <v>0</v>
      </c>
      <c r="V35" s="312">
        <v>0</v>
      </c>
      <c r="W35" s="557">
        <f t="shared" si="0"/>
        <v>9.0100999999999996</v>
      </c>
      <c r="X35" s="390">
        <f t="shared" si="1"/>
        <v>20</v>
      </c>
    </row>
    <row r="36" spans="1:29" x14ac:dyDescent="0.2">
      <c r="A36" s="308">
        <v>28</v>
      </c>
      <c r="B36" s="430" t="s">
        <v>58</v>
      </c>
      <c r="C36" s="310">
        <v>3</v>
      </c>
      <c r="D36" s="311">
        <v>3</v>
      </c>
      <c r="E36" s="311">
        <v>0</v>
      </c>
      <c r="F36" s="312">
        <v>3</v>
      </c>
      <c r="G36" s="310">
        <v>0</v>
      </c>
      <c r="H36" s="311">
        <v>3</v>
      </c>
      <c r="I36" s="311">
        <v>0</v>
      </c>
      <c r="J36" s="312">
        <v>3</v>
      </c>
      <c r="K36" s="310">
        <v>0</v>
      </c>
      <c r="L36" s="311">
        <v>0</v>
      </c>
      <c r="M36" s="311">
        <v>0</v>
      </c>
      <c r="N36" s="312">
        <v>0</v>
      </c>
      <c r="O36" s="310">
        <v>0</v>
      </c>
      <c r="P36" s="311">
        <v>0</v>
      </c>
      <c r="Q36" s="311">
        <v>3</v>
      </c>
      <c r="R36" s="312">
        <v>0</v>
      </c>
      <c r="S36" s="310">
        <v>5</v>
      </c>
      <c r="T36" s="311">
        <v>0</v>
      </c>
      <c r="U36" s="311">
        <v>0</v>
      </c>
      <c r="V36" s="312">
        <v>0</v>
      </c>
      <c r="W36" s="556">
        <f t="shared" si="0"/>
        <v>23.0106</v>
      </c>
      <c r="X36" s="313" t="str">
        <f t="shared" si="1"/>
        <v>vahevooru 6</v>
      </c>
    </row>
    <row r="37" spans="1:29" x14ac:dyDescent="0.2">
      <c r="A37" s="393">
        <v>29</v>
      </c>
      <c r="B37" s="422" t="s">
        <v>35</v>
      </c>
      <c r="C37" s="395">
        <v>3</v>
      </c>
      <c r="D37" s="396">
        <v>3</v>
      </c>
      <c r="E37" s="396">
        <v>3</v>
      </c>
      <c r="F37" s="397">
        <v>3</v>
      </c>
      <c r="G37" s="395">
        <v>0</v>
      </c>
      <c r="H37" s="396">
        <v>5</v>
      </c>
      <c r="I37" s="396">
        <v>3</v>
      </c>
      <c r="J37" s="397">
        <v>1</v>
      </c>
      <c r="K37" s="395">
        <v>3</v>
      </c>
      <c r="L37" s="396">
        <v>3</v>
      </c>
      <c r="M37" s="396">
        <v>0</v>
      </c>
      <c r="N37" s="397">
        <v>0</v>
      </c>
      <c r="O37" s="395">
        <v>0</v>
      </c>
      <c r="P37" s="396">
        <v>3</v>
      </c>
      <c r="Q37" s="396">
        <v>0</v>
      </c>
      <c r="R37" s="397">
        <v>3</v>
      </c>
      <c r="S37" s="395">
        <v>0</v>
      </c>
      <c r="T37" s="396">
        <v>0</v>
      </c>
      <c r="U37" s="396">
        <v>0</v>
      </c>
      <c r="V37" s="397">
        <v>5</v>
      </c>
      <c r="W37" s="557">
        <f t="shared" si="0"/>
        <v>38.020900000000005</v>
      </c>
      <c r="X37" s="398" t="str">
        <f t="shared" si="1"/>
        <v>edasi 2</v>
      </c>
    </row>
    <row r="38" spans="1:29" ht="13.5" thickBot="1" x14ac:dyDescent="0.25">
      <c r="A38" s="403">
        <v>30</v>
      </c>
      <c r="B38" s="431" t="s">
        <v>453</v>
      </c>
      <c r="C38" s="404">
        <v>3</v>
      </c>
      <c r="D38" s="405">
        <v>3</v>
      </c>
      <c r="E38" s="405">
        <v>0</v>
      </c>
      <c r="F38" s="406">
        <v>0</v>
      </c>
      <c r="G38" s="404">
        <v>0</v>
      </c>
      <c r="H38" s="405">
        <v>3</v>
      </c>
      <c r="I38" s="405">
        <v>0</v>
      </c>
      <c r="J38" s="406">
        <v>3</v>
      </c>
      <c r="K38" s="404">
        <v>0</v>
      </c>
      <c r="L38" s="405">
        <v>1</v>
      </c>
      <c r="M38" s="405">
        <v>0</v>
      </c>
      <c r="N38" s="406">
        <v>0</v>
      </c>
      <c r="O38" s="404">
        <v>0</v>
      </c>
      <c r="P38" s="405">
        <v>0</v>
      </c>
      <c r="Q38" s="405">
        <v>3</v>
      </c>
      <c r="R38" s="406">
        <v>1</v>
      </c>
      <c r="S38" s="404">
        <v>5</v>
      </c>
      <c r="T38" s="405">
        <v>3</v>
      </c>
      <c r="U38" s="405">
        <v>0</v>
      </c>
      <c r="V38" s="406">
        <v>0</v>
      </c>
      <c r="W38" s="561">
        <f t="shared" si="0"/>
        <v>25.0106</v>
      </c>
      <c r="X38" s="407" t="str">
        <f t="shared" si="1"/>
        <v>vahevooru 5</v>
      </c>
    </row>
    <row r="39" spans="1:29" hidden="1" x14ac:dyDescent="0.2">
      <c r="A39" s="366"/>
      <c r="B39" s="367" t="s">
        <v>445</v>
      </c>
      <c r="C39" s="319"/>
      <c r="D39" s="320"/>
      <c r="E39" s="320"/>
      <c r="F39" s="321"/>
      <c r="G39" s="319"/>
      <c r="H39" s="320"/>
      <c r="I39" s="320"/>
      <c r="J39" s="321"/>
      <c r="K39" s="319"/>
      <c r="L39" s="320"/>
      <c r="M39" s="320"/>
      <c r="N39" s="321"/>
      <c r="O39" s="319"/>
      <c r="P39" s="320"/>
      <c r="Q39" s="320"/>
      <c r="R39" s="321"/>
      <c r="S39" s="319"/>
      <c r="T39" s="320"/>
      <c r="U39" s="320"/>
      <c r="V39" s="321"/>
      <c r="W39" s="559"/>
      <c r="X39" s="306"/>
      <c r="Z39" s="323"/>
      <c r="AA39" s="324" t="s">
        <v>379</v>
      </c>
      <c r="AB39" s="324" t="s">
        <v>380</v>
      </c>
    </row>
    <row r="40" spans="1:29" hidden="1" x14ac:dyDescent="0.2">
      <c r="A40" s="393"/>
      <c r="B40" s="402"/>
      <c r="C40" s="395"/>
      <c r="D40" s="383"/>
      <c r="E40" s="396"/>
      <c r="F40" s="397"/>
      <c r="G40" s="395"/>
      <c r="H40" s="383"/>
      <c r="I40" s="396"/>
      <c r="J40" s="397"/>
      <c r="K40" s="395"/>
      <c r="L40" s="383"/>
      <c r="M40" s="396"/>
      <c r="N40" s="397"/>
      <c r="O40" s="395"/>
      <c r="P40" s="383"/>
      <c r="Q40" s="396"/>
      <c r="R40" s="397"/>
      <c r="S40" s="395"/>
      <c r="T40" s="383"/>
      <c r="U40" s="396"/>
      <c r="V40" s="397"/>
      <c r="W40" s="557" t="str">
        <f t="shared" ref="W40:W132" si="2">IF(COUNTA(C40:V40)=0,"",SUM(C40:V40)+COUNTIF(C40:V40,5)/100+COUNTIF(C40:V40,3)/10000)</f>
        <v/>
      </c>
      <c r="X40" s="398"/>
      <c r="AC40" s="346"/>
    </row>
    <row r="41" spans="1:29" hidden="1" x14ac:dyDescent="0.2">
      <c r="A41" s="393"/>
      <c r="B41" s="402"/>
      <c r="C41" s="395"/>
      <c r="D41" s="383"/>
      <c r="E41" s="396"/>
      <c r="F41" s="397"/>
      <c r="G41" s="395"/>
      <c r="H41" s="383"/>
      <c r="I41" s="396"/>
      <c r="J41" s="397"/>
      <c r="K41" s="395"/>
      <c r="L41" s="383"/>
      <c r="M41" s="396"/>
      <c r="N41" s="397"/>
      <c r="O41" s="395"/>
      <c r="P41" s="383"/>
      <c r="Q41" s="396"/>
      <c r="R41" s="397"/>
      <c r="S41" s="395"/>
      <c r="T41" s="383"/>
      <c r="U41" s="396"/>
      <c r="V41" s="397"/>
      <c r="W41" s="557" t="str">
        <f t="shared" si="2"/>
        <v/>
      </c>
      <c r="X41" s="398"/>
      <c r="AC41" s="346"/>
    </row>
    <row r="42" spans="1:29" hidden="1" x14ac:dyDescent="0.2">
      <c r="A42" s="393"/>
      <c r="B42" s="401"/>
      <c r="C42" s="395"/>
      <c r="D42" s="383"/>
      <c r="E42" s="396"/>
      <c r="F42" s="397"/>
      <c r="G42" s="395"/>
      <c r="H42" s="383"/>
      <c r="I42" s="396"/>
      <c r="J42" s="397"/>
      <c r="K42" s="395"/>
      <c r="L42" s="383"/>
      <c r="M42" s="396"/>
      <c r="N42" s="397"/>
      <c r="O42" s="395"/>
      <c r="P42" s="383"/>
      <c r="Q42" s="396"/>
      <c r="R42" s="397"/>
      <c r="S42" s="395"/>
      <c r="T42" s="383"/>
      <c r="U42" s="396"/>
      <c r="V42" s="397"/>
      <c r="W42" s="557" t="str">
        <f t="shared" si="2"/>
        <v/>
      </c>
      <c r="X42" s="398"/>
      <c r="AC42" s="346"/>
    </row>
    <row r="43" spans="1:29" hidden="1" x14ac:dyDescent="0.2">
      <c r="A43" s="393"/>
      <c r="B43" s="402"/>
      <c r="C43" s="395"/>
      <c r="D43" s="383"/>
      <c r="E43" s="396"/>
      <c r="F43" s="397"/>
      <c r="G43" s="395"/>
      <c r="H43" s="383"/>
      <c r="I43" s="396"/>
      <c r="J43" s="397"/>
      <c r="K43" s="395"/>
      <c r="L43" s="383"/>
      <c r="M43" s="396"/>
      <c r="N43" s="397"/>
      <c r="O43" s="395"/>
      <c r="P43" s="383"/>
      <c r="Q43" s="396"/>
      <c r="R43" s="397"/>
      <c r="S43" s="395"/>
      <c r="T43" s="383"/>
      <c r="U43" s="396"/>
      <c r="V43" s="397"/>
      <c r="W43" s="557" t="str">
        <f t="shared" si="2"/>
        <v/>
      </c>
      <c r="X43" s="398"/>
      <c r="AC43" s="346"/>
    </row>
    <row r="44" spans="1:29" hidden="1" x14ac:dyDescent="0.2">
      <c r="A44" s="308"/>
      <c r="B44" s="374"/>
      <c r="C44" s="310"/>
      <c r="D44" s="307"/>
      <c r="E44" s="311"/>
      <c r="F44" s="312"/>
      <c r="G44" s="310"/>
      <c r="H44" s="307"/>
      <c r="I44" s="311"/>
      <c r="J44" s="312"/>
      <c r="K44" s="310"/>
      <c r="L44" s="307"/>
      <c r="M44" s="311"/>
      <c r="N44" s="312"/>
      <c r="O44" s="310"/>
      <c r="P44" s="307"/>
      <c r="Q44" s="311"/>
      <c r="R44" s="312"/>
      <c r="S44" s="310"/>
      <c r="T44" s="307"/>
      <c r="U44" s="311"/>
      <c r="V44" s="312"/>
      <c r="W44" s="557" t="str">
        <f t="shared" si="2"/>
        <v/>
      </c>
      <c r="X44" s="313"/>
      <c r="AC44" s="346"/>
    </row>
    <row r="45" spans="1:29" hidden="1" x14ac:dyDescent="0.2">
      <c r="A45" s="308"/>
      <c r="B45" s="342"/>
      <c r="C45" s="310"/>
      <c r="D45" s="307"/>
      <c r="E45" s="311"/>
      <c r="F45" s="312"/>
      <c r="G45" s="310"/>
      <c r="H45" s="307"/>
      <c r="I45" s="311"/>
      <c r="J45" s="312"/>
      <c r="K45" s="310"/>
      <c r="L45" s="307"/>
      <c r="M45" s="311"/>
      <c r="N45" s="312"/>
      <c r="O45" s="310"/>
      <c r="P45" s="307"/>
      <c r="Q45" s="311"/>
      <c r="R45" s="312"/>
      <c r="S45" s="310"/>
      <c r="T45" s="307"/>
      <c r="U45" s="311"/>
      <c r="V45" s="312"/>
      <c r="W45" s="557" t="str">
        <f t="shared" si="2"/>
        <v/>
      </c>
      <c r="X45" s="313"/>
      <c r="AC45" s="346"/>
    </row>
    <row r="46" spans="1:29" hidden="1" x14ac:dyDescent="0.2">
      <c r="A46" s="382"/>
      <c r="B46" s="314"/>
      <c r="C46" s="310"/>
      <c r="D46" s="307"/>
      <c r="E46" s="311"/>
      <c r="F46" s="312"/>
      <c r="G46" s="310"/>
      <c r="H46" s="307"/>
      <c r="I46" s="311"/>
      <c r="J46" s="312"/>
      <c r="K46" s="310"/>
      <c r="L46" s="307"/>
      <c r="M46" s="311"/>
      <c r="N46" s="312"/>
      <c r="O46" s="310"/>
      <c r="P46" s="307"/>
      <c r="Q46" s="311"/>
      <c r="R46" s="312"/>
      <c r="S46" s="310"/>
      <c r="T46" s="307"/>
      <c r="U46" s="311"/>
      <c r="V46" s="312"/>
      <c r="W46" s="557" t="str">
        <f t="shared" ref="W46:W71" si="3">IF(COUNTA(C46:V46)=0,"",SUM(C46:V46)+COUNTIF(C46:V46,5)/100+COUNTIF(C46:V46,3)/10000)</f>
        <v/>
      </c>
      <c r="X46" s="313"/>
    </row>
    <row r="47" spans="1:29" hidden="1" x14ac:dyDescent="0.2">
      <c r="A47" s="382"/>
      <c r="B47" s="314"/>
      <c r="C47" s="310"/>
      <c r="D47" s="307"/>
      <c r="E47" s="311"/>
      <c r="F47" s="312"/>
      <c r="G47" s="310"/>
      <c r="H47" s="307"/>
      <c r="I47" s="311"/>
      <c r="J47" s="312"/>
      <c r="K47" s="310"/>
      <c r="L47" s="307"/>
      <c r="M47" s="311"/>
      <c r="N47" s="312"/>
      <c r="O47" s="310"/>
      <c r="P47" s="307"/>
      <c r="Q47" s="311"/>
      <c r="R47" s="312"/>
      <c r="S47" s="310"/>
      <c r="T47" s="307"/>
      <c r="U47" s="311"/>
      <c r="V47" s="312"/>
      <c r="W47" s="557" t="str">
        <f t="shared" si="3"/>
        <v/>
      </c>
      <c r="X47" s="313"/>
    </row>
    <row r="48" spans="1:29" hidden="1" x14ac:dyDescent="0.2">
      <c r="A48" s="393"/>
      <c r="B48" s="402"/>
      <c r="C48" s="395"/>
      <c r="D48" s="383"/>
      <c r="E48" s="396"/>
      <c r="F48" s="397"/>
      <c r="G48" s="395"/>
      <c r="H48" s="383"/>
      <c r="I48" s="396"/>
      <c r="J48" s="397"/>
      <c r="K48" s="395"/>
      <c r="L48" s="383"/>
      <c r="M48" s="396"/>
      <c r="N48" s="397"/>
      <c r="O48" s="395"/>
      <c r="P48" s="383"/>
      <c r="Q48" s="396"/>
      <c r="R48" s="397"/>
      <c r="S48" s="395"/>
      <c r="T48" s="383"/>
      <c r="U48" s="396"/>
      <c r="V48" s="397"/>
      <c r="W48" s="557" t="str">
        <f t="shared" si="3"/>
        <v/>
      </c>
      <c r="X48" s="398"/>
      <c r="AC48" s="346"/>
    </row>
    <row r="49" spans="1:29" hidden="1" x14ac:dyDescent="0.2">
      <c r="A49" s="393"/>
      <c r="B49" s="402"/>
      <c r="C49" s="395"/>
      <c r="D49" s="383"/>
      <c r="E49" s="396"/>
      <c r="F49" s="397"/>
      <c r="G49" s="395"/>
      <c r="H49" s="383"/>
      <c r="I49" s="396"/>
      <c r="J49" s="397"/>
      <c r="K49" s="395"/>
      <c r="L49" s="383"/>
      <c r="M49" s="396"/>
      <c r="N49" s="397"/>
      <c r="O49" s="395"/>
      <c r="P49" s="383"/>
      <c r="Q49" s="396"/>
      <c r="R49" s="397"/>
      <c r="S49" s="395"/>
      <c r="T49" s="383"/>
      <c r="U49" s="396"/>
      <c r="V49" s="397"/>
      <c r="W49" s="557" t="str">
        <f t="shared" si="3"/>
        <v/>
      </c>
      <c r="X49" s="398"/>
      <c r="AC49" s="346"/>
    </row>
    <row r="50" spans="1:29" hidden="1" x14ac:dyDescent="0.2">
      <c r="A50" s="393"/>
      <c r="B50" s="401"/>
      <c r="C50" s="395"/>
      <c r="D50" s="383"/>
      <c r="E50" s="396"/>
      <c r="F50" s="397"/>
      <c r="G50" s="395"/>
      <c r="H50" s="383"/>
      <c r="I50" s="396"/>
      <c r="J50" s="397"/>
      <c r="K50" s="395"/>
      <c r="L50" s="383"/>
      <c r="M50" s="396"/>
      <c r="N50" s="397"/>
      <c r="O50" s="395"/>
      <c r="P50" s="383"/>
      <c r="Q50" s="396"/>
      <c r="R50" s="397"/>
      <c r="S50" s="395"/>
      <c r="T50" s="383"/>
      <c r="U50" s="396"/>
      <c r="V50" s="397"/>
      <c r="W50" s="557" t="str">
        <f t="shared" si="3"/>
        <v/>
      </c>
      <c r="X50" s="398"/>
      <c r="AC50" s="346"/>
    </row>
    <row r="51" spans="1:29" hidden="1" x14ac:dyDescent="0.2">
      <c r="A51" s="393"/>
      <c r="B51" s="402"/>
      <c r="C51" s="395"/>
      <c r="D51" s="383"/>
      <c r="E51" s="396"/>
      <c r="F51" s="397"/>
      <c r="G51" s="395"/>
      <c r="H51" s="383"/>
      <c r="I51" s="396"/>
      <c r="J51" s="397"/>
      <c r="K51" s="395"/>
      <c r="L51" s="383"/>
      <c r="M51" s="396"/>
      <c r="N51" s="397"/>
      <c r="O51" s="395"/>
      <c r="P51" s="383"/>
      <c r="Q51" s="396"/>
      <c r="R51" s="397"/>
      <c r="S51" s="395"/>
      <c r="T51" s="383"/>
      <c r="U51" s="396"/>
      <c r="V51" s="397"/>
      <c r="W51" s="557" t="str">
        <f t="shared" si="3"/>
        <v/>
      </c>
      <c r="X51" s="398"/>
      <c r="AC51" s="346"/>
    </row>
    <row r="52" spans="1:29" hidden="1" x14ac:dyDescent="0.2">
      <c r="A52" s="308"/>
      <c r="B52" s="374"/>
      <c r="C52" s="310"/>
      <c r="D52" s="307"/>
      <c r="E52" s="311"/>
      <c r="F52" s="312"/>
      <c r="G52" s="310"/>
      <c r="H52" s="307"/>
      <c r="I52" s="311"/>
      <c r="J52" s="312"/>
      <c r="K52" s="310"/>
      <c r="L52" s="307"/>
      <c r="M52" s="311"/>
      <c r="N52" s="312"/>
      <c r="O52" s="310"/>
      <c r="P52" s="307"/>
      <c r="Q52" s="311"/>
      <c r="R52" s="312"/>
      <c r="S52" s="310"/>
      <c r="T52" s="307"/>
      <c r="U52" s="311"/>
      <c r="V52" s="312"/>
      <c r="W52" s="557" t="str">
        <f t="shared" si="3"/>
        <v/>
      </c>
      <c r="X52" s="313"/>
      <c r="AC52" s="346"/>
    </row>
    <row r="53" spans="1:29" hidden="1" x14ac:dyDescent="0.2">
      <c r="A53" s="308"/>
      <c r="B53" s="342"/>
      <c r="C53" s="310"/>
      <c r="D53" s="307"/>
      <c r="E53" s="311"/>
      <c r="F53" s="312"/>
      <c r="G53" s="310"/>
      <c r="H53" s="307"/>
      <c r="I53" s="311"/>
      <c r="J53" s="312"/>
      <c r="K53" s="310"/>
      <c r="L53" s="307"/>
      <c r="M53" s="311"/>
      <c r="N53" s="312"/>
      <c r="O53" s="310"/>
      <c r="P53" s="307"/>
      <c r="Q53" s="311"/>
      <c r="R53" s="312"/>
      <c r="S53" s="310"/>
      <c r="T53" s="307"/>
      <c r="U53" s="311"/>
      <c r="V53" s="312"/>
      <c r="W53" s="557" t="str">
        <f t="shared" si="3"/>
        <v/>
      </c>
      <c r="X53" s="313"/>
      <c r="AC53" s="346"/>
    </row>
    <row r="54" spans="1:29" hidden="1" x14ac:dyDescent="0.2">
      <c r="A54" s="382"/>
      <c r="B54" s="314"/>
      <c r="C54" s="310"/>
      <c r="D54" s="307"/>
      <c r="E54" s="311"/>
      <c r="F54" s="312"/>
      <c r="G54" s="310"/>
      <c r="H54" s="307"/>
      <c r="I54" s="311"/>
      <c r="J54" s="312"/>
      <c r="K54" s="310"/>
      <c r="L54" s="307"/>
      <c r="M54" s="311"/>
      <c r="N54" s="312"/>
      <c r="O54" s="310"/>
      <c r="P54" s="307"/>
      <c r="Q54" s="311"/>
      <c r="R54" s="312"/>
      <c r="S54" s="310"/>
      <c r="T54" s="307"/>
      <c r="U54" s="311"/>
      <c r="V54" s="312"/>
      <c r="W54" s="557" t="str">
        <f t="shared" ref="W54:W55" si="4">IF(COUNTA(C54:V54)=0,"",SUM(C54:V54)+COUNTIF(C54:V54,5)/100+COUNTIF(C54:V54,3)/10000)</f>
        <v/>
      </c>
      <c r="X54" s="313"/>
    </row>
    <row r="55" spans="1:29" hidden="1" x14ac:dyDescent="0.2">
      <c r="A55" s="382"/>
      <c r="B55" s="314"/>
      <c r="C55" s="310"/>
      <c r="D55" s="307"/>
      <c r="E55" s="311"/>
      <c r="F55" s="312"/>
      <c r="G55" s="310"/>
      <c r="H55" s="307"/>
      <c r="I55" s="311"/>
      <c r="J55" s="312"/>
      <c r="K55" s="310"/>
      <c r="L55" s="307"/>
      <c r="M55" s="311"/>
      <c r="N55" s="312"/>
      <c r="O55" s="310"/>
      <c r="P55" s="307"/>
      <c r="Q55" s="311"/>
      <c r="R55" s="312"/>
      <c r="S55" s="310"/>
      <c r="T55" s="307"/>
      <c r="U55" s="311"/>
      <c r="V55" s="312"/>
      <c r="W55" s="557" t="str">
        <f t="shared" si="4"/>
        <v/>
      </c>
      <c r="X55" s="313"/>
    </row>
    <row r="56" spans="1:29" hidden="1" x14ac:dyDescent="0.2">
      <c r="A56" s="393"/>
      <c r="B56" s="402"/>
      <c r="C56" s="395"/>
      <c r="D56" s="383"/>
      <c r="E56" s="396"/>
      <c r="F56" s="397"/>
      <c r="G56" s="395"/>
      <c r="H56" s="383"/>
      <c r="I56" s="396"/>
      <c r="J56" s="397"/>
      <c r="K56" s="395"/>
      <c r="L56" s="383"/>
      <c r="M56" s="396"/>
      <c r="N56" s="397"/>
      <c r="O56" s="395"/>
      <c r="P56" s="383"/>
      <c r="Q56" s="396"/>
      <c r="R56" s="397"/>
      <c r="S56" s="395"/>
      <c r="T56" s="383"/>
      <c r="U56" s="396"/>
      <c r="V56" s="397"/>
      <c r="W56" s="557" t="str">
        <f t="shared" si="3"/>
        <v/>
      </c>
      <c r="X56" s="398"/>
      <c r="AC56" s="346"/>
    </row>
    <row r="57" spans="1:29" hidden="1" x14ac:dyDescent="0.2">
      <c r="A57" s="393"/>
      <c r="B57" s="402"/>
      <c r="C57" s="395"/>
      <c r="D57" s="383"/>
      <c r="E57" s="396"/>
      <c r="F57" s="397"/>
      <c r="G57" s="395"/>
      <c r="H57" s="383"/>
      <c r="I57" s="396"/>
      <c r="J57" s="397"/>
      <c r="K57" s="395"/>
      <c r="L57" s="383"/>
      <c r="M57" s="396"/>
      <c r="N57" s="397"/>
      <c r="O57" s="395"/>
      <c r="P57" s="383"/>
      <c r="Q57" s="396"/>
      <c r="R57" s="397"/>
      <c r="S57" s="395"/>
      <c r="T57" s="383"/>
      <c r="U57" s="396"/>
      <c r="V57" s="397"/>
      <c r="W57" s="557" t="str">
        <f t="shared" si="3"/>
        <v/>
      </c>
      <c r="X57" s="398"/>
      <c r="AC57" s="346"/>
    </row>
    <row r="58" spans="1:29" hidden="1" x14ac:dyDescent="0.2">
      <c r="A58" s="393"/>
      <c r="B58" s="401"/>
      <c r="C58" s="395"/>
      <c r="D58" s="383"/>
      <c r="E58" s="396"/>
      <c r="F58" s="397"/>
      <c r="G58" s="395"/>
      <c r="H58" s="383"/>
      <c r="I58" s="396"/>
      <c r="J58" s="397"/>
      <c r="K58" s="395"/>
      <c r="L58" s="383"/>
      <c r="M58" s="396"/>
      <c r="N58" s="397"/>
      <c r="O58" s="395"/>
      <c r="P58" s="383"/>
      <c r="Q58" s="396"/>
      <c r="R58" s="397"/>
      <c r="S58" s="395"/>
      <c r="T58" s="383"/>
      <c r="U58" s="396"/>
      <c r="V58" s="397"/>
      <c r="W58" s="557" t="str">
        <f t="shared" si="3"/>
        <v/>
      </c>
      <c r="X58" s="398"/>
      <c r="AC58" s="346"/>
    </row>
    <row r="59" spans="1:29" hidden="1" x14ac:dyDescent="0.2">
      <c r="A59" s="393"/>
      <c r="B59" s="402"/>
      <c r="C59" s="395"/>
      <c r="D59" s="383"/>
      <c r="E59" s="396"/>
      <c r="F59" s="397"/>
      <c r="G59" s="395"/>
      <c r="H59" s="383"/>
      <c r="I59" s="396"/>
      <c r="J59" s="397"/>
      <c r="K59" s="395"/>
      <c r="L59" s="383"/>
      <c r="M59" s="396"/>
      <c r="N59" s="397"/>
      <c r="O59" s="395"/>
      <c r="P59" s="383"/>
      <c r="Q59" s="396"/>
      <c r="R59" s="397"/>
      <c r="S59" s="395"/>
      <c r="T59" s="383"/>
      <c r="U59" s="396"/>
      <c r="V59" s="397"/>
      <c r="W59" s="557" t="str">
        <f t="shared" si="3"/>
        <v/>
      </c>
      <c r="X59" s="398"/>
      <c r="AC59" s="346"/>
    </row>
    <row r="60" spans="1:29" hidden="1" x14ac:dyDescent="0.2">
      <c r="A60" s="308"/>
      <c r="B60" s="374"/>
      <c r="C60" s="310"/>
      <c r="D60" s="307"/>
      <c r="E60" s="311"/>
      <c r="F60" s="312"/>
      <c r="G60" s="310"/>
      <c r="H60" s="307"/>
      <c r="I60" s="311"/>
      <c r="J60" s="312"/>
      <c r="K60" s="310"/>
      <c r="L60" s="307"/>
      <c r="M60" s="311"/>
      <c r="N60" s="312"/>
      <c r="O60" s="310"/>
      <c r="P60" s="307"/>
      <c r="Q60" s="311"/>
      <c r="R60" s="312"/>
      <c r="S60" s="310"/>
      <c r="T60" s="307"/>
      <c r="U60" s="311"/>
      <c r="V60" s="312"/>
      <c r="W60" s="557" t="str">
        <f t="shared" si="3"/>
        <v/>
      </c>
      <c r="X60" s="313"/>
      <c r="AC60" s="346"/>
    </row>
    <row r="61" spans="1:29" hidden="1" x14ac:dyDescent="0.2">
      <c r="A61" s="308"/>
      <c r="B61" s="342"/>
      <c r="C61" s="310"/>
      <c r="D61" s="307"/>
      <c r="E61" s="311"/>
      <c r="F61" s="312"/>
      <c r="G61" s="310"/>
      <c r="H61" s="307"/>
      <c r="I61" s="311"/>
      <c r="J61" s="312"/>
      <c r="K61" s="310"/>
      <c r="L61" s="307"/>
      <c r="M61" s="311"/>
      <c r="N61" s="312"/>
      <c r="O61" s="310"/>
      <c r="P61" s="307"/>
      <c r="Q61" s="311"/>
      <c r="R61" s="312"/>
      <c r="S61" s="310"/>
      <c r="T61" s="307"/>
      <c r="U61" s="311"/>
      <c r="V61" s="312"/>
      <c r="W61" s="557" t="str">
        <f t="shared" si="3"/>
        <v/>
      </c>
      <c r="X61" s="313"/>
      <c r="AC61" s="346"/>
    </row>
    <row r="62" spans="1:29" hidden="1" x14ac:dyDescent="0.2">
      <c r="A62" s="382"/>
      <c r="B62" s="314"/>
      <c r="C62" s="310"/>
      <c r="D62" s="307"/>
      <c r="E62" s="311"/>
      <c r="F62" s="312"/>
      <c r="G62" s="310"/>
      <c r="H62" s="307"/>
      <c r="I62" s="311"/>
      <c r="J62" s="312"/>
      <c r="K62" s="310"/>
      <c r="L62" s="307"/>
      <c r="M62" s="311"/>
      <c r="N62" s="312"/>
      <c r="O62" s="310"/>
      <c r="P62" s="307"/>
      <c r="Q62" s="311"/>
      <c r="R62" s="312"/>
      <c r="S62" s="310"/>
      <c r="T62" s="307"/>
      <c r="U62" s="311"/>
      <c r="V62" s="312"/>
      <c r="W62" s="557" t="str">
        <f t="shared" si="3"/>
        <v/>
      </c>
      <c r="X62" s="313"/>
    </row>
    <row r="63" spans="1:29" hidden="1" x14ac:dyDescent="0.2">
      <c r="A63" s="382"/>
      <c r="B63" s="314"/>
      <c r="C63" s="310"/>
      <c r="D63" s="307"/>
      <c r="E63" s="311"/>
      <c r="F63" s="312"/>
      <c r="G63" s="310"/>
      <c r="H63" s="307"/>
      <c r="I63" s="311"/>
      <c r="J63" s="312"/>
      <c r="K63" s="310"/>
      <c r="L63" s="307"/>
      <c r="M63" s="311"/>
      <c r="N63" s="312"/>
      <c r="O63" s="310"/>
      <c r="P63" s="307"/>
      <c r="Q63" s="311"/>
      <c r="R63" s="312"/>
      <c r="S63" s="310"/>
      <c r="T63" s="307"/>
      <c r="U63" s="311"/>
      <c r="V63" s="312"/>
      <c r="W63" s="557" t="str">
        <f t="shared" si="3"/>
        <v/>
      </c>
      <c r="X63" s="313"/>
    </row>
    <row r="64" spans="1:29" hidden="1" x14ac:dyDescent="0.2">
      <c r="A64" s="393"/>
      <c r="B64" s="401"/>
      <c r="C64" s="395"/>
      <c r="D64" s="383"/>
      <c r="E64" s="396"/>
      <c r="F64" s="397"/>
      <c r="G64" s="395"/>
      <c r="H64" s="383"/>
      <c r="I64" s="396"/>
      <c r="J64" s="397"/>
      <c r="K64" s="395"/>
      <c r="L64" s="383"/>
      <c r="M64" s="396"/>
      <c r="N64" s="397"/>
      <c r="O64" s="395"/>
      <c r="P64" s="383"/>
      <c r="Q64" s="396"/>
      <c r="R64" s="397"/>
      <c r="S64" s="395"/>
      <c r="T64" s="383"/>
      <c r="U64" s="396"/>
      <c r="V64" s="397"/>
      <c r="W64" s="557" t="str">
        <f t="shared" si="3"/>
        <v/>
      </c>
      <c r="X64" s="398"/>
    </row>
    <row r="65" spans="1:29" hidden="1" x14ac:dyDescent="0.2">
      <c r="A65" s="393"/>
      <c r="B65" s="401"/>
      <c r="C65" s="395"/>
      <c r="D65" s="383"/>
      <c r="E65" s="396"/>
      <c r="F65" s="397"/>
      <c r="G65" s="395"/>
      <c r="H65" s="383"/>
      <c r="I65" s="396"/>
      <c r="J65" s="397"/>
      <c r="K65" s="395"/>
      <c r="L65" s="383"/>
      <c r="M65" s="396"/>
      <c r="N65" s="397"/>
      <c r="O65" s="395"/>
      <c r="P65" s="383"/>
      <c r="Q65" s="396"/>
      <c r="R65" s="397"/>
      <c r="S65" s="395"/>
      <c r="T65" s="383"/>
      <c r="U65" s="396"/>
      <c r="V65" s="397"/>
      <c r="W65" s="557" t="str">
        <f t="shared" si="3"/>
        <v/>
      </c>
      <c r="X65" s="398"/>
    </row>
    <row r="66" spans="1:29" hidden="1" x14ac:dyDescent="0.2">
      <c r="A66" s="393"/>
      <c r="B66" s="402"/>
      <c r="C66" s="395"/>
      <c r="D66" s="383"/>
      <c r="E66" s="396"/>
      <c r="F66" s="397"/>
      <c r="G66" s="395"/>
      <c r="H66" s="383"/>
      <c r="I66" s="396"/>
      <c r="J66" s="397"/>
      <c r="K66" s="395"/>
      <c r="L66" s="383"/>
      <c r="M66" s="396"/>
      <c r="N66" s="397"/>
      <c r="O66" s="395"/>
      <c r="P66" s="383"/>
      <c r="Q66" s="396"/>
      <c r="R66" s="397"/>
      <c r="S66" s="395"/>
      <c r="T66" s="383"/>
      <c r="U66" s="396"/>
      <c r="V66" s="397"/>
      <c r="W66" s="557" t="str">
        <f t="shared" si="3"/>
        <v/>
      </c>
      <c r="X66" s="398"/>
    </row>
    <row r="67" spans="1:29" hidden="1" x14ac:dyDescent="0.2">
      <c r="A67" s="393"/>
      <c r="B67" s="408"/>
      <c r="C67" s="395"/>
      <c r="D67" s="383"/>
      <c r="E67" s="396"/>
      <c r="F67" s="397"/>
      <c r="G67" s="395"/>
      <c r="H67" s="383"/>
      <c r="I67" s="396"/>
      <c r="J67" s="397"/>
      <c r="K67" s="395"/>
      <c r="L67" s="383"/>
      <c r="M67" s="396"/>
      <c r="N67" s="397"/>
      <c r="O67" s="395"/>
      <c r="P67" s="383"/>
      <c r="Q67" s="396"/>
      <c r="R67" s="397"/>
      <c r="S67" s="395"/>
      <c r="T67" s="383"/>
      <c r="U67" s="396"/>
      <c r="V67" s="397"/>
      <c r="W67" s="557" t="str">
        <f t="shared" si="3"/>
        <v/>
      </c>
      <c r="X67" s="398"/>
    </row>
    <row r="68" spans="1:29" hidden="1" x14ac:dyDescent="0.2">
      <c r="A68" s="308"/>
      <c r="B68" s="374"/>
      <c r="C68" s="310"/>
      <c r="D68" s="307"/>
      <c r="E68" s="311"/>
      <c r="F68" s="312"/>
      <c r="G68" s="310"/>
      <c r="H68" s="307"/>
      <c r="I68" s="311"/>
      <c r="J68" s="312"/>
      <c r="K68" s="310"/>
      <c r="L68" s="307"/>
      <c r="M68" s="311"/>
      <c r="N68" s="312"/>
      <c r="O68" s="310"/>
      <c r="P68" s="307"/>
      <c r="Q68" s="311"/>
      <c r="R68" s="312"/>
      <c r="S68" s="310"/>
      <c r="T68" s="307"/>
      <c r="U68" s="311"/>
      <c r="V68" s="312"/>
      <c r="W68" s="557" t="str">
        <f t="shared" si="3"/>
        <v/>
      </c>
      <c r="X68" s="313"/>
      <c r="AC68" s="346"/>
    </row>
    <row r="69" spans="1:29" hidden="1" x14ac:dyDescent="0.2">
      <c r="A69" s="308"/>
      <c r="B69" s="342"/>
      <c r="C69" s="310"/>
      <c r="D69" s="307"/>
      <c r="E69" s="311"/>
      <c r="F69" s="312"/>
      <c r="G69" s="310"/>
      <c r="H69" s="307"/>
      <c r="I69" s="311"/>
      <c r="J69" s="312"/>
      <c r="K69" s="310"/>
      <c r="L69" s="307"/>
      <c r="M69" s="311"/>
      <c r="N69" s="312"/>
      <c r="O69" s="310"/>
      <c r="P69" s="307"/>
      <c r="Q69" s="311"/>
      <c r="R69" s="312"/>
      <c r="S69" s="310"/>
      <c r="T69" s="307"/>
      <c r="U69" s="311"/>
      <c r="V69" s="312"/>
      <c r="W69" s="557" t="str">
        <f t="shared" si="3"/>
        <v/>
      </c>
      <c r="X69" s="313"/>
      <c r="AC69" s="346"/>
    </row>
    <row r="70" spans="1:29" hidden="1" x14ac:dyDescent="0.2">
      <c r="A70" s="382"/>
      <c r="B70" s="314"/>
      <c r="C70" s="310"/>
      <c r="D70" s="307"/>
      <c r="E70" s="311"/>
      <c r="F70" s="312"/>
      <c r="G70" s="310"/>
      <c r="H70" s="307"/>
      <c r="I70" s="311"/>
      <c r="J70" s="312"/>
      <c r="K70" s="310"/>
      <c r="L70" s="307"/>
      <c r="M70" s="311"/>
      <c r="N70" s="312"/>
      <c r="O70" s="310"/>
      <c r="P70" s="307"/>
      <c r="Q70" s="311"/>
      <c r="R70" s="312"/>
      <c r="S70" s="310"/>
      <c r="T70" s="307"/>
      <c r="U70" s="311"/>
      <c r="V70" s="312"/>
      <c r="W70" s="557" t="str">
        <f t="shared" si="3"/>
        <v/>
      </c>
      <c r="X70" s="313"/>
    </row>
    <row r="71" spans="1:29" ht="13.5" hidden="1" thickBot="1" x14ac:dyDescent="0.25">
      <c r="A71" s="384"/>
      <c r="B71" s="385"/>
      <c r="C71" s="386"/>
      <c r="D71" s="317"/>
      <c r="E71" s="387"/>
      <c r="F71" s="388"/>
      <c r="G71" s="386"/>
      <c r="H71" s="317"/>
      <c r="I71" s="387"/>
      <c r="J71" s="388"/>
      <c r="K71" s="386"/>
      <c r="L71" s="317"/>
      <c r="M71" s="387"/>
      <c r="N71" s="388"/>
      <c r="O71" s="386"/>
      <c r="P71" s="317"/>
      <c r="Q71" s="387"/>
      <c r="R71" s="388"/>
      <c r="S71" s="386"/>
      <c r="T71" s="317"/>
      <c r="U71" s="387"/>
      <c r="V71" s="388"/>
      <c r="W71" s="558" t="str">
        <f t="shared" si="3"/>
        <v/>
      </c>
      <c r="X71" s="336"/>
      <c r="Y71" s="316"/>
    </row>
    <row r="72" spans="1:29" x14ac:dyDescent="0.2">
      <c r="A72" s="525" t="s">
        <v>475</v>
      </c>
      <c r="B72" s="367" t="s">
        <v>384</v>
      </c>
      <c r="C72" s="303"/>
      <c r="D72" s="304"/>
      <c r="E72" s="304"/>
      <c r="F72" s="305"/>
      <c r="G72" s="303"/>
      <c r="H72" s="304"/>
      <c r="I72" s="304"/>
      <c r="J72" s="305"/>
      <c r="K72" s="303"/>
      <c r="L72" s="304"/>
      <c r="M72" s="304"/>
      <c r="N72" s="305"/>
      <c r="O72" s="303"/>
      <c r="P72" s="304"/>
      <c r="Q72" s="304"/>
      <c r="R72" s="305"/>
      <c r="S72" s="303"/>
      <c r="T72" s="304"/>
      <c r="U72" s="304"/>
      <c r="V72" s="305"/>
      <c r="W72" s="559"/>
      <c r="X72" s="306"/>
      <c r="Y72" s="440" t="s">
        <v>444</v>
      </c>
      <c r="Z72" s="323"/>
      <c r="AA72" s="324" t="s">
        <v>379</v>
      </c>
      <c r="AB72" s="324" t="s">
        <v>380</v>
      </c>
    </row>
    <row r="73" spans="1:29" x14ac:dyDescent="0.2">
      <c r="A73" s="408">
        <v>1</v>
      </c>
      <c r="B73" s="409" t="s">
        <v>50</v>
      </c>
      <c r="C73" s="410">
        <v>0</v>
      </c>
      <c r="D73" s="411">
        <v>1</v>
      </c>
      <c r="E73" s="411">
        <v>0</v>
      </c>
      <c r="F73" s="412">
        <v>0</v>
      </c>
      <c r="G73" s="410">
        <v>3</v>
      </c>
      <c r="H73" s="411">
        <v>0</v>
      </c>
      <c r="I73" s="411">
        <v>0</v>
      </c>
      <c r="J73" s="412">
        <v>0</v>
      </c>
      <c r="K73" s="410">
        <v>1</v>
      </c>
      <c r="L73" s="411">
        <v>0</v>
      </c>
      <c r="M73" s="411">
        <v>3</v>
      </c>
      <c r="N73" s="412">
        <v>0</v>
      </c>
      <c r="O73" s="410">
        <v>0</v>
      </c>
      <c r="P73" s="411">
        <v>0</v>
      </c>
      <c r="Q73" s="411">
        <v>0</v>
      </c>
      <c r="R73" s="412">
        <v>0</v>
      </c>
      <c r="S73" s="410">
        <v>0</v>
      </c>
      <c r="T73" s="411">
        <v>0</v>
      </c>
      <c r="U73" s="411">
        <v>0</v>
      </c>
      <c r="V73" s="412">
        <v>0</v>
      </c>
      <c r="W73" s="557">
        <f>SUM(C73:V73)+COUNTIF(C73:V73,5)/100+COUNTIF(C73:V73,3)/10000</f>
        <v>8.0001999999999995</v>
      </c>
      <c r="X73" s="398">
        <f t="shared" ref="X73:X84" si="5">IF(RANK(Y73,$Y$73:$Y$84)&lt;5,"edasi "&amp;RANK(Y73,$Y$73:$Y$84)+4,RANK(Y73,$Y$73:$Y$84)+4)</f>
        <v>16</v>
      </c>
      <c r="Y73" s="398">
        <f>W73+IFERROR(INDEX(W$9:W$38,MATCH(B73,B$9:B$38,0)),0)</f>
        <v>23.0105</v>
      </c>
      <c r="Z73" s="325" t="e">
        <f>IF(COUNTA(C73:V73)=0,100,W73+IF(RANK(W73,$W$111:$W$112)=1,100,0))</f>
        <v>#N/A</v>
      </c>
      <c r="AA73" s="324">
        <f>MIN(W73:W74)</f>
        <v>8.0001999999999995</v>
      </c>
      <c r="AB73" s="324">
        <f>MAX(W73:W74)</f>
        <v>13.000400000000001</v>
      </c>
    </row>
    <row r="74" spans="1:29" x14ac:dyDescent="0.2">
      <c r="A74" s="408">
        <v>2</v>
      </c>
      <c r="B74" s="447" t="s">
        <v>37</v>
      </c>
      <c r="C74" s="410">
        <v>0</v>
      </c>
      <c r="D74" s="411">
        <v>0</v>
      </c>
      <c r="E74" s="411">
        <v>0</v>
      </c>
      <c r="F74" s="412">
        <v>0</v>
      </c>
      <c r="G74" s="410">
        <v>0</v>
      </c>
      <c r="H74" s="411">
        <v>3</v>
      </c>
      <c r="I74" s="411">
        <v>1</v>
      </c>
      <c r="J74" s="412">
        <v>0</v>
      </c>
      <c r="K74" s="410">
        <v>0</v>
      </c>
      <c r="L74" s="411">
        <v>0</v>
      </c>
      <c r="M74" s="411">
        <v>0</v>
      </c>
      <c r="N74" s="412">
        <v>0</v>
      </c>
      <c r="O74" s="410">
        <v>3</v>
      </c>
      <c r="P74" s="411">
        <v>3</v>
      </c>
      <c r="Q74" s="411">
        <v>0</v>
      </c>
      <c r="R74" s="412">
        <v>0</v>
      </c>
      <c r="S74" s="410">
        <v>0</v>
      </c>
      <c r="T74" s="411">
        <v>0</v>
      </c>
      <c r="U74" s="411">
        <v>3</v>
      </c>
      <c r="V74" s="412">
        <v>0</v>
      </c>
      <c r="W74" s="557">
        <f t="shared" ref="W74:W84" si="6">SUM(C74:V74)+COUNTIF(C74:V74,5)/100+COUNTIF(C74:V74,3)/10000</f>
        <v>13.000400000000001</v>
      </c>
      <c r="X74" s="413">
        <f t="shared" si="5"/>
        <v>14</v>
      </c>
      <c r="Y74" s="398">
        <f t="shared" ref="Y74:Y84" si="7">W74+IFERROR(INDEX(W$9:W$38,MATCH(B74,B$9:B$38,0)),0)</f>
        <v>30.020600000000002</v>
      </c>
      <c r="Z74" s="325"/>
      <c r="AA74" s="324"/>
      <c r="AB74" s="324"/>
    </row>
    <row r="75" spans="1:29" x14ac:dyDescent="0.2">
      <c r="A75" s="318">
        <v>3</v>
      </c>
      <c r="B75" s="327" t="s">
        <v>59</v>
      </c>
      <c r="C75" s="319">
        <v>5</v>
      </c>
      <c r="D75" s="320">
        <v>3</v>
      </c>
      <c r="E75" s="320">
        <v>5</v>
      </c>
      <c r="F75" s="321">
        <v>3</v>
      </c>
      <c r="G75" s="319">
        <v>5</v>
      </c>
      <c r="H75" s="320">
        <v>3</v>
      </c>
      <c r="I75" s="320">
        <v>0</v>
      </c>
      <c r="J75" s="321">
        <v>3</v>
      </c>
      <c r="K75" s="319">
        <v>0</v>
      </c>
      <c r="L75" s="320">
        <v>1</v>
      </c>
      <c r="M75" s="320">
        <v>0</v>
      </c>
      <c r="N75" s="321">
        <v>0</v>
      </c>
      <c r="O75" s="319">
        <v>0</v>
      </c>
      <c r="P75" s="320">
        <v>0</v>
      </c>
      <c r="Q75" s="320">
        <v>0</v>
      </c>
      <c r="R75" s="321">
        <v>0</v>
      </c>
      <c r="S75" s="319">
        <v>0</v>
      </c>
      <c r="T75" s="320">
        <v>5</v>
      </c>
      <c r="U75" s="320">
        <v>0</v>
      </c>
      <c r="V75" s="321">
        <v>0</v>
      </c>
      <c r="W75" s="557">
        <f t="shared" ref="W75:W78" si="8">SUM(C75:V75)+COUNTIF(C75:V75,5)/100+COUNTIF(C75:V75,3)/10000</f>
        <v>33.040399999999998</v>
      </c>
      <c r="X75" s="313" t="str">
        <f t="shared" si="5"/>
        <v>edasi 5</v>
      </c>
      <c r="Y75" s="413">
        <f t="shared" si="7"/>
        <v>52.050799999999995</v>
      </c>
      <c r="Z75" s="325" t="e">
        <f>IF(COUNTA(C75:V75)=0,100,W75+IF(RANK(W75,$W$113:$W$114)=1,100,0))</f>
        <v>#N/A</v>
      </c>
      <c r="AA75" s="324">
        <f>MIN(W75:W76)</f>
        <v>17.000499999999999</v>
      </c>
      <c r="AB75" s="324">
        <f>MAX(W75:W76)</f>
        <v>33.040399999999998</v>
      </c>
    </row>
    <row r="76" spans="1:29" x14ac:dyDescent="0.2">
      <c r="A76" s="318">
        <v>4</v>
      </c>
      <c r="B76" s="328" t="s">
        <v>438</v>
      </c>
      <c r="C76" s="319">
        <v>3</v>
      </c>
      <c r="D76" s="320">
        <v>0</v>
      </c>
      <c r="E76" s="320">
        <v>3</v>
      </c>
      <c r="F76" s="321">
        <v>3</v>
      </c>
      <c r="G76" s="319">
        <v>0</v>
      </c>
      <c r="H76" s="320">
        <v>3</v>
      </c>
      <c r="I76" s="320">
        <v>0</v>
      </c>
      <c r="J76" s="321">
        <v>0</v>
      </c>
      <c r="K76" s="319">
        <v>1</v>
      </c>
      <c r="L76" s="320">
        <v>0</v>
      </c>
      <c r="M76" s="320">
        <v>0</v>
      </c>
      <c r="N76" s="321">
        <v>1</v>
      </c>
      <c r="O76" s="319">
        <v>3</v>
      </c>
      <c r="P76" s="320">
        <v>0</v>
      </c>
      <c r="Q76" s="320">
        <v>0</v>
      </c>
      <c r="R76" s="321">
        <v>0</v>
      </c>
      <c r="S76" s="319">
        <v>0</v>
      </c>
      <c r="T76" s="320">
        <v>0</v>
      </c>
      <c r="U76" s="320">
        <v>0</v>
      </c>
      <c r="V76" s="321">
        <v>0</v>
      </c>
      <c r="W76" s="557">
        <f t="shared" si="8"/>
        <v>17.000499999999999</v>
      </c>
      <c r="X76" s="313">
        <f t="shared" si="5"/>
        <v>11</v>
      </c>
      <c r="Y76" s="398">
        <f t="shared" si="7"/>
        <v>38.020799999999994</v>
      </c>
      <c r="Z76" s="326" t="e">
        <f>IF(COUNTA(C76:V76)=0,0,W76+IF(RANK(W76,$W$113:$W$114)=1,100,0))</f>
        <v>#N/A</v>
      </c>
      <c r="AA76" s="324"/>
      <c r="AB76" s="324"/>
    </row>
    <row r="77" spans="1:29" x14ac:dyDescent="0.2">
      <c r="A77" s="408">
        <v>5</v>
      </c>
      <c r="B77" s="400" t="s">
        <v>45</v>
      </c>
      <c r="C77" s="410">
        <v>0</v>
      </c>
      <c r="D77" s="411">
        <v>0</v>
      </c>
      <c r="E77" s="411">
        <v>0</v>
      </c>
      <c r="F77" s="412">
        <v>0</v>
      </c>
      <c r="G77" s="410">
        <v>0</v>
      </c>
      <c r="H77" s="411">
        <v>0</v>
      </c>
      <c r="I77" s="411">
        <v>0</v>
      </c>
      <c r="J77" s="412">
        <v>0</v>
      </c>
      <c r="K77" s="410">
        <v>0</v>
      </c>
      <c r="L77" s="411">
        <v>3</v>
      </c>
      <c r="M77" s="411">
        <v>0</v>
      </c>
      <c r="N77" s="412">
        <v>0</v>
      </c>
      <c r="O77" s="410">
        <v>3</v>
      </c>
      <c r="P77" s="411">
        <v>0</v>
      </c>
      <c r="Q77" s="411">
        <v>0</v>
      </c>
      <c r="R77" s="412">
        <v>0</v>
      </c>
      <c r="S77" s="410">
        <v>0</v>
      </c>
      <c r="T77" s="411">
        <v>0</v>
      </c>
      <c r="U77" s="411">
        <v>0</v>
      </c>
      <c r="V77" s="412">
        <v>3</v>
      </c>
      <c r="W77" s="557">
        <f t="shared" si="8"/>
        <v>9.0002999999999993</v>
      </c>
      <c r="X77" s="413">
        <v>14</v>
      </c>
      <c r="Y77" s="398">
        <f t="shared" si="7"/>
        <v>30.020599999999998</v>
      </c>
      <c r="Z77" s="325" t="e">
        <f>IF(COUNTA(C77:V77)=0,100,W77+IF(RANK(W77,$W$115:$W$116)=1,100,0))</f>
        <v>#N/A</v>
      </c>
      <c r="AA77" s="324">
        <f>MIN(W77:W78)</f>
        <v>9.0002999999999993</v>
      </c>
      <c r="AB77" s="324">
        <f>MAX(W77:W78)</f>
        <v>18.020199999999999</v>
      </c>
    </row>
    <row r="78" spans="1:29" x14ac:dyDescent="0.2">
      <c r="A78" s="408">
        <v>6</v>
      </c>
      <c r="B78" s="400" t="s">
        <v>433</v>
      </c>
      <c r="C78" s="410">
        <v>0</v>
      </c>
      <c r="D78" s="411">
        <v>3</v>
      </c>
      <c r="E78" s="411">
        <v>0</v>
      </c>
      <c r="F78" s="412">
        <v>3</v>
      </c>
      <c r="G78" s="410">
        <v>0</v>
      </c>
      <c r="H78" s="411">
        <v>0</v>
      </c>
      <c r="I78" s="411">
        <v>5</v>
      </c>
      <c r="J78" s="412">
        <v>5</v>
      </c>
      <c r="K78" s="410">
        <v>1</v>
      </c>
      <c r="L78" s="411">
        <v>0</v>
      </c>
      <c r="M78" s="411">
        <v>1</v>
      </c>
      <c r="N78" s="412">
        <v>0</v>
      </c>
      <c r="O78" s="410">
        <v>0</v>
      </c>
      <c r="P78" s="411">
        <v>0</v>
      </c>
      <c r="Q78" s="411">
        <v>0</v>
      </c>
      <c r="R78" s="412">
        <v>0</v>
      </c>
      <c r="S78" s="410">
        <v>0</v>
      </c>
      <c r="T78" s="411">
        <v>0</v>
      </c>
      <c r="U78" s="411">
        <v>0</v>
      </c>
      <c r="V78" s="412">
        <v>0</v>
      </c>
      <c r="W78" s="557">
        <f t="shared" si="8"/>
        <v>18.020199999999999</v>
      </c>
      <c r="X78" s="398">
        <f t="shared" si="5"/>
        <v>10</v>
      </c>
      <c r="Y78" s="398">
        <f t="shared" si="7"/>
        <v>40.0503</v>
      </c>
      <c r="Z78" s="326" t="e">
        <f>IF(COUNTA(C78:V78)=0,0,W78+IF(RANK(W78,$W$115:$W$116)=1,100,0))</f>
        <v>#N/A</v>
      </c>
      <c r="AA78" s="324"/>
      <c r="AB78" s="324"/>
    </row>
    <row r="79" spans="1:29" x14ac:dyDescent="0.2">
      <c r="A79" s="318">
        <v>7</v>
      </c>
      <c r="B79" s="327" t="s">
        <v>58</v>
      </c>
      <c r="C79" s="319">
        <v>3</v>
      </c>
      <c r="D79" s="320">
        <v>3</v>
      </c>
      <c r="E79" s="320">
        <v>0</v>
      </c>
      <c r="F79" s="321">
        <v>0</v>
      </c>
      <c r="G79" s="319">
        <v>0</v>
      </c>
      <c r="H79" s="320">
        <v>0</v>
      </c>
      <c r="I79" s="320">
        <v>0</v>
      </c>
      <c r="J79" s="321">
        <v>0</v>
      </c>
      <c r="K79" s="319">
        <v>1</v>
      </c>
      <c r="L79" s="320">
        <v>0</v>
      </c>
      <c r="M79" s="320">
        <v>1</v>
      </c>
      <c r="N79" s="321">
        <v>0</v>
      </c>
      <c r="O79" s="319">
        <v>0</v>
      </c>
      <c r="P79" s="320">
        <v>0</v>
      </c>
      <c r="Q79" s="320">
        <v>0</v>
      </c>
      <c r="R79" s="321">
        <v>0</v>
      </c>
      <c r="S79" s="319">
        <v>0</v>
      </c>
      <c r="T79" s="320">
        <v>5</v>
      </c>
      <c r="U79" s="320">
        <v>0</v>
      </c>
      <c r="V79" s="321">
        <v>0</v>
      </c>
      <c r="W79" s="557">
        <f t="shared" si="6"/>
        <v>13.010199999999999</v>
      </c>
      <c r="X79" s="313">
        <f t="shared" si="5"/>
        <v>12</v>
      </c>
      <c r="Y79" s="398">
        <f t="shared" si="7"/>
        <v>36.020800000000001</v>
      </c>
      <c r="Z79" s="325" t="e">
        <f>IF(COUNTA(C79:V79)=0,100,W79+IF(RANK(W79,$W$113:$W$114)=1,100,0))</f>
        <v>#N/A</v>
      </c>
      <c r="AA79" s="324">
        <f>MIN(W79:W80)</f>
        <v>13.010199999999999</v>
      </c>
      <c r="AB79" s="324">
        <f>MAX(W79:W80)</f>
        <v>18.010400000000001</v>
      </c>
    </row>
    <row r="80" spans="1:29" x14ac:dyDescent="0.2">
      <c r="A80" s="318">
        <v>8</v>
      </c>
      <c r="B80" s="328" t="s">
        <v>453</v>
      </c>
      <c r="C80" s="319">
        <v>3</v>
      </c>
      <c r="D80" s="320">
        <v>3</v>
      </c>
      <c r="E80" s="320">
        <v>3</v>
      </c>
      <c r="F80" s="321">
        <v>0</v>
      </c>
      <c r="G80" s="319">
        <v>0</v>
      </c>
      <c r="H80" s="320">
        <v>0</v>
      </c>
      <c r="I80" s="320">
        <v>0</v>
      </c>
      <c r="J80" s="321">
        <v>0</v>
      </c>
      <c r="K80" s="319">
        <v>5</v>
      </c>
      <c r="L80" s="320">
        <v>1</v>
      </c>
      <c r="M80" s="320">
        <v>0</v>
      </c>
      <c r="N80" s="321">
        <v>0</v>
      </c>
      <c r="O80" s="319">
        <v>3</v>
      </c>
      <c r="P80" s="320">
        <v>0</v>
      </c>
      <c r="Q80" s="320">
        <v>0</v>
      </c>
      <c r="R80" s="321">
        <v>0</v>
      </c>
      <c r="S80" s="319">
        <v>0</v>
      </c>
      <c r="T80" s="320">
        <v>0</v>
      </c>
      <c r="U80" s="320">
        <v>0</v>
      </c>
      <c r="V80" s="321">
        <v>0</v>
      </c>
      <c r="W80" s="557">
        <f t="shared" si="6"/>
        <v>18.010400000000001</v>
      </c>
      <c r="X80" s="313">
        <f t="shared" si="5"/>
        <v>9</v>
      </c>
      <c r="Y80" s="398">
        <f t="shared" si="7"/>
        <v>43.021000000000001</v>
      </c>
      <c r="Z80" s="326" t="e">
        <f>IF(COUNTA(C80:V80)=0,0,W80+IF(RANK(W80,$W$113:$W$114)=1,100,0))</f>
        <v>#N/A</v>
      </c>
      <c r="AA80" s="324"/>
      <c r="AB80" s="324"/>
    </row>
    <row r="81" spans="1:29" x14ac:dyDescent="0.2">
      <c r="A81" s="408">
        <v>9</v>
      </c>
      <c r="B81" s="400" t="s">
        <v>435</v>
      </c>
      <c r="C81" s="410">
        <v>0</v>
      </c>
      <c r="D81" s="411">
        <v>3</v>
      </c>
      <c r="E81" s="411">
        <v>0</v>
      </c>
      <c r="F81" s="412">
        <v>0</v>
      </c>
      <c r="G81" s="410">
        <v>3</v>
      </c>
      <c r="H81" s="411">
        <v>0</v>
      </c>
      <c r="I81" s="411">
        <v>3</v>
      </c>
      <c r="J81" s="412">
        <v>3</v>
      </c>
      <c r="K81" s="410">
        <v>1</v>
      </c>
      <c r="L81" s="411">
        <v>0</v>
      </c>
      <c r="M81" s="411">
        <v>0</v>
      </c>
      <c r="N81" s="412">
        <v>0</v>
      </c>
      <c r="O81" s="410">
        <v>0</v>
      </c>
      <c r="P81" s="411">
        <v>0</v>
      </c>
      <c r="Q81" s="411">
        <v>0</v>
      </c>
      <c r="R81" s="412">
        <v>0</v>
      </c>
      <c r="S81" s="410">
        <v>5</v>
      </c>
      <c r="T81" s="411">
        <v>0</v>
      </c>
      <c r="U81" s="411">
        <v>0</v>
      </c>
      <c r="V81" s="412">
        <v>0</v>
      </c>
      <c r="W81" s="557">
        <f t="shared" si="6"/>
        <v>18.010400000000001</v>
      </c>
      <c r="X81" s="398" t="str">
        <f t="shared" si="5"/>
        <v>edasi 6</v>
      </c>
      <c r="Y81" s="413">
        <f t="shared" si="7"/>
        <v>45.020899999999997</v>
      </c>
      <c r="Z81" s="325" t="e">
        <f>IF(COUNTA(C81:V81)=0,100,W81+IF(RANK(W81,$W$115:$W$116)=1,100,0))</f>
        <v>#N/A</v>
      </c>
      <c r="AA81" s="324">
        <f>MIN(W81:W82)</f>
        <v>4.0000999999999998</v>
      </c>
      <c r="AB81" s="324">
        <f>MAX(W81:W82)</f>
        <v>18.010400000000001</v>
      </c>
    </row>
    <row r="82" spans="1:29" x14ac:dyDescent="0.2">
      <c r="A82" s="408">
        <v>10</v>
      </c>
      <c r="B82" s="400" t="s">
        <v>436</v>
      </c>
      <c r="C82" s="410">
        <v>0</v>
      </c>
      <c r="D82" s="411">
        <v>0</v>
      </c>
      <c r="E82" s="411">
        <v>0</v>
      </c>
      <c r="F82" s="412">
        <v>0</v>
      </c>
      <c r="G82" s="410">
        <v>0</v>
      </c>
      <c r="H82" s="411">
        <v>0</v>
      </c>
      <c r="I82" s="411">
        <v>0</v>
      </c>
      <c r="J82" s="412">
        <v>0</v>
      </c>
      <c r="K82" s="410">
        <v>0</v>
      </c>
      <c r="L82" s="411">
        <v>0</v>
      </c>
      <c r="M82" s="411">
        <v>0</v>
      </c>
      <c r="N82" s="412">
        <v>1</v>
      </c>
      <c r="O82" s="410">
        <v>0</v>
      </c>
      <c r="P82" s="411">
        <v>3</v>
      </c>
      <c r="Q82" s="411">
        <v>0</v>
      </c>
      <c r="R82" s="412">
        <v>0</v>
      </c>
      <c r="S82" s="410">
        <v>0</v>
      </c>
      <c r="T82" s="411">
        <v>0</v>
      </c>
      <c r="U82" s="411">
        <v>0</v>
      </c>
      <c r="V82" s="412">
        <v>0</v>
      </c>
      <c r="W82" s="557">
        <f t="shared" si="6"/>
        <v>4.0000999999999998</v>
      </c>
      <c r="X82" s="398">
        <f t="shared" si="5"/>
        <v>13</v>
      </c>
      <c r="Y82" s="398">
        <f t="shared" si="7"/>
        <v>31.020599999999998</v>
      </c>
      <c r="Z82" s="326" t="e">
        <f>IF(COUNTA(C82:V82)=0,0,W82+IF(RANK(W82,$W$115:$W$116)=1,100,0))</f>
        <v>#N/A</v>
      </c>
      <c r="AA82" s="324"/>
      <c r="AB82" s="324"/>
    </row>
    <row r="83" spans="1:29" x14ac:dyDescent="0.2">
      <c r="A83" s="347">
        <v>11</v>
      </c>
      <c r="B83" s="375" t="s">
        <v>55</v>
      </c>
      <c r="C83" s="348">
        <v>3</v>
      </c>
      <c r="D83" s="349">
        <v>0</v>
      </c>
      <c r="E83" s="349">
        <v>0</v>
      </c>
      <c r="F83" s="330">
        <v>0</v>
      </c>
      <c r="G83" s="348">
        <v>0</v>
      </c>
      <c r="H83" s="349">
        <v>0</v>
      </c>
      <c r="I83" s="349">
        <v>0</v>
      </c>
      <c r="J83" s="330">
        <v>0</v>
      </c>
      <c r="K83" s="348">
        <v>1</v>
      </c>
      <c r="L83" s="349">
        <v>0</v>
      </c>
      <c r="M83" s="349">
        <v>1</v>
      </c>
      <c r="N83" s="330">
        <v>0</v>
      </c>
      <c r="O83" s="348">
        <v>0</v>
      </c>
      <c r="P83" s="349">
        <v>1</v>
      </c>
      <c r="Q83" s="349">
        <v>0</v>
      </c>
      <c r="R83" s="330">
        <v>0</v>
      </c>
      <c r="S83" s="348">
        <v>0</v>
      </c>
      <c r="T83" s="349">
        <v>0</v>
      </c>
      <c r="U83" s="349">
        <v>5</v>
      </c>
      <c r="V83" s="330">
        <v>5</v>
      </c>
      <c r="W83" s="557">
        <f t="shared" si="6"/>
        <v>16.020099999999999</v>
      </c>
      <c r="X83" s="313" t="str">
        <f t="shared" si="5"/>
        <v>edasi 7</v>
      </c>
      <c r="Y83" s="413">
        <f t="shared" si="7"/>
        <v>43.040599999999998</v>
      </c>
      <c r="Z83" s="325" t="e">
        <f>IF(COUNTA(C83:V83)=0,100,W83+IF(RANK(W83,$W$117:$W$118)=1,100,0))</f>
        <v>#N/A</v>
      </c>
      <c r="AA83" s="324">
        <f>MIN(W83:W84)</f>
        <v>11.010199999999999</v>
      </c>
      <c r="AB83" s="324">
        <f>MAX(W83:W84)</f>
        <v>16.020099999999999</v>
      </c>
    </row>
    <row r="84" spans="1:29" ht="13.5" thickBot="1" x14ac:dyDescent="0.25">
      <c r="A84" s="376">
        <v>12</v>
      </c>
      <c r="B84" s="377" t="s">
        <v>25</v>
      </c>
      <c r="C84" s="378">
        <v>3</v>
      </c>
      <c r="D84" s="379">
        <v>0</v>
      </c>
      <c r="E84" s="379">
        <v>0</v>
      </c>
      <c r="F84" s="372">
        <v>0</v>
      </c>
      <c r="G84" s="378">
        <v>0</v>
      </c>
      <c r="H84" s="379">
        <v>0</v>
      </c>
      <c r="I84" s="379">
        <v>0</v>
      </c>
      <c r="J84" s="372">
        <v>0</v>
      </c>
      <c r="K84" s="378">
        <v>0</v>
      </c>
      <c r="L84" s="379">
        <v>0</v>
      </c>
      <c r="M84" s="379">
        <v>0</v>
      </c>
      <c r="N84" s="372">
        <v>0</v>
      </c>
      <c r="O84" s="378">
        <v>0</v>
      </c>
      <c r="P84" s="379">
        <v>3</v>
      </c>
      <c r="Q84" s="379">
        <v>0</v>
      </c>
      <c r="R84" s="372">
        <v>0</v>
      </c>
      <c r="S84" s="378">
        <v>5</v>
      </c>
      <c r="T84" s="379">
        <v>0</v>
      </c>
      <c r="U84" s="379">
        <v>0</v>
      </c>
      <c r="V84" s="372">
        <v>0</v>
      </c>
      <c r="W84" s="558">
        <f t="shared" si="6"/>
        <v>11.010199999999999</v>
      </c>
      <c r="X84" s="336" t="str">
        <f t="shared" si="5"/>
        <v>edasi 8</v>
      </c>
      <c r="Y84" s="458">
        <f t="shared" si="7"/>
        <v>43.030900000000003</v>
      </c>
      <c r="Z84" s="326" t="e">
        <f>IF(COUNTA(C84:V84)=0,0,W84+IF(RANK(W84,$W$117:$W$118)=1,100,0))</f>
        <v>#N/A</v>
      </c>
      <c r="AA84" s="324"/>
      <c r="AB84" s="324"/>
    </row>
    <row r="85" spans="1:29" hidden="1" x14ac:dyDescent="0.2">
      <c r="A85" s="366"/>
      <c r="B85" s="367" t="s">
        <v>445</v>
      </c>
      <c r="C85" s="319"/>
      <c r="D85" s="320"/>
      <c r="E85" s="320"/>
      <c r="F85" s="321"/>
      <c r="G85" s="319"/>
      <c r="H85" s="320"/>
      <c r="I85" s="320"/>
      <c r="J85" s="321"/>
      <c r="K85" s="319"/>
      <c r="L85" s="320"/>
      <c r="M85" s="320"/>
      <c r="N85" s="321"/>
      <c r="O85" s="319"/>
      <c r="P85" s="320"/>
      <c r="Q85" s="320"/>
      <c r="R85" s="321"/>
      <c r="S85" s="319"/>
      <c r="T85" s="320"/>
      <c r="U85" s="320"/>
      <c r="V85" s="321"/>
      <c r="W85" s="559"/>
      <c r="X85" s="306"/>
      <c r="Z85" s="323"/>
      <c r="AA85" s="324" t="s">
        <v>379</v>
      </c>
      <c r="AB85" s="324" t="s">
        <v>380</v>
      </c>
    </row>
    <row r="86" spans="1:29" hidden="1" x14ac:dyDescent="0.2">
      <c r="A86" s="393"/>
      <c r="B86" s="402"/>
      <c r="C86" s="395"/>
      <c r="D86" s="383"/>
      <c r="E86" s="396"/>
      <c r="F86" s="397"/>
      <c r="G86" s="395"/>
      <c r="H86" s="383"/>
      <c r="I86" s="396"/>
      <c r="J86" s="397"/>
      <c r="K86" s="395"/>
      <c r="L86" s="383"/>
      <c r="M86" s="396"/>
      <c r="N86" s="397"/>
      <c r="O86" s="395"/>
      <c r="P86" s="383"/>
      <c r="Q86" s="396"/>
      <c r="R86" s="397"/>
      <c r="S86" s="395"/>
      <c r="T86" s="383"/>
      <c r="U86" s="396"/>
      <c r="V86" s="397"/>
      <c r="W86" s="557" t="str">
        <f t="shared" ref="W86:W105" si="9">IF(COUNTA(C86:V86)=0,"",SUM(C86:V86)+COUNTIF(C86:V86,5)/100+COUNTIF(C86:V86,3)/10000)</f>
        <v/>
      </c>
      <c r="X86" s="398"/>
      <c r="AC86" s="346"/>
    </row>
    <row r="87" spans="1:29" hidden="1" x14ac:dyDescent="0.2">
      <c r="A87" s="393"/>
      <c r="B87" s="402"/>
      <c r="C87" s="395"/>
      <c r="D87" s="383"/>
      <c r="E87" s="396"/>
      <c r="F87" s="397"/>
      <c r="G87" s="395"/>
      <c r="H87" s="383"/>
      <c r="I87" s="396"/>
      <c r="J87" s="397"/>
      <c r="K87" s="395"/>
      <c r="L87" s="383"/>
      <c r="M87" s="396"/>
      <c r="N87" s="397"/>
      <c r="O87" s="395"/>
      <c r="P87" s="383"/>
      <c r="Q87" s="396"/>
      <c r="R87" s="397"/>
      <c r="S87" s="395"/>
      <c r="T87" s="383"/>
      <c r="U87" s="396"/>
      <c r="V87" s="397"/>
      <c r="W87" s="557" t="str">
        <f t="shared" si="9"/>
        <v/>
      </c>
      <c r="X87" s="398"/>
      <c r="AC87" s="346"/>
    </row>
    <row r="88" spans="1:29" hidden="1" x14ac:dyDescent="0.2">
      <c r="A88" s="393"/>
      <c r="B88" s="401"/>
      <c r="C88" s="395"/>
      <c r="D88" s="383"/>
      <c r="E88" s="396"/>
      <c r="F88" s="397"/>
      <c r="G88" s="395"/>
      <c r="H88" s="383"/>
      <c r="I88" s="396"/>
      <c r="J88" s="397"/>
      <c r="K88" s="395"/>
      <c r="L88" s="383"/>
      <c r="M88" s="396"/>
      <c r="N88" s="397"/>
      <c r="O88" s="395"/>
      <c r="P88" s="383"/>
      <c r="Q88" s="396"/>
      <c r="R88" s="397"/>
      <c r="S88" s="395"/>
      <c r="T88" s="383"/>
      <c r="U88" s="396"/>
      <c r="V88" s="397"/>
      <c r="W88" s="557" t="str">
        <f t="shared" si="9"/>
        <v/>
      </c>
      <c r="X88" s="398"/>
      <c r="AC88" s="346"/>
    </row>
    <row r="89" spans="1:29" hidden="1" x14ac:dyDescent="0.2">
      <c r="A89" s="393"/>
      <c r="B89" s="402"/>
      <c r="C89" s="395"/>
      <c r="D89" s="383"/>
      <c r="E89" s="396"/>
      <c r="F89" s="397"/>
      <c r="G89" s="395"/>
      <c r="H89" s="383"/>
      <c r="I89" s="396"/>
      <c r="J89" s="397"/>
      <c r="K89" s="395"/>
      <c r="L89" s="383"/>
      <c r="M89" s="396"/>
      <c r="N89" s="397"/>
      <c r="O89" s="395"/>
      <c r="P89" s="383"/>
      <c r="Q89" s="396"/>
      <c r="R89" s="397"/>
      <c r="S89" s="395"/>
      <c r="T89" s="383"/>
      <c r="U89" s="396"/>
      <c r="V89" s="397"/>
      <c r="W89" s="557" t="str">
        <f t="shared" si="9"/>
        <v/>
      </c>
      <c r="X89" s="398"/>
      <c r="AC89" s="346"/>
    </row>
    <row r="90" spans="1:29" hidden="1" x14ac:dyDescent="0.2">
      <c r="A90" s="308"/>
      <c r="B90" s="374"/>
      <c r="C90" s="310"/>
      <c r="D90" s="307"/>
      <c r="E90" s="311"/>
      <c r="F90" s="312"/>
      <c r="G90" s="310"/>
      <c r="H90" s="307"/>
      <c r="I90" s="311"/>
      <c r="J90" s="312"/>
      <c r="K90" s="310"/>
      <c r="L90" s="307"/>
      <c r="M90" s="311"/>
      <c r="N90" s="312"/>
      <c r="O90" s="310"/>
      <c r="P90" s="307"/>
      <c r="Q90" s="311"/>
      <c r="R90" s="312"/>
      <c r="S90" s="310"/>
      <c r="T90" s="307"/>
      <c r="U90" s="311"/>
      <c r="V90" s="312"/>
      <c r="W90" s="557" t="str">
        <f t="shared" si="9"/>
        <v/>
      </c>
      <c r="X90" s="313"/>
      <c r="AC90" s="346"/>
    </row>
    <row r="91" spans="1:29" hidden="1" x14ac:dyDescent="0.2">
      <c r="A91" s="308"/>
      <c r="B91" s="342"/>
      <c r="C91" s="310"/>
      <c r="D91" s="307"/>
      <c r="E91" s="311"/>
      <c r="F91" s="312"/>
      <c r="G91" s="310"/>
      <c r="H91" s="307"/>
      <c r="I91" s="311"/>
      <c r="J91" s="312"/>
      <c r="K91" s="310"/>
      <c r="L91" s="307"/>
      <c r="M91" s="311"/>
      <c r="N91" s="312"/>
      <c r="O91" s="310"/>
      <c r="P91" s="307"/>
      <c r="Q91" s="311"/>
      <c r="R91" s="312"/>
      <c r="S91" s="310"/>
      <c r="T91" s="307"/>
      <c r="U91" s="311"/>
      <c r="V91" s="312"/>
      <c r="W91" s="557" t="str">
        <f t="shared" si="9"/>
        <v/>
      </c>
      <c r="X91" s="313"/>
      <c r="AC91" s="346"/>
    </row>
    <row r="92" spans="1:29" hidden="1" x14ac:dyDescent="0.2">
      <c r="A92" s="382"/>
      <c r="B92" s="314"/>
      <c r="C92" s="310"/>
      <c r="D92" s="307"/>
      <c r="E92" s="311"/>
      <c r="F92" s="312"/>
      <c r="G92" s="310"/>
      <c r="H92" s="307"/>
      <c r="I92" s="311"/>
      <c r="J92" s="312"/>
      <c r="K92" s="310"/>
      <c r="L92" s="307"/>
      <c r="M92" s="311"/>
      <c r="N92" s="312"/>
      <c r="O92" s="310"/>
      <c r="P92" s="307"/>
      <c r="Q92" s="311"/>
      <c r="R92" s="312"/>
      <c r="S92" s="310"/>
      <c r="T92" s="307"/>
      <c r="U92" s="311"/>
      <c r="V92" s="312"/>
      <c r="W92" s="557" t="str">
        <f t="shared" si="9"/>
        <v/>
      </c>
      <c r="X92" s="313"/>
    </row>
    <row r="93" spans="1:29" hidden="1" x14ac:dyDescent="0.2">
      <c r="A93" s="382"/>
      <c r="B93" s="314"/>
      <c r="C93" s="310"/>
      <c r="D93" s="307"/>
      <c r="E93" s="311"/>
      <c r="F93" s="312"/>
      <c r="G93" s="310"/>
      <c r="H93" s="307"/>
      <c r="I93" s="311"/>
      <c r="J93" s="312"/>
      <c r="K93" s="310"/>
      <c r="L93" s="307"/>
      <c r="M93" s="311"/>
      <c r="N93" s="312"/>
      <c r="O93" s="310"/>
      <c r="P93" s="307"/>
      <c r="Q93" s="311"/>
      <c r="R93" s="312"/>
      <c r="S93" s="310"/>
      <c r="T93" s="307"/>
      <c r="U93" s="311"/>
      <c r="V93" s="312"/>
      <c r="W93" s="557" t="str">
        <f t="shared" si="9"/>
        <v/>
      </c>
      <c r="X93" s="313"/>
    </row>
    <row r="94" spans="1:29" hidden="1" x14ac:dyDescent="0.2">
      <c r="A94" s="393"/>
      <c r="B94" s="402"/>
      <c r="C94" s="395"/>
      <c r="D94" s="383"/>
      <c r="E94" s="396"/>
      <c r="F94" s="397"/>
      <c r="G94" s="395"/>
      <c r="H94" s="383"/>
      <c r="I94" s="396"/>
      <c r="J94" s="397"/>
      <c r="K94" s="395"/>
      <c r="L94" s="383"/>
      <c r="M94" s="396"/>
      <c r="N94" s="397"/>
      <c r="O94" s="395"/>
      <c r="P94" s="383"/>
      <c r="Q94" s="396"/>
      <c r="R94" s="397"/>
      <c r="S94" s="395"/>
      <c r="T94" s="383"/>
      <c r="U94" s="396"/>
      <c r="V94" s="397"/>
      <c r="W94" s="557" t="str">
        <f t="shared" si="9"/>
        <v/>
      </c>
      <c r="X94" s="398"/>
      <c r="AC94" s="346"/>
    </row>
    <row r="95" spans="1:29" hidden="1" x14ac:dyDescent="0.2">
      <c r="A95" s="393"/>
      <c r="B95" s="402"/>
      <c r="C95" s="395"/>
      <c r="D95" s="383"/>
      <c r="E95" s="396"/>
      <c r="F95" s="397"/>
      <c r="G95" s="395"/>
      <c r="H95" s="383"/>
      <c r="I95" s="396"/>
      <c r="J95" s="397"/>
      <c r="K95" s="395"/>
      <c r="L95" s="383"/>
      <c r="M95" s="396"/>
      <c r="N95" s="397"/>
      <c r="O95" s="395"/>
      <c r="P95" s="383"/>
      <c r="Q95" s="396"/>
      <c r="R95" s="397"/>
      <c r="S95" s="395"/>
      <c r="T95" s="383"/>
      <c r="U95" s="396"/>
      <c r="V95" s="397"/>
      <c r="W95" s="557" t="str">
        <f t="shared" si="9"/>
        <v/>
      </c>
      <c r="X95" s="398"/>
      <c r="AC95" s="346"/>
    </row>
    <row r="96" spans="1:29" hidden="1" x14ac:dyDescent="0.2">
      <c r="A96" s="393"/>
      <c r="B96" s="401"/>
      <c r="C96" s="395"/>
      <c r="D96" s="383"/>
      <c r="E96" s="396"/>
      <c r="F96" s="397"/>
      <c r="G96" s="395"/>
      <c r="H96" s="383"/>
      <c r="I96" s="396"/>
      <c r="J96" s="397"/>
      <c r="K96" s="395"/>
      <c r="L96" s="383"/>
      <c r="M96" s="396"/>
      <c r="N96" s="397"/>
      <c r="O96" s="395"/>
      <c r="P96" s="383"/>
      <c r="Q96" s="396"/>
      <c r="R96" s="397"/>
      <c r="S96" s="395"/>
      <c r="T96" s="383"/>
      <c r="U96" s="396"/>
      <c r="V96" s="397"/>
      <c r="W96" s="557" t="str">
        <f t="shared" si="9"/>
        <v/>
      </c>
      <c r="X96" s="398"/>
      <c r="AC96" s="346"/>
    </row>
    <row r="97" spans="1:29" hidden="1" x14ac:dyDescent="0.2">
      <c r="A97" s="393"/>
      <c r="B97" s="402"/>
      <c r="C97" s="395"/>
      <c r="D97" s="383"/>
      <c r="E97" s="396"/>
      <c r="F97" s="397"/>
      <c r="G97" s="395"/>
      <c r="H97" s="383"/>
      <c r="I97" s="396"/>
      <c r="J97" s="397"/>
      <c r="K97" s="395"/>
      <c r="L97" s="383"/>
      <c r="M97" s="396"/>
      <c r="N97" s="397"/>
      <c r="O97" s="395"/>
      <c r="P97" s="383"/>
      <c r="Q97" s="396"/>
      <c r="R97" s="397"/>
      <c r="S97" s="395"/>
      <c r="T97" s="383"/>
      <c r="U97" s="396"/>
      <c r="V97" s="397"/>
      <c r="W97" s="557" t="str">
        <f t="shared" si="9"/>
        <v/>
      </c>
      <c r="X97" s="398"/>
      <c r="AC97" s="346"/>
    </row>
    <row r="98" spans="1:29" hidden="1" x14ac:dyDescent="0.2">
      <c r="A98" s="308"/>
      <c r="B98" s="374"/>
      <c r="C98" s="310"/>
      <c r="D98" s="307"/>
      <c r="E98" s="311"/>
      <c r="F98" s="312"/>
      <c r="G98" s="310"/>
      <c r="H98" s="307"/>
      <c r="I98" s="311"/>
      <c r="J98" s="312"/>
      <c r="K98" s="310"/>
      <c r="L98" s="307"/>
      <c r="M98" s="311"/>
      <c r="N98" s="312"/>
      <c r="O98" s="310"/>
      <c r="P98" s="307"/>
      <c r="Q98" s="311"/>
      <c r="R98" s="312"/>
      <c r="S98" s="310"/>
      <c r="T98" s="307"/>
      <c r="U98" s="311"/>
      <c r="V98" s="312"/>
      <c r="W98" s="557" t="str">
        <f t="shared" si="9"/>
        <v/>
      </c>
      <c r="X98" s="313"/>
      <c r="AC98" s="346"/>
    </row>
    <row r="99" spans="1:29" hidden="1" x14ac:dyDescent="0.2">
      <c r="A99" s="308"/>
      <c r="B99" s="342"/>
      <c r="C99" s="310"/>
      <c r="D99" s="307"/>
      <c r="E99" s="311"/>
      <c r="F99" s="312"/>
      <c r="G99" s="310"/>
      <c r="H99" s="307"/>
      <c r="I99" s="311"/>
      <c r="J99" s="312"/>
      <c r="K99" s="310"/>
      <c r="L99" s="307"/>
      <c r="M99" s="311"/>
      <c r="N99" s="312"/>
      <c r="O99" s="310"/>
      <c r="P99" s="307"/>
      <c r="Q99" s="311"/>
      <c r="R99" s="312"/>
      <c r="S99" s="310"/>
      <c r="T99" s="307"/>
      <c r="U99" s="311"/>
      <c r="V99" s="312"/>
      <c r="W99" s="557" t="str">
        <f t="shared" si="9"/>
        <v/>
      </c>
      <c r="X99" s="313"/>
      <c r="AC99" s="346"/>
    </row>
    <row r="100" spans="1:29" hidden="1" x14ac:dyDescent="0.2">
      <c r="A100" s="382"/>
      <c r="B100" s="314"/>
      <c r="C100" s="310"/>
      <c r="D100" s="307"/>
      <c r="E100" s="311"/>
      <c r="F100" s="312"/>
      <c r="G100" s="310"/>
      <c r="H100" s="307"/>
      <c r="I100" s="311"/>
      <c r="J100" s="312"/>
      <c r="K100" s="310"/>
      <c r="L100" s="307"/>
      <c r="M100" s="311"/>
      <c r="N100" s="312"/>
      <c r="O100" s="310"/>
      <c r="P100" s="307"/>
      <c r="Q100" s="311"/>
      <c r="R100" s="312"/>
      <c r="S100" s="310"/>
      <c r="T100" s="307"/>
      <c r="U100" s="311"/>
      <c r="V100" s="312"/>
      <c r="W100" s="557" t="str">
        <f t="shared" si="9"/>
        <v/>
      </c>
      <c r="X100" s="313"/>
    </row>
    <row r="101" spans="1:29" hidden="1" x14ac:dyDescent="0.2">
      <c r="A101" s="382"/>
      <c r="B101" s="314"/>
      <c r="C101" s="310"/>
      <c r="D101" s="307"/>
      <c r="E101" s="311"/>
      <c r="F101" s="312"/>
      <c r="G101" s="310"/>
      <c r="H101" s="307"/>
      <c r="I101" s="311"/>
      <c r="J101" s="312"/>
      <c r="K101" s="310"/>
      <c r="L101" s="307"/>
      <c r="M101" s="311"/>
      <c r="N101" s="312"/>
      <c r="O101" s="310"/>
      <c r="P101" s="307"/>
      <c r="Q101" s="311"/>
      <c r="R101" s="312"/>
      <c r="S101" s="310"/>
      <c r="T101" s="307"/>
      <c r="U101" s="311"/>
      <c r="V101" s="312"/>
      <c r="W101" s="557" t="str">
        <f t="shared" si="9"/>
        <v/>
      </c>
      <c r="X101" s="313"/>
    </row>
    <row r="102" spans="1:29" hidden="1" x14ac:dyDescent="0.2">
      <c r="A102" s="393"/>
      <c r="B102" s="401"/>
      <c r="C102" s="395"/>
      <c r="D102" s="383"/>
      <c r="E102" s="396"/>
      <c r="F102" s="397"/>
      <c r="G102" s="395"/>
      <c r="H102" s="383"/>
      <c r="I102" s="396"/>
      <c r="J102" s="397"/>
      <c r="K102" s="395"/>
      <c r="L102" s="383"/>
      <c r="M102" s="396"/>
      <c r="N102" s="397"/>
      <c r="O102" s="395"/>
      <c r="P102" s="383"/>
      <c r="Q102" s="396"/>
      <c r="R102" s="397"/>
      <c r="S102" s="395"/>
      <c r="T102" s="383"/>
      <c r="U102" s="396"/>
      <c r="V102" s="397"/>
      <c r="W102" s="557" t="str">
        <f t="shared" si="9"/>
        <v/>
      </c>
      <c r="X102" s="398"/>
    </row>
    <row r="103" spans="1:29" hidden="1" x14ac:dyDescent="0.2">
      <c r="A103" s="393"/>
      <c r="B103" s="401"/>
      <c r="C103" s="395"/>
      <c r="D103" s="383"/>
      <c r="E103" s="396"/>
      <c r="F103" s="397"/>
      <c r="G103" s="395"/>
      <c r="H103" s="383"/>
      <c r="I103" s="396"/>
      <c r="J103" s="397"/>
      <c r="K103" s="395"/>
      <c r="L103" s="383"/>
      <c r="M103" s="396"/>
      <c r="N103" s="397"/>
      <c r="O103" s="395"/>
      <c r="P103" s="383"/>
      <c r="Q103" s="396"/>
      <c r="R103" s="397"/>
      <c r="S103" s="395"/>
      <c r="T103" s="383"/>
      <c r="U103" s="396"/>
      <c r="V103" s="397"/>
      <c r="W103" s="557" t="str">
        <f t="shared" si="9"/>
        <v/>
      </c>
      <c r="X103" s="398"/>
    </row>
    <row r="104" spans="1:29" hidden="1" x14ac:dyDescent="0.2">
      <c r="A104" s="393"/>
      <c r="B104" s="402"/>
      <c r="C104" s="395"/>
      <c r="D104" s="383"/>
      <c r="E104" s="396"/>
      <c r="F104" s="397"/>
      <c r="G104" s="395"/>
      <c r="H104" s="383"/>
      <c r="I104" s="396"/>
      <c r="J104" s="397"/>
      <c r="K104" s="395"/>
      <c r="L104" s="383"/>
      <c r="M104" s="396"/>
      <c r="N104" s="397"/>
      <c r="O104" s="395"/>
      <c r="P104" s="383"/>
      <c r="Q104" s="396"/>
      <c r="R104" s="397"/>
      <c r="S104" s="395"/>
      <c r="T104" s="383"/>
      <c r="U104" s="396"/>
      <c r="V104" s="397"/>
      <c r="W104" s="557" t="str">
        <f t="shared" si="9"/>
        <v/>
      </c>
      <c r="X104" s="398"/>
    </row>
    <row r="105" spans="1:29" hidden="1" x14ac:dyDescent="0.2">
      <c r="A105" s="393"/>
      <c r="B105" s="408"/>
      <c r="C105" s="395"/>
      <c r="D105" s="383"/>
      <c r="E105" s="396"/>
      <c r="F105" s="397"/>
      <c r="G105" s="395"/>
      <c r="H105" s="383"/>
      <c r="I105" s="396"/>
      <c r="J105" s="397"/>
      <c r="K105" s="395"/>
      <c r="L105" s="383"/>
      <c r="M105" s="396"/>
      <c r="N105" s="397"/>
      <c r="O105" s="395"/>
      <c r="P105" s="383"/>
      <c r="Q105" s="396"/>
      <c r="R105" s="397"/>
      <c r="S105" s="395"/>
      <c r="T105" s="383"/>
      <c r="U105" s="396"/>
      <c r="V105" s="397"/>
      <c r="W105" s="557" t="str">
        <f t="shared" si="9"/>
        <v/>
      </c>
      <c r="X105" s="398"/>
    </row>
    <row r="106" spans="1:29" hidden="1" x14ac:dyDescent="0.2">
      <c r="A106" s="308"/>
      <c r="B106" s="374"/>
      <c r="C106" s="310"/>
      <c r="D106" s="307"/>
      <c r="E106" s="311"/>
      <c r="F106" s="312"/>
      <c r="G106" s="310"/>
      <c r="H106" s="307"/>
      <c r="I106" s="311"/>
      <c r="J106" s="312"/>
      <c r="K106" s="310"/>
      <c r="L106" s="307"/>
      <c r="M106" s="311"/>
      <c r="N106" s="312"/>
      <c r="O106" s="310"/>
      <c r="P106" s="307"/>
      <c r="Q106" s="311"/>
      <c r="R106" s="312"/>
      <c r="S106" s="310"/>
      <c r="T106" s="307"/>
      <c r="U106" s="311"/>
      <c r="V106" s="312"/>
      <c r="W106" s="557" t="str">
        <f t="shared" ref="W106:W109" si="10">IF(COUNTA(C106:V106)=0,"",SUM(C106:V106)+COUNTIF(C106:V106,5)/100+COUNTIF(C106:V106,3)/10000)</f>
        <v/>
      </c>
      <c r="X106" s="313"/>
      <c r="AC106" s="346"/>
    </row>
    <row r="107" spans="1:29" hidden="1" x14ac:dyDescent="0.2">
      <c r="A107" s="308"/>
      <c r="B107" s="342"/>
      <c r="C107" s="310"/>
      <c r="D107" s="307"/>
      <c r="E107" s="311"/>
      <c r="F107" s="312"/>
      <c r="G107" s="310"/>
      <c r="H107" s="307"/>
      <c r="I107" s="311"/>
      <c r="J107" s="312"/>
      <c r="K107" s="310"/>
      <c r="L107" s="307"/>
      <c r="M107" s="311"/>
      <c r="N107" s="312"/>
      <c r="O107" s="310"/>
      <c r="P107" s="307"/>
      <c r="Q107" s="311"/>
      <c r="R107" s="312"/>
      <c r="S107" s="310"/>
      <c r="T107" s="307"/>
      <c r="U107" s="311"/>
      <c r="V107" s="312"/>
      <c r="W107" s="557" t="str">
        <f t="shared" si="10"/>
        <v/>
      </c>
      <c r="X107" s="313"/>
      <c r="AC107" s="346"/>
    </row>
    <row r="108" spans="1:29" hidden="1" x14ac:dyDescent="0.2">
      <c r="A108" s="382"/>
      <c r="B108" s="314"/>
      <c r="C108" s="310"/>
      <c r="D108" s="307"/>
      <c r="E108" s="311"/>
      <c r="F108" s="312"/>
      <c r="G108" s="310"/>
      <c r="H108" s="307"/>
      <c r="I108" s="311"/>
      <c r="J108" s="312"/>
      <c r="K108" s="310"/>
      <c r="L108" s="307"/>
      <c r="M108" s="311"/>
      <c r="N108" s="312"/>
      <c r="O108" s="310"/>
      <c r="P108" s="307"/>
      <c r="Q108" s="311"/>
      <c r="R108" s="312"/>
      <c r="S108" s="310"/>
      <c r="T108" s="307"/>
      <c r="U108" s="311"/>
      <c r="V108" s="312"/>
      <c r="W108" s="557" t="str">
        <f t="shared" si="10"/>
        <v/>
      </c>
      <c r="X108" s="313"/>
    </row>
    <row r="109" spans="1:29" ht="13.5" hidden="1" thickBot="1" x14ac:dyDescent="0.25">
      <c r="A109" s="384"/>
      <c r="B109" s="385"/>
      <c r="C109" s="386"/>
      <c r="D109" s="317"/>
      <c r="E109" s="387"/>
      <c r="F109" s="388"/>
      <c r="G109" s="386"/>
      <c r="H109" s="317"/>
      <c r="I109" s="387"/>
      <c r="J109" s="388"/>
      <c r="K109" s="386"/>
      <c r="L109" s="317"/>
      <c r="M109" s="387"/>
      <c r="N109" s="388"/>
      <c r="O109" s="386"/>
      <c r="P109" s="317"/>
      <c r="Q109" s="387"/>
      <c r="R109" s="388"/>
      <c r="S109" s="386"/>
      <c r="T109" s="317"/>
      <c r="U109" s="387"/>
      <c r="V109" s="388"/>
      <c r="W109" s="558" t="str">
        <f t="shared" si="10"/>
        <v/>
      </c>
      <c r="X109" s="336"/>
    </row>
    <row r="110" spans="1:29" x14ac:dyDescent="0.2">
      <c r="A110" s="366"/>
      <c r="B110" s="302" t="s">
        <v>378</v>
      </c>
      <c r="C110" s="303"/>
      <c r="D110" s="304"/>
      <c r="E110" s="304"/>
      <c r="F110" s="305"/>
      <c r="G110" s="303"/>
      <c r="H110" s="304"/>
      <c r="I110" s="304"/>
      <c r="J110" s="305"/>
      <c r="K110" s="303"/>
      <c r="L110" s="304"/>
      <c r="M110" s="304"/>
      <c r="N110" s="305"/>
      <c r="O110" s="303"/>
      <c r="P110" s="304"/>
      <c r="Q110" s="304"/>
      <c r="R110" s="305"/>
      <c r="S110" s="303"/>
      <c r="T110" s="304"/>
      <c r="U110" s="304"/>
      <c r="V110" s="305"/>
      <c r="W110" s="560" t="str">
        <f t="shared" si="2"/>
        <v/>
      </c>
      <c r="X110" s="306"/>
      <c r="Y110" s="439"/>
      <c r="Z110" s="323"/>
      <c r="AA110" s="324" t="s">
        <v>379</v>
      </c>
      <c r="AB110" s="324" t="s">
        <v>380</v>
      </c>
    </row>
    <row r="111" spans="1:29" x14ac:dyDescent="0.2">
      <c r="A111" s="408">
        <v>4</v>
      </c>
      <c r="B111" s="409" t="s">
        <v>261</v>
      </c>
      <c r="C111" s="410">
        <v>3</v>
      </c>
      <c r="D111" s="411">
        <v>0</v>
      </c>
      <c r="E111" s="411">
        <v>0</v>
      </c>
      <c r="F111" s="412">
        <v>0</v>
      </c>
      <c r="G111" s="410">
        <v>3</v>
      </c>
      <c r="H111" s="411">
        <v>0</v>
      </c>
      <c r="I111" s="411">
        <v>3</v>
      </c>
      <c r="J111" s="412">
        <v>0</v>
      </c>
      <c r="K111" s="410">
        <v>1</v>
      </c>
      <c r="L111" s="411">
        <v>1</v>
      </c>
      <c r="M111" s="411">
        <v>0</v>
      </c>
      <c r="N111" s="412">
        <v>0</v>
      </c>
      <c r="O111" s="410">
        <v>0</v>
      </c>
      <c r="P111" s="411">
        <v>0</v>
      </c>
      <c r="Q111" s="411">
        <v>0</v>
      </c>
      <c r="R111" s="412">
        <v>0</v>
      </c>
      <c r="S111" s="410">
        <v>0</v>
      </c>
      <c r="T111" s="411">
        <v>0</v>
      </c>
      <c r="U111" s="411">
        <v>0</v>
      </c>
      <c r="V111" s="412">
        <v>0</v>
      </c>
      <c r="W111" s="557">
        <f t="shared" si="2"/>
        <v>11.000299999999999</v>
      </c>
      <c r="X111" s="414">
        <f>IF(ISBLANK(C111),"",IF(W111=W112,"edasi "&amp;RANK(W111,$AB$111:$AB$118),(IF(RANK(Z111,$Z$111:$Z$112)&lt;2,"edasi "&amp;RANK(W111,$AB$111:$AB$118),RANK(W111,$AA$111:$AA$118)+4))))</f>
        <v>7</v>
      </c>
      <c r="Z111" s="325">
        <f>IF(COUNTA(C111:V111)=0,100,W111+IF(RANK(W111,$W$111:$W$112)=1,100,0))</f>
        <v>11.000299999999999</v>
      </c>
      <c r="AA111" s="324">
        <f>MIN(W111:W112)</f>
        <v>11.000299999999999</v>
      </c>
      <c r="AB111" s="324">
        <f>MAX(W111:W112)</f>
        <v>26.0106</v>
      </c>
    </row>
    <row r="112" spans="1:29" x14ac:dyDescent="0.2">
      <c r="A112" s="408">
        <v>5</v>
      </c>
      <c r="B112" s="438" t="s">
        <v>59</v>
      </c>
      <c r="C112" s="410">
        <v>3</v>
      </c>
      <c r="D112" s="411">
        <v>3</v>
      </c>
      <c r="E112" s="411">
        <v>0</v>
      </c>
      <c r="F112" s="412">
        <v>0</v>
      </c>
      <c r="G112" s="410">
        <v>3</v>
      </c>
      <c r="H112" s="411">
        <v>0</v>
      </c>
      <c r="I112" s="411">
        <v>3</v>
      </c>
      <c r="J112" s="412">
        <v>3</v>
      </c>
      <c r="K112" s="410">
        <v>1</v>
      </c>
      <c r="L112" s="411">
        <v>1</v>
      </c>
      <c r="M112" s="411">
        <v>0</v>
      </c>
      <c r="N112" s="412">
        <v>3</v>
      </c>
      <c r="O112" s="410">
        <v>0</v>
      </c>
      <c r="P112" s="411">
        <v>0</v>
      </c>
      <c r="Q112" s="411">
        <v>0</v>
      </c>
      <c r="R112" s="412">
        <v>1</v>
      </c>
      <c r="S112" s="410">
        <v>5</v>
      </c>
      <c r="T112" s="411">
        <v>0</v>
      </c>
      <c r="U112" s="411">
        <v>0</v>
      </c>
      <c r="V112" s="412">
        <v>0</v>
      </c>
      <c r="W112" s="557">
        <f t="shared" si="2"/>
        <v>26.0106</v>
      </c>
      <c r="X112" s="414" t="str">
        <f>IF(ISBLANK(C112),"",IF(RANK(Z112,$Z$111:$Z$112)&lt;2,"edasi "&amp;RANK(W112,$AB$111:$AB$118),RANK(W112,$AA$111:$AA$118)+4))</f>
        <v>edasi 3</v>
      </c>
      <c r="Z112" s="326">
        <f>IF(COUNTA(C112:V112)=0,0,W112+IF(RANK(W112,$W$111:$W$112)=1,100,0))</f>
        <v>126.0106</v>
      </c>
      <c r="AA112" s="324"/>
      <c r="AB112" s="324"/>
    </row>
    <row r="113" spans="1:29" x14ac:dyDescent="0.2">
      <c r="A113" s="318">
        <v>3</v>
      </c>
      <c r="B113" s="327" t="s">
        <v>270</v>
      </c>
      <c r="C113" s="319">
        <v>3</v>
      </c>
      <c r="D113" s="320">
        <v>5</v>
      </c>
      <c r="E113" s="320">
        <v>0</v>
      </c>
      <c r="F113" s="321">
        <v>0</v>
      </c>
      <c r="G113" s="319">
        <v>0</v>
      </c>
      <c r="H113" s="320">
        <v>0</v>
      </c>
      <c r="I113" s="320">
        <v>3</v>
      </c>
      <c r="J113" s="321">
        <v>0</v>
      </c>
      <c r="K113" s="319">
        <v>1</v>
      </c>
      <c r="L113" s="320">
        <v>1</v>
      </c>
      <c r="M113" s="320">
        <v>0</v>
      </c>
      <c r="N113" s="321">
        <v>0</v>
      </c>
      <c r="O113" s="319">
        <v>3</v>
      </c>
      <c r="P113" s="320">
        <v>3</v>
      </c>
      <c r="Q113" s="320">
        <v>3</v>
      </c>
      <c r="R113" s="321">
        <v>3</v>
      </c>
      <c r="S113" s="319">
        <v>0</v>
      </c>
      <c r="T113" s="320">
        <v>5</v>
      </c>
      <c r="U113" s="320">
        <v>0</v>
      </c>
      <c r="V113" s="321">
        <v>0</v>
      </c>
      <c r="W113" s="557">
        <f t="shared" si="2"/>
        <v>30.020599999999998</v>
      </c>
      <c r="X113" s="322" t="str">
        <f>IF(ISBLANK(C113),"",IF(RANK(Z113,$Z$113:$Z$114)&lt;2,"edasi "&amp;RANK(W113,$AB$111:$AB$118),RANK(W113,$AA$111:$AA$118)+4))</f>
        <v>edasi 2</v>
      </c>
      <c r="Z113" s="325">
        <f>IF(COUNTA(C113:V113)=0,100,W113+IF(RANK(W113,$W$113:$W$114)=1,100,0))</f>
        <v>130.0206</v>
      </c>
      <c r="AA113" s="324">
        <f>MIN(W113:W114)</f>
        <v>5.0000999999999998</v>
      </c>
      <c r="AB113" s="324">
        <f>MAX(W113:W114)</f>
        <v>30.020599999999998</v>
      </c>
    </row>
    <row r="114" spans="1:29" x14ac:dyDescent="0.2">
      <c r="A114" s="318">
        <v>6</v>
      </c>
      <c r="B114" s="328" t="s">
        <v>435</v>
      </c>
      <c r="C114" s="319">
        <v>0</v>
      </c>
      <c r="D114" s="320">
        <v>0</v>
      </c>
      <c r="E114" s="320">
        <v>0</v>
      </c>
      <c r="F114" s="321">
        <v>0</v>
      </c>
      <c r="G114" s="319">
        <v>0</v>
      </c>
      <c r="H114" s="320">
        <v>3</v>
      </c>
      <c r="I114" s="320">
        <v>0</v>
      </c>
      <c r="J114" s="321">
        <v>1</v>
      </c>
      <c r="K114" s="319">
        <v>1</v>
      </c>
      <c r="L114" s="320">
        <v>0</v>
      </c>
      <c r="M114" s="320">
        <v>0</v>
      </c>
      <c r="N114" s="321">
        <v>0</v>
      </c>
      <c r="O114" s="319">
        <v>0</v>
      </c>
      <c r="P114" s="320">
        <v>0</v>
      </c>
      <c r="Q114" s="320">
        <v>0</v>
      </c>
      <c r="R114" s="321">
        <v>0</v>
      </c>
      <c r="S114" s="319">
        <v>0</v>
      </c>
      <c r="T114" s="320">
        <v>0</v>
      </c>
      <c r="U114" s="320">
        <v>0</v>
      </c>
      <c r="V114" s="321">
        <v>0</v>
      </c>
      <c r="W114" s="557">
        <f t="shared" si="2"/>
        <v>5.0000999999999998</v>
      </c>
      <c r="X114" s="322">
        <f>IF(ISBLANK(C114),"",IF(RANK(Z114,$Z$113:$Z$114)&lt;2,"edasi "&amp;RANK(W114,$AB$111:$AB$118),RANK(W114,$AA$111:$AA$118)+4))</f>
        <v>8</v>
      </c>
      <c r="Z114" s="326">
        <f>IF(COUNTA(C114:V114)=0,0,W114+IF(RANK(W114,$W$113:$W$114)=1,100,0))</f>
        <v>5.0000999999999998</v>
      </c>
      <c r="AA114" s="324"/>
      <c r="AB114" s="324"/>
    </row>
    <row r="115" spans="1:29" x14ac:dyDescent="0.2">
      <c r="A115" s="408">
        <v>2</v>
      </c>
      <c r="B115" s="437" t="s">
        <v>35</v>
      </c>
      <c r="C115" s="410">
        <v>0</v>
      </c>
      <c r="D115" s="411">
        <v>3</v>
      </c>
      <c r="E115" s="411">
        <v>0</v>
      </c>
      <c r="F115" s="412">
        <v>3</v>
      </c>
      <c r="G115" s="410">
        <v>0</v>
      </c>
      <c r="H115" s="411">
        <v>0</v>
      </c>
      <c r="I115" s="411">
        <v>3</v>
      </c>
      <c r="J115" s="412">
        <v>0</v>
      </c>
      <c r="K115" s="410">
        <v>1</v>
      </c>
      <c r="L115" s="411">
        <v>1</v>
      </c>
      <c r="M115" s="411">
        <v>0</v>
      </c>
      <c r="N115" s="412">
        <v>0</v>
      </c>
      <c r="O115" s="410">
        <v>0</v>
      </c>
      <c r="P115" s="411">
        <v>0</v>
      </c>
      <c r="Q115" s="411">
        <v>0</v>
      </c>
      <c r="R115" s="412">
        <v>0</v>
      </c>
      <c r="S115" s="410">
        <v>5</v>
      </c>
      <c r="T115" s="411">
        <v>0</v>
      </c>
      <c r="U115" s="411">
        <v>5</v>
      </c>
      <c r="V115" s="412">
        <v>0</v>
      </c>
      <c r="W115" s="557">
        <f t="shared" si="2"/>
        <v>21.020299999999999</v>
      </c>
      <c r="X115" s="414" t="str">
        <f>IF(ISBLANK(C115),"",IF(RANK(Z115,$Z$115:$Z$116)&lt;2,"edasi "&amp;RANK(W115,$AB$111:$AB$118),RANK(W115,$AA$111:$AA$118)+4))</f>
        <v>edasi 4</v>
      </c>
      <c r="Z115" s="325">
        <f>IF(COUNTA(C115:V115)=0,100,W115+IF(RANK(W115,$W$115:$W$116)=1,100,0))</f>
        <v>121.02029999999999</v>
      </c>
      <c r="AA115" s="324">
        <f>MIN(W115:W116)</f>
        <v>21.0105</v>
      </c>
      <c r="AB115" s="324">
        <f>MAX(W115:W116)</f>
        <v>21.020299999999999</v>
      </c>
    </row>
    <row r="116" spans="1:29" x14ac:dyDescent="0.2">
      <c r="A116" s="408">
        <v>7</v>
      </c>
      <c r="B116" s="400" t="s">
        <v>55</v>
      </c>
      <c r="C116" s="410">
        <v>0</v>
      </c>
      <c r="D116" s="411">
        <v>3</v>
      </c>
      <c r="E116" s="411">
        <v>3</v>
      </c>
      <c r="F116" s="412">
        <v>3</v>
      </c>
      <c r="G116" s="410">
        <v>3</v>
      </c>
      <c r="H116" s="411">
        <v>0</v>
      </c>
      <c r="I116" s="411">
        <v>0</v>
      </c>
      <c r="J116" s="412">
        <v>0</v>
      </c>
      <c r="K116" s="410">
        <v>3</v>
      </c>
      <c r="L116" s="411">
        <v>0</v>
      </c>
      <c r="M116" s="411">
        <v>0</v>
      </c>
      <c r="N116" s="412">
        <v>0</v>
      </c>
      <c r="O116" s="410">
        <v>0</v>
      </c>
      <c r="P116" s="411">
        <v>1</v>
      </c>
      <c r="Q116" s="411">
        <v>0</v>
      </c>
      <c r="R116" s="412">
        <v>0</v>
      </c>
      <c r="S116" s="410">
        <v>0</v>
      </c>
      <c r="T116" s="411">
        <v>0</v>
      </c>
      <c r="U116" s="411">
        <v>5</v>
      </c>
      <c r="V116" s="412">
        <v>0</v>
      </c>
      <c r="W116" s="557">
        <f t="shared" si="2"/>
        <v>21.0105</v>
      </c>
      <c r="X116" s="414">
        <f>IF(ISBLANK(C116),"",IF(RANK(Z116,$Z$115:$Z$116)&lt;2,"edasi "&amp;RANK(W116,$AB$111:$AB$118),RANK(W116,$AA$111:$AA$118)+4))</f>
        <v>5</v>
      </c>
      <c r="Z116" s="326">
        <f>IF(COUNTA(C116:V116)=0,0,W116+IF(RANK(W116,$W$115:$W$116)=1,100,0))</f>
        <v>21.0105</v>
      </c>
      <c r="AA116" s="324"/>
      <c r="AB116" s="324"/>
    </row>
    <row r="117" spans="1:29" x14ac:dyDescent="0.2">
      <c r="A117" s="318">
        <v>1</v>
      </c>
      <c r="B117" s="436" t="s">
        <v>439</v>
      </c>
      <c r="C117" s="319">
        <v>5</v>
      </c>
      <c r="D117" s="320">
        <v>1</v>
      </c>
      <c r="E117" s="320">
        <v>0</v>
      </c>
      <c r="F117" s="321">
        <v>3</v>
      </c>
      <c r="G117" s="319">
        <v>3</v>
      </c>
      <c r="H117" s="320">
        <v>0</v>
      </c>
      <c r="I117" s="320">
        <v>1</v>
      </c>
      <c r="J117" s="321">
        <v>3</v>
      </c>
      <c r="K117" s="319">
        <v>5</v>
      </c>
      <c r="L117" s="320">
        <v>3</v>
      </c>
      <c r="M117" s="320">
        <v>0</v>
      </c>
      <c r="N117" s="321">
        <v>1</v>
      </c>
      <c r="O117" s="319">
        <v>0</v>
      </c>
      <c r="P117" s="320">
        <v>3</v>
      </c>
      <c r="Q117" s="320">
        <v>0</v>
      </c>
      <c r="R117" s="321">
        <v>0</v>
      </c>
      <c r="S117" s="319">
        <v>0</v>
      </c>
      <c r="T117" s="320">
        <v>5</v>
      </c>
      <c r="U117" s="320">
        <v>0</v>
      </c>
      <c r="V117" s="321">
        <v>5</v>
      </c>
      <c r="W117" s="557">
        <f t="shared" si="2"/>
        <v>38.040500000000002</v>
      </c>
      <c r="X117" s="322" t="str">
        <f>IF(ISBLANK(C117),"",IF(RANK(Z117,$Z$117:$Z$118)&lt;2,"edasi "&amp;RANK(W117,$AB$111:$AB$118),RANK(W117,$AA$111:$AA$118)+4))</f>
        <v>edasi 1</v>
      </c>
      <c r="Z117" s="325">
        <f>IF(COUNTA(C117:V117)=0,100,W117+IF(RANK(W117,$W$117:$W$118)=1,100,0))</f>
        <v>138.04050000000001</v>
      </c>
      <c r="AA117" s="324">
        <f>MIN(W117:W118)</f>
        <v>17.020199999999999</v>
      </c>
      <c r="AB117" s="324">
        <f>MAX(W117:W118)</f>
        <v>38.040500000000002</v>
      </c>
    </row>
    <row r="118" spans="1:29" ht="13.5" thickBot="1" x14ac:dyDescent="0.25">
      <c r="A118" s="331">
        <v>8</v>
      </c>
      <c r="B118" s="426" t="s">
        <v>25</v>
      </c>
      <c r="C118" s="333">
        <v>5</v>
      </c>
      <c r="D118" s="334">
        <v>5</v>
      </c>
      <c r="E118" s="334">
        <v>0</v>
      </c>
      <c r="F118" s="335">
        <v>0</v>
      </c>
      <c r="G118" s="333">
        <v>0</v>
      </c>
      <c r="H118" s="334">
        <v>3</v>
      </c>
      <c r="I118" s="334">
        <v>0</v>
      </c>
      <c r="J118" s="335">
        <v>0</v>
      </c>
      <c r="K118" s="333">
        <v>1</v>
      </c>
      <c r="L118" s="334">
        <v>0</v>
      </c>
      <c r="M118" s="334">
        <v>0</v>
      </c>
      <c r="N118" s="335">
        <v>0</v>
      </c>
      <c r="O118" s="333">
        <v>0</v>
      </c>
      <c r="P118" s="334">
        <v>0</v>
      </c>
      <c r="Q118" s="334">
        <v>3</v>
      </c>
      <c r="R118" s="335">
        <v>0</v>
      </c>
      <c r="S118" s="333">
        <v>0</v>
      </c>
      <c r="T118" s="334">
        <v>0</v>
      </c>
      <c r="U118" s="334">
        <v>0</v>
      </c>
      <c r="V118" s="335">
        <v>0</v>
      </c>
      <c r="W118" s="558">
        <f t="shared" si="2"/>
        <v>17.020199999999999</v>
      </c>
      <c r="X118" s="370">
        <f>IF(ISBLANK(C118),"",IF(RANK(Z118,$Z$117:$Z$118)&lt;2,"edasi "&amp;RANK(W118,$AB$111:$AB$118),RANK(W118,$AA$111:$AA$118)+4))</f>
        <v>6</v>
      </c>
      <c r="Z118" s="326">
        <f>IF(COUNTA(C118:V118)=0,0,W118+IF(RANK(W118,$W$117:$W$118)=1,100,0))</f>
        <v>17.020199999999999</v>
      </c>
      <c r="AA118" s="324"/>
      <c r="AB118" s="324"/>
    </row>
    <row r="119" spans="1:29" x14ac:dyDescent="0.2">
      <c r="A119" s="366"/>
      <c r="B119" s="367" t="s">
        <v>458</v>
      </c>
      <c r="C119" s="319"/>
      <c r="D119" s="320"/>
      <c r="E119" s="320"/>
      <c r="F119" s="321"/>
      <c r="G119" s="319"/>
      <c r="H119" s="320"/>
      <c r="I119" s="320"/>
      <c r="J119" s="321"/>
      <c r="K119" s="319"/>
      <c r="L119" s="320"/>
      <c r="M119" s="320"/>
      <c r="N119" s="321"/>
      <c r="O119" s="319"/>
      <c r="P119" s="320"/>
      <c r="Q119" s="320"/>
      <c r="R119" s="321"/>
      <c r="S119" s="319"/>
      <c r="T119" s="320"/>
      <c r="U119" s="320"/>
      <c r="V119" s="321"/>
      <c r="W119" s="559"/>
      <c r="X119" s="306"/>
      <c r="Z119" s="315"/>
      <c r="AA119" s="316"/>
      <c r="AB119" s="316"/>
    </row>
    <row r="120" spans="1:29" x14ac:dyDescent="0.2">
      <c r="A120" s="393"/>
      <c r="B120" s="432" t="s">
        <v>55</v>
      </c>
      <c r="C120" s="395"/>
      <c r="D120" s="383">
        <v>0</v>
      </c>
      <c r="E120" s="396"/>
      <c r="F120" s="397"/>
      <c r="G120" s="395"/>
      <c r="H120" s="383">
        <v>0</v>
      </c>
      <c r="I120" s="396"/>
      <c r="J120" s="397"/>
      <c r="K120" s="395"/>
      <c r="L120" s="383">
        <v>0</v>
      </c>
      <c r="M120" s="396"/>
      <c r="N120" s="397"/>
      <c r="O120" s="395"/>
      <c r="P120" s="434">
        <v>0</v>
      </c>
      <c r="Q120" s="396"/>
      <c r="R120" s="397"/>
      <c r="S120" s="395"/>
      <c r="T120" s="434" t="s">
        <v>102</v>
      </c>
      <c r="U120" s="396"/>
      <c r="V120" s="397"/>
      <c r="W120" s="557">
        <f t="shared" ref="W120:W121" si="11">IF(COUNTA(C120:V120)=0,"",SUM(C120:V120)+COUNTIF(C120:V120,5)/100+COUNTIF(C120:V120,3)/10000)</f>
        <v>0</v>
      </c>
      <c r="X120" s="398"/>
      <c r="Z120" s="315"/>
      <c r="AA120" s="316"/>
      <c r="AB120" s="316"/>
      <c r="AC120" s="435"/>
    </row>
    <row r="121" spans="1:29" ht="13.5" thickBot="1" x14ac:dyDescent="0.25">
      <c r="A121" s="393"/>
      <c r="B121" s="432" t="s">
        <v>35</v>
      </c>
      <c r="C121" s="395"/>
      <c r="D121" s="383">
        <v>3</v>
      </c>
      <c r="E121" s="396"/>
      <c r="F121" s="397"/>
      <c r="G121" s="395"/>
      <c r="H121" s="383">
        <v>3</v>
      </c>
      <c r="I121" s="396"/>
      <c r="J121" s="397"/>
      <c r="K121" s="395"/>
      <c r="L121" s="383">
        <v>0</v>
      </c>
      <c r="M121" s="396"/>
      <c r="N121" s="397"/>
      <c r="O121" s="395"/>
      <c r="P121" s="383" t="s">
        <v>102</v>
      </c>
      <c r="Q121" s="396"/>
      <c r="R121" s="397"/>
      <c r="S121" s="395"/>
      <c r="T121" s="434" t="s">
        <v>102</v>
      </c>
      <c r="U121" s="396"/>
      <c r="V121" s="397"/>
      <c r="W121" s="557">
        <f t="shared" si="11"/>
        <v>6.0002000000000004</v>
      </c>
      <c r="X121" s="398"/>
      <c r="Z121" s="315"/>
      <c r="AA121" s="316"/>
      <c r="AB121" s="316"/>
    </row>
    <row r="122" spans="1:29" x14ac:dyDescent="0.2">
      <c r="A122" s="366"/>
      <c r="B122" s="302" t="s">
        <v>381</v>
      </c>
      <c r="C122" s="303"/>
      <c r="D122" s="304"/>
      <c r="E122" s="304"/>
      <c r="F122" s="305"/>
      <c r="G122" s="303"/>
      <c r="H122" s="304"/>
      <c r="I122" s="304"/>
      <c r="J122" s="305"/>
      <c r="K122" s="303"/>
      <c r="L122" s="304"/>
      <c r="M122" s="304"/>
      <c r="N122" s="305"/>
      <c r="O122" s="303"/>
      <c r="P122" s="304"/>
      <c r="Q122" s="304"/>
      <c r="R122" s="305"/>
      <c r="S122" s="303"/>
      <c r="T122" s="304"/>
      <c r="U122" s="304"/>
      <c r="V122" s="305"/>
      <c r="W122" s="560" t="str">
        <f t="shared" si="2"/>
        <v/>
      </c>
      <c r="X122" s="306"/>
    </row>
    <row r="123" spans="1:29" x14ac:dyDescent="0.2">
      <c r="A123" s="408">
        <v>1</v>
      </c>
      <c r="B123" s="400" t="s">
        <v>439</v>
      </c>
      <c r="C123" s="410">
        <v>5</v>
      </c>
      <c r="D123" s="411">
        <v>5</v>
      </c>
      <c r="E123" s="411">
        <v>5</v>
      </c>
      <c r="F123" s="412">
        <v>3</v>
      </c>
      <c r="G123" s="410">
        <v>3</v>
      </c>
      <c r="H123" s="411">
        <v>0</v>
      </c>
      <c r="I123" s="411">
        <v>5</v>
      </c>
      <c r="J123" s="412">
        <v>0</v>
      </c>
      <c r="K123" s="410">
        <v>1</v>
      </c>
      <c r="L123" s="411">
        <v>1</v>
      </c>
      <c r="M123" s="411">
        <v>5</v>
      </c>
      <c r="N123" s="412">
        <v>0</v>
      </c>
      <c r="O123" s="410">
        <v>1</v>
      </c>
      <c r="P123" s="411">
        <v>0</v>
      </c>
      <c r="Q123" s="411">
        <v>0</v>
      </c>
      <c r="R123" s="412">
        <v>0</v>
      </c>
      <c r="S123" s="410">
        <v>5</v>
      </c>
      <c r="T123" s="411">
        <v>0</v>
      </c>
      <c r="U123" s="411">
        <v>0</v>
      </c>
      <c r="V123" s="412">
        <v>0</v>
      </c>
      <c r="W123" s="557">
        <f t="shared" si="2"/>
        <v>39.060200000000002</v>
      </c>
      <c r="X123" s="414" t="str">
        <f>IF(COUNTA(C123:V123)=0,"",IF(W123=W124,"ümbervisk",IF(W123&gt;W124,"finaali "&amp;(IF(W123&lt;MAX(W125:W126),2,IF(W123=MAX(W125:W126),"",1))),"pronksi "&amp;(IF(W123&lt;MIN(W125:W126),2,IF(W123=MIN(W125:W126),"",1))))))</f>
        <v>finaali 1</v>
      </c>
    </row>
    <row r="124" spans="1:29" x14ac:dyDescent="0.2">
      <c r="A124" s="408">
        <v>4</v>
      </c>
      <c r="B124" s="438" t="s">
        <v>35</v>
      </c>
      <c r="C124" s="410">
        <v>3</v>
      </c>
      <c r="D124" s="411">
        <v>3</v>
      </c>
      <c r="E124" s="411">
        <v>3</v>
      </c>
      <c r="F124" s="412">
        <v>3</v>
      </c>
      <c r="G124" s="410">
        <v>3</v>
      </c>
      <c r="H124" s="411">
        <v>0</v>
      </c>
      <c r="I124" s="411">
        <v>3</v>
      </c>
      <c r="J124" s="412">
        <v>0</v>
      </c>
      <c r="K124" s="410">
        <v>1</v>
      </c>
      <c r="L124" s="411">
        <v>1</v>
      </c>
      <c r="M124" s="411">
        <v>1</v>
      </c>
      <c r="N124" s="412">
        <v>0</v>
      </c>
      <c r="O124" s="410">
        <v>0</v>
      </c>
      <c r="P124" s="411">
        <v>3</v>
      </c>
      <c r="Q124" s="411">
        <v>1</v>
      </c>
      <c r="R124" s="412">
        <v>0</v>
      </c>
      <c r="S124" s="410">
        <v>0</v>
      </c>
      <c r="T124" s="411">
        <v>0</v>
      </c>
      <c r="U124" s="411">
        <v>0</v>
      </c>
      <c r="V124" s="412">
        <v>0</v>
      </c>
      <c r="W124" s="557">
        <f t="shared" si="2"/>
        <v>25.000699999999998</v>
      </c>
      <c r="X124" s="414" t="str">
        <f>IF(COUNTA(C124:V124)=0,"",IF(W123=W124,"ümbervisk",IF(W124&gt;W123,"finaali "&amp;(IF(W124&lt;MAX(W125:W126),2,IF(W124=MAX(W125:W126),"",1))),"pronksi "&amp;(IF(W124&lt;MIN(W125:W126),2,IF(W124=MIN(W125:W126),"",1))))))</f>
        <v>pronksi 2</v>
      </c>
    </row>
    <row r="125" spans="1:29" x14ac:dyDescent="0.2">
      <c r="A125" s="318">
        <v>2</v>
      </c>
      <c r="B125" s="436" t="s">
        <v>270</v>
      </c>
      <c r="C125" s="319">
        <v>3</v>
      </c>
      <c r="D125" s="320">
        <v>3</v>
      </c>
      <c r="E125" s="320">
        <v>3</v>
      </c>
      <c r="F125" s="321">
        <v>3</v>
      </c>
      <c r="G125" s="319">
        <v>3</v>
      </c>
      <c r="H125" s="320">
        <v>3</v>
      </c>
      <c r="I125" s="320">
        <v>0</v>
      </c>
      <c r="J125" s="321">
        <v>3</v>
      </c>
      <c r="K125" s="319">
        <v>1</v>
      </c>
      <c r="L125" s="320">
        <v>1</v>
      </c>
      <c r="M125" s="320">
        <v>0</v>
      </c>
      <c r="N125" s="321">
        <v>0</v>
      </c>
      <c r="O125" s="319">
        <v>0</v>
      </c>
      <c r="P125" s="320">
        <v>0</v>
      </c>
      <c r="Q125" s="320">
        <v>3</v>
      </c>
      <c r="R125" s="321">
        <v>3</v>
      </c>
      <c r="S125" s="319">
        <v>5</v>
      </c>
      <c r="T125" s="320">
        <v>5</v>
      </c>
      <c r="U125" s="320">
        <v>0</v>
      </c>
      <c r="V125" s="321">
        <v>0</v>
      </c>
      <c r="W125" s="557">
        <f t="shared" si="2"/>
        <v>39.020900000000005</v>
      </c>
      <c r="X125" s="322" t="str">
        <f>IF(COUNTA(C125:V125)=0,"",IF(W125=W126,"ümbervisk",IF(W125&gt;W126,"finaali "&amp;(IF(W125&lt;MAX(W123:W124),2,IF(W125=MAX(W123:W124),"",1))),"pronksi "&amp;(IF(W125&lt;MIN(W123:W124),2,IF(W125=MIN(W123:W124),"",1))))))</f>
        <v>finaali 2</v>
      </c>
    </row>
    <row r="126" spans="1:29" ht="13.5" thickBot="1" x14ac:dyDescent="0.25">
      <c r="A126" s="331">
        <v>3</v>
      </c>
      <c r="B126" s="426" t="s">
        <v>59</v>
      </c>
      <c r="C126" s="333">
        <v>3</v>
      </c>
      <c r="D126" s="334">
        <v>5</v>
      </c>
      <c r="E126" s="334">
        <v>5</v>
      </c>
      <c r="F126" s="335">
        <v>3</v>
      </c>
      <c r="G126" s="333">
        <v>3</v>
      </c>
      <c r="H126" s="334">
        <v>0</v>
      </c>
      <c r="I126" s="334">
        <v>3</v>
      </c>
      <c r="J126" s="335">
        <v>3</v>
      </c>
      <c r="K126" s="333">
        <v>0</v>
      </c>
      <c r="L126" s="334">
        <v>0</v>
      </c>
      <c r="M126" s="334">
        <v>0</v>
      </c>
      <c r="N126" s="335">
        <v>3</v>
      </c>
      <c r="O126" s="333">
        <v>0</v>
      </c>
      <c r="P126" s="334">
        <v>0</v>
      </c>
      <c r="Q126" s="334">
        <v>0</v>
      </c>
      <c r="R126" s="335">
        <v>0</v>
      </c>
      <c r="S126" s="333">
        <v>0</v>
      </c>
      <c r="T126" s="334">
        <v>0</v>
      </c>
      <c r="U126" s="334">
        <v>0</v>
      </c>
      <c r="V126" s="335">
        <v>0</v>
      </c>
      <c r="W126" s="558">
        <f t="shared" si="2"/>
        <v>28.020599999999998</v>
      </c>
      <c r="X126" s="370" t="str">
        <f>IF(COUNTA(C126:V126)=0,"",IF(W125=W126,"ümbervisk",IF(W126&gt;W125,"finaali "&amp;(IF(W126&lt;MAX(W123:W124),2,IF(W126=MAX(W123:W124),"",1))),"pronksi "&amp;(IF(W126&lt;MIN(W123:W124),2,IF(W126=MIN(W123:W124),"",1))))))</f>
        <v>pronksi 1</v>
      </c>
    </row>
    <row r="127" spans="1:29" x14ac:dyDescent="0.2">
      <c r="A127" s="366"/>
      <c r="B127" s="371" t="s">
        <v>382</v>
      </c>
      <c r="C127" s="303"/>
      <c r="D127" s="304"/>
      <c r="E127" s="304"/>
      <c r="F127" s="305"/>
      <c r="G127" s="303"/>
      <c r="H127" s="304"/>
      <c r="I127" s="304"/>
      <c r="J127" s="305"/>
      <c r="K127" s="303"/>
      <c r="L127" s="304"/>
      <c r="M127" s="304"/>
      <c r="N127" s="305"/>
      <c r="O127" s="303"/>
      <c r="P127" s="304"/>
      <c r="Q127" s="304"/>
      <c r="R127" s="305"/>
      <c r="S127" s="303"/>
      <c r="T127" s="304"/>
      <c r="U127" s="304"/>
      <c r="V127" s="305"/>
      <c r="W127" s="560" t="str">
        <f t="shared" si="2"/>
        <v/>
      </c>
      <c r="X127" s="306"/>
    </row>
    <row r="128" spans="1:29" x14ac:dyDescent="0.2">
      <c r="A128" s="318"/>
      <c r="B128" s="309" t="s">
        <v>35</v>
      </c>
      <c r="C128" s="319">
        <v>3</v>
      </c>
      <c r="D128" s="320">
        <v>0</v>
      </c>
      <c r="E128" s="320">
        <v>0</v>
      </c>
      <c r="F128" s="321">
        <v>0</v>
      </c>
      <c r="G128" s="319">
        <v>0</v>
      </c>
      <c r="H128" s="320">
        <v>3</v>
      </c>
      <c r="I128" s="320">
        <v>0</v>
      </c>
      <c r="J128" s="321">
        <v>0</v>
      </c>
      <c r="K128" s="319">
        <v>1</v>
      </c>
      <c r="L128" s="320">
        <v>3</v>
      </c>
      <c r="M128" s="320">
        <v>0</v>
      </c>
      <c r="N128" s="321">
        <v>0</v>
      </c>
      <c r="O128" s="319">
        <v>0</v>
      </c>
      <c r="P128" s="320">
        <v>0</v>
      </c>
      <c r="Q128" s="320">
        <v>0</v>
      </c>
      <c r="R128" s="321">
        <v>0</v>
      </c>
      <c r="S128" s="319">
        <v>0</v>
      </c>
      <c r="T128" s="320">
        <v>0</v>
      </c>
      <c r="U128" s="320">
        <v>0</v>
      </c>
      <c r="V128" s="321">
        <v>0</v>
      </c>
      <c r="W128" s="557">
        <f t="shared" si="2"/>
        <v>10.000299999999999</v>
      </c>
      <c r="X128" s="329">
        <f ca="1">IF( INDIRECT("RC[-1]",0)=MAX(( INDIRECT("R[-1]C[-1]",0)):( INDIRECT("R[1]C[-1]",0))),3,4)</f>
        <v>4</v>
      </c>
    </row>
    <row r="129" spans="1:27" ht="13.5" thickBot="1" x14ac:dyDescent="0.25">
      <c r="A129" s="331"/>
      <c r="B129" s="369" t="s">
        <v>59</v>
      </c>
      <c r="C129" s="333">
        <v>3</v>
      </c>
      <c r="D129" s="334">
        <v>3</v>
      </c>
      <c r="E129" s="334">
        <v>3</v>
      </c>
      <c r="F129" s="335">
        <v>0</v>
      </c>
      <c r="G129" s="333">
        <v>0</v>
      </c>
      <c r="H129" s="334">
        <v>0</v>
      </c>
      <c r="I129" s="334">
        <v>0</v>
      </c>
      <c r="J129" s="372">
        <v>5</v>
      </c>
      <c r="K129" s="333">
        <v>0</v>
      </c>
      <c r="L129" s="334">
        <v>0</v>
      </c>
      <c r="M129" s="334">
        <v>1</v>
      </c>
      <c r="N129" s="335">
        <v>0</v>
      </c>
      <c r="O129" s="333">
        <v>0</v>
      </c>
      <c r="P129" s="334">
        <v>0</v>
      </c>
      <c r="Q129" s="334">
        <v>0</v>
      </c>
      <c r="R129" s="335">
        <v>3</v>
      </c>
      <c r="S129" s="333">
        <v>0</v>
      </c>
      <c r="T129" s="334">
        <v>0</v>
      </c>
      <c r="U129" s="334">
        <v>0</v>
      </c>
      <c r="V129" s="335">
        <v>0</v>
      </c>
      <c r="W129" s="558">
        <f t="shared" si="2"/>
        <v>18.010400000000001</v>
      </c>
      <c r="X129" s="337">
        <f ca="1">IF( INDIRECT("RC[-1]",0)=MAX(( INDIRECT("R[-1]C[-1]",0)):( INDIRECT("R[1]C[-1]",0))),3,4)</f>
        <v>3</v>
      </c>
    </row>
    <row r="130" spans="1:27" x14ac:dyDescent="0.2">
      <c r="A130" s="366"/>
      <c r="B130" s="371" t="s">
        <v>383</v>
      </c>
      <c r="C130" s="303"/>
      <c r="D130" s="304"/>
      <c r="E130" s="304"/>
      <c r="F130" s="305"/>
      <c r="G130" s="303"/>
      <c r="H130" s="304"/>
      <c r="I130" s="304"/>
      <c r="J130" s="305"/>
      <c r="K130" s="303"/>
      <c r="L130" s="304"/>
      <c r="M130" s="304"/>
      <c r="N130" s="305"/>
      <c r="O130" s="303"/>
      <c r="P130" s="304"/>
      <c r="Q130" s="304"/>
      <c r="R130" s="305"/>
      <c r="S130" s="303"/>
      <c r="T130" s="304"/>
      <c r="U130" s="304"/>
      <c r="V130" s="305"/>
      <c r="W130" s="560" t="str">
        <f t="shared" si="2"/>
        <v/>
      </c>
      <c r="X130" s="306"/>
    </row>
    <row r="131" spans="1:27" x14ac:dyDescent="0.2">
      <c r="A131" s="318"/>
      <c r="B131" s="327" t="s">
        <v>439</v>
      </c>
      <c r="C131" s="319">
        <v>3</v>
      </c>
      <c r="D131" s="320">
        <v>5</v>
      </c>
      <c r="E131" s="320">
        <v>5</v>
      </c>
      <c r="F131" s="321">
        <v>3</v>
      </c>
      <c r="G131" s="319">
        <v>5</v>
      </c>
      <c r="H131" s="320">
        <v>1</v>
      </c>
      <c r="I131" s="320">
        <v>3</v>
      </c>
      <c r="J131" s="321">
        <v>3</v>
      </c>
      <c r="K131" s="319">
        <v>1</v>
      </c>
      <c r="L131" s="320">
        <v>0</v>
      </c>
      <c r="M131" s="320">
        <v>1</v>
      </c>
      <c r="N131" s="321">
        <v>1</v>
      </c>
      <c r="O131" s="319">
        <v>3</v>
      </c>
      <c r="P131" s="320">
        <v>3</v>
      </c>
      <c r="Q131" s="320">
        <v>0</v>
      </c>
      <c r="R131" s="321">
        <v>0</v>
      </c>
      <c r="S131" s="319">
        <v>5</v>
      </c>
      <c r="T131" s="320">
        <v>0</v>
      </c>
      <c r="U131" s="320">
        <v>5</v>
      </c>
      <c r="V131" s="321">
        <v>0</v>
      </c>
      <c r="W131" s="557">
        <f t="shared" si="2"/>
        <v>47.050599999999996</v>
      </c>
      <c r="X131" s="329">
        <f ca="1">IF( INDIRECT("RC[-1]",0)=MAX(( INDIRECT("R[-1]C[-1]",0)):( INDIRECT("R[1]C[-1]",0))),1,2)</f>
        <v>1</v>
      </c>
    </row>
    <row r="132" spans="1:27" ht="13.5" thickBot="1" x14ac:dyDescent="0.25">
      <c r="A132" s="331"/>
      <c r="B132" s="332" t="s">
        <v>270</v>
      </c>
      <c r="C132" s="333">
        <v>5</v>
      </c>
      <c r="D132" s="334">
        <v>3</v>
      </c>
      <c r="E132" s="334">
        <v>3</v>
      </c>
      <c r="F132" s="335">
        <v>5</v>
      </c>
      <c r="G132" s="333">
        <v>3</v>
      </c>
      <c r="H132" s="334">
        <v>5</v>
      </c>
      <c r="I132" s="334">
        <v>3</v>
      </c>
      <c r="J132" s="335">
        <v>0</v>
      </c>
      <c r="K132" s="333">
        <v>1</v>
      </c>
      <c r="L132" s="334">
        <v>0</v>
      </c>
      <c r="M132" s="334">
        <v>1</v>
      </c>
      <c r="N132" s="335">
        <v>0</v>
      </c>
      <c r="O132" s="333">
        <v>0</v>
      </c>
      <c r="P132" s="334">
        <v>0</v>
      </c>
      <c r="Q132" s="334">
        <v>3</v>
      </c>
      <c r="R132" s="335">
        <v>0</v>
      </c>
      <c r="S132" s="333">
        <v>5</v>
      </c>
      <c r="T132" s="334">
        <v>0</v>
      </c>
      <c r="U132" s="334">
        <v>0</v>
      </c>
      <c r="V132" s="335">
        <v>0</v>
      </c>
      <c r="W132" s="558">
        <f t="shared" si="2"/>
        <v>37.040500000000002</v>
      </c>
      <c r="X132" s="337">
        <f ca="1">IF( INDIRECT("RC[-1]",0)=MAX(( INDIRECT("R[-1]C[-1]",0)):( INDIRECT("R[1]C[-1]",0))),1,2)</f>
        <v>2</v>
      </c>
    </row>
    <row r="133" spans="1:27" x14ac:dyDescent="0.2">
      <c r="A133" s="338"/>
      <c r="B133" s="338"/>
      <c r="C133" s="338"/>
      <c r="D133" s="338"/>
      <c r="E133" s="338"/>
      <c r="F133" s="338"/>
      <c r="G133" s="338"/>
      <c r="H133" s="338"/>
      <c r="I133" s="338"/>
      <c r="J133" s="338"/>
      <c r="K133" s="338"/>
      <c r="L133" s="338"/>
      <c r="M133" s="338"/>
      <c r="N133" s="338"/>
      <c r="O133" s="448"/>
      <c r="P133" s="338"/>
      <c r="Q133" s="338"/>
      <c r="R133" s="338"/>
      <c r="S133" s="338"/>
      <c r="T133" s="451"/>
      <c r="U133" s="338"/>
      <c r="V133" s="338"/>
      <c r="W133" s="338"/>
      <c r="X133" s="338"/>
      <c r="Y133" s="338"/>
    </row>
    <row r="134" spans="1:27" x14ac:dyDescent="0.2">
      <c r="A134" s="339">
        <v>1</v>
      </c>
      <c r="B134" s="340" t="str">
        <f t="shared" ref="B134:B143" ca="1" si="12">IF(IFERROR(INDEX($B$9:$B$132,MATCH($A134,$X$9:$X$132,0)),"")=0,"",IFERROR(INDEX($B$9:$B$132,MATCH($A134,$X$9:$X$132,0)),""))</f>
        <v>Veiko Proos</v>
      </c>
      <c r="C134" s="338"/>
      <c r="D134" s="338"/>
      <c r="E134" s="449"/>
      <c r="F134" s="450">
        <v>11</v>
      </c>
      <c r="G134" s="341" t="str">
        <f>IF(IFERROR(INDEX($B$9:$B$132,MATCH($F134,$X$9:$X$132,0)),"")=0,"",IFERROR(INDEX($B$9:$B$132,MATCH($F134,$X$9:$X$132,0)),""))</f>
        <v>Aimar Poom</v>
      </c>
      <c r="H134" s="342"/>
      <c r="I134" s="342"/>
      <c r="J134" s="342"/>
      <c r="K134" s="342"/>
      <c r="L134" s="342"/>
      <c r="M134" s="343"/>
      <c r="P134" s="449"/>
      <c r="Q134" s="452" t="s">
        <v>472</v>
      </c>
      <c r="R134" s="341" t="s">
        <v>434</v>
      </c>
      <c r="S134" s="342"/>
      <c r="T134" s="342"/>
      <c r="U134" s="389"/>
      <c r="V134" s="389"/>
      <c r="W134" s="381"/>
      <c r="Z134" s="342"/>
      <c r="AA134" s="343"/>
    </row>
    <row r="135" spans="1:27" x14ac:dyDescent="0.2">
      <c r="A135" s="339">
        <v>2</v>
      </c>
      <c r="B135" s="344" t="str">
        <f t="shared" ca="1" si="12"/>
        <v>Margus Berkmann</v>
      </c>
      <c r="C135" s="338"/>
      <c r="D135" s="338"/>
      <c r="E135" s="449"/>
      <c r="F135" s="450">
        <v>12</v>
      </c>
      <c r="G135" s="341" t="str">
        <f>IF(IFERROR(INDEX($B$9:$B$132,MATCH($F135,$X$9:$X$132,0)),"")=0,"",IFERROR(INDEX($B$9:$B$132,MATCH($F135,$X$9:$X$132,0)),""))</f>
        <v>Hardo Sokk</v>
      </c>
      <c r="H135" s="342"/>
      <c r="I135" s="342"/>
      <c r="J135" s="342"/>
      <c r="K135" s="342"/>
      <c r="L135" s="342"/>
      <c r="M135" s="343"/>
      <c r="P135" s="449"/>
      <c r="Q135" s="452" t="s">
        <v>473</v>
      </c>
      <c r="R135" s="341" t="s">
        <v>47</v>
      </c>
      <c r="S135" s="342"/>
      <c r="T135" s="342"/>
      <c r="U135" s="389"/>
      <c r="V135" s="389"/>
      <c r="W135" s="381"/>
      <c r="Z135" s="342"/>
      <c r="AA135" s="343"/>
    </row>
    <row r="136" spans="1:27" x14ac:dyDescent="0.2">
      <c r="A136" s="339">
        <v>3</v>
      </c>
      <c r="B136" s="345" t="str">
        <f t="shared" ca="1" si="12"/>
        <v>Kaido Kopel</v>
      </c>
      <c r="C136" s="338"/>
      <c r="D136" s="338"/>
      <c r="E136" s="449"/>
      <c r="F136" s="450">
        <v>13</v>
      </c>
      <c r="G136" s="341" t="str">
        <f>IF(IFERROR(INDEX($B$9:$B$132,MATCH($F136,$X$9:$X$132,0)),"")=0,"",IFERROR(INDEX($B$9:$B$132,MATCH($F136,$X$9:$X$132,0)),""))</f>
        <v>Arti Lindvest</v>
      </c>
      <c r="H136" s="342"/>
      <c r="I136" s="342"/>
      <c r="J136" s="342"/>
      <c r="K136" s="342"/>
      <c r="L136" s="342"/>
      <c r="M136" s="343"/>
      <c r="P136" s="449"/>
      <c r="Q136" s="452" t="s">
        <v>473</v>
      </c>
      <c r="R136" s="341" t="s">
        <v>437</v>
      </c>
      <c r="S136" s="342"/>
      <c r="T136" s="342"/>
      <c r="U136" s="389"/>
      <c r="V136" s="389"/>
      <c r="W136" s="381"/>
      <c r="Z136" s="342"/>
      <c r="AA136" s="343"/>
    </row>
    <row r="137" spans="1:27" x14ac:dyDescent="0.2">
      <c r="A137" s="339">
        <v>4</v>
      </c>
      <c r="B137" s="46" t="str">
        <f t="shared" ca="1" si="12"/>
        <v>Kadri Arunurm</v>
      </c>
      <c r="C137" s="338"/>
      <c r="D137" s="338"/>
      <c r="E137" s="449"/>
      <c r="F137" s="452" t="s">
        <v>471</v>
      </c>
      <c r="G137" s="341" t="s">
        <v>37</v>
      </c>
      <c r="H137" s="342"/>
      <c r="I137" s="342"/>
      <c r="J137" s="342"/>
      <c r="K137" s="342"/>
      <c r="L137" s="342"/>
      <c r="M137" s="343"/>
      <c r="P137" s="449"/>
      <c r="Q137" s="450">
        <v>24</v>
      </c>
      <c r="R137" s="341" t="str">
        <f>IF(IFERROR(INDEX($B$9:$B$132,MATCH($Q137,$X$9:$X$132,0)),"")=0,"",IFERROR(INDEX($B$9:$B$132,MATCH($Q137,$X$9:$X$132,0)),""))</f>
        <v>Sirje Viljaste</v>
      </c>
      <c r="S137" s="342"/>
      <c r="T137" s="342"/>
      <c r="U137" s="389"/>
      <c r="V137" s="389"/>
      <c r="W137" s="381"/>
      <c r="Z137" s="342"/>
      <c r="AA137" s="343"/>
    </row>
    <row r="138" spans="1:27" x14ac:dyDescent="0.2">
      <c r="A138" s="339">
        <v>5</v>
      </c>
      <c r="B138" s="46" t="str">
        <f t="shared" si="12"/>
        <v>Margo Peebo</v>
      </c>
      <c r="C138" s="338"/>
      <c r="D138" s="338"/>
      <c r="E138" s="449"/>
      <c r="F138" s="452" t="s">
        <v>471</v>
      </c>
      <c r="G138" s="341" t="s">
        <v>45</v>
      </c>
      <c r="H138" s="342"/>
      <c r="I138" s="342"/>
      <c r="J138" s="342"/>
      <c r="K138" s="342"/>
      <c r="L138" s="342"/>
      <c r="M138" s="343"/>
      <c r="P138" s="449"/>
      <c r="Q138" s="450">
        <v>25</v>
      </c>
      <c r="R138" s="341" t="str">
        <f>IF(IFERROR(INDEX($B$9:$B$132,MATCH($Q138,$X$9:$X$132,0)),"")=0,"",IFERROR(INDEX($B$9:$B$132,MATCH($Q138,$X$9:$X$132,0)),""))</f>
        <v>Alar Sinimäe</v>
      </c>
      <c r="S138" s="342"/>
      <c r="T138" s="342"/>
      <c r="U138" s="389"/>
      <c r="V138" s="389"/>
      <c r="W138" s="381"/>
      <c r="Z138" s="342"/>
      <c r="AA138" s="343"/>
    </row>
    <row r="139" spans="1:27" x14ac:dyDescent="0.2">
      <c r="A139" s="339">
        <v>6</v>
      </c>
      <c r="B139" s="46" t="str">
        <f t="shared" si="12"/>
        <v>Ivar Viljaste</v>
      </c>
      <c r="C139" s="338"/>
      <c r="D139" s="338"/>
      <c r="E139" s="449"/>
      <c r="F139" s="450">
        <v>16</v>
      </c>
      <c r="G139" s="341" t="str">
        <f>IF(IFERROR(INDEX($B$9:$B$132,MATCH($F139,$X$9:$X$132,0)),"")=0,"",IFERROR(INDEX($B$9:$B$132,MATCH($F139,$X$9:$X$132,0)),""))</f>
        <v>Tiit Palk</v>
      </c>
      <c r="H139" s="342"/>
      <c r="I139" s="342"/>
      <c r="J139" s="342"/>
      <c r="K139" s="342"/>
      <c r="L139" s="342"/>
      <c r="M139" s="343"/>
      <c r="P139" s="449"/>
      <c r="Q139" s="450">
        <v>26</v>
      </c>
      <c r="R139" s="341" t="str">
        <f>IF(IFERROR(INDEX($B$9:$B$132,MATCH($Q139,$X$9:$X$132,0)),"")=0,"",IFERROR(INDEX($B$9:$B$132,MATCH($Q139,$X$9:$X$132,0)),""))</f>
        <v>Vahur Raudsepp</v>
      </c>
      <c r="S139" s="342"/>
      <c r="T139" s="342"/>
      <c r="U139" s="389"/>
      <c r="V139" s="389"/>
      <c r="W139" s="381"/>
      <c r="Z139" s="342"/>
      <c r="AA139" s="343"/>
    </row>
    <row r="140" spans="1:27" x14ac:dyDescent="0.2">
      <c r="A140" s="339">
        <v>7</v>
      </c>
      <c r="B140" s="46" t="str">
        <f t="shared" si="12"/>
        <v>Urmo Auväärt</v>
      </c>
      <c r="C140" s="338"/>
      <c r="D140" s="338"/>
      <c r="E140" s="449"/>
      <c r="F140" s="450">
        <v>17</v>
      </c>
      <c r="G140" s="341" t="str">
        <f>IF(IFERROR(INDEX($B$9:$B$132,MATCH($F140,$X$9:$X$132,0)),"")=0,"",IFERROR(INDEX($B$9:$B$132,MATCH($F140,$X$9:$X$132,0)),""))</f>
        <v>Marge Mägi</v>
      </c>
      <c r="H140" s="342"/>
      <c r="I140" s="342"/>
      <c r="J140" s="342"/>
      <c r="K140" s="342"/>
      <c r="L140" s="342"/>
      <c r="M140" s="343"/>
      <c r="P140" s="449"/>
      <c r="Q140" s="450">
        <v>27</v>
      </c>
      <c r="R140" s="341" t="str">
        <f>IF(IFERROR(INDEX($B$9:$B$132,MATCH($Q140,$X$9:$X$132,0)),"")=0,"",IFERROR(INDEX($B$9:$B$132,MATCH($Q140,$X$9:$X$132,0)),""))</f>
        <v>Silver Kingissepp</v>
      </c>
      <c r="S140" s="342"/>
      <c r="T140" s="342"/>
      <c r="U140" s="389"/>
      <c r="V140" s="389"/>
      <c r="W140" s="381"/>
      <c r="Z140" s="342"/>
      <c r="AA140" s="343"/>
    </row>
    <row r="141" spans="1:27" x14ac:dyDescent="0.2">
      <c r="A141" s="339">
        <v>8</v>
      </c>
      <c r="B141" s="46" t="str">
        <f t="shared" si="12"/>
        <v>Harry Lusbo</v>
      </c>
      <c r="C141" s="338"/>
      <c r="D141" s="338"/>
      <c r="E141" s="449"/>
      <c r="F141" s="450">
        <v>18</v>
      </c>
      <c r="G141" s="341" t="str">
        <f>IF(IFERROR(INDEX($B$9:$B$132,MATCH($F141,$X$9:$X$132,0)),"")=0,"",IFERROR(INDEX($B$9:$B$132,MATCH($F141,$X$9:$X$132,0)),""))</f>
        <v>Margus Strööm</v>
      </c>
      <c r="H141" s="342"/>
      <c r="I141" s="342"/>
      <c r="J141" s="342"/>
      <c r="K141" s="342"/>
      <c r="L141" s="342"/>
      <c r="M141" s="343"/>
      <c r="P141" s="449"/>
      <c r="Q141" s="452" t="s">
        <v>474</v>
      </c>
      <c r="R141" s="341" t="s">
        <v>250</v>
      </c>
      <c r="S141" s="342"/>
      <c r="T141" s="342"/>
      <c r="U141" s="389"/>
      <c r="V141" s="389"/>
      <c r="W141" s="381"/>
      <c r="Z141" s="342"/>
      <c r="AA141" s="343"/>
    </row>
    <row r="142" spans="1:27" x14ac:dyDescent="0.2">
      <c r="A142" s="339">
        <v>9</v>
      </c>
      <c r="B142" s="46" t="str">
        <f t="shared" si="12"/>
        <v>Thibaut Sergei Mathon</v>
      </c>
      <c r="C142" s="338"/>
      <c r="D142" s="338"/>
      <c r="E142" s="449"/>
      <c r="F142" s="450">
        <v>19</v>
      </c>
      <c r="G142" s="341" t="str">
        <f>IF(IFERROR(INDEX($B$9:$B$132,MATCH($F142,$X$9:$X$132,0)),"")=0,"",IFERROR(INDEX($B$9:$B$132,MATCH($F142,$X$9:$X$132,0)),""))</f>
        <v>Janek Kiisk</v>
      </c>
      <c r="H142" s="342"/>
      <c r="I142" s="342"/>
      <c r="J142" s="342"/>
      <c r="K142" s="342"/>
      <c r="L142" s="342"/>
      <c r="M142" s="343"/>
      <c r="P142" s="449"/>
      <c r="Q142" s="452" t="s">
        <v>474</v>
      </c>
      <c r="R142" s="341" t="s">
        <v>251</v>
      </c>
      <c r="S142" s="342"/>
      <c r="T142" s="342"/>
      <c r="U142" s="389"/>
      <c r="V142" s="389"/>
      <c r="W142" s="381"/>
      <c r="Z142" s="342"/>
      <c r="AA142" s="343"/>
    </row>
    <row r="143" spans="1:27" x14ac:dyDescent="0.2">
      <c r="A143" s="339">
        <v>10</v>
      </c>
      <c r="B143" s="46" t="str">
        <f t="shared" si="12"/>
        <v>Merike Aava</v>
      </c>
      <c r="C143" s="338"/>
      <c r="D143" s="338"/>
      <c r="E143" s="449"/>
      <c r="F143" s="452" t="s">
        <v>472</v>
      </c>
      <c r="G143" s="341" t="s">
        <v>177</v>
      </c>
      <c r="H143" s="342"/>
      <c r="I143" s="342"/>
      <c r="J143" s="342"/>
      <c r="K143" s="342"/>
      <c r="L143" s="342"/>
      <c r="M143" s="343"/>
      <c r="P143" s="338"/>
      <c r="Q143" s="338"/>
      <c r="R143" s="338"/>
      <c r="S143" s="338"/>
      <c r="T143" s="338"/>
      <c r="U143" s="338"/>
      <c r="V143" s="338"/>
      <c r="W143" s="338"/>
      <c r="Z143" s="342"/>
      <c r="AA143" s="343"/>
    </row>
    <row r="144" spans="1:27" x14ac:dyDescent="0.2">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row>
    <row r="145" spans="3:25" x14ac:dyDescent="0.2">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row>
    <row r="146" spans="3:25" x14ac:dyDescent="0.2">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row>
    <row r="147" spans="3:25" x14ac:dyDescent="0.2">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row>
    <row r="148" spans="3:25" x14ac:dyDescent="0.2">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row>
    <row r="149" spans="3:25" x14ac:dyDescent="0.2">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row>
    <row r="150" spans="3:25" x14ac:dyDescent="0.2">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row>
  </sheetData>
  <conditionalFormatting sqref="X123:X126">
    <cfRule type="duplicateValues" dxfId="186" priority="91"/>
  </conditionalFormatting>
  <conditionalFormatting sqref="B25:B32">
    <cfRule type="duplicateValues" dxfId="185" priority="85" stopIfTrue="1"/>
  </conditionalFormatting>
  <conditionalFormatting sqref="X9:X38">
    <cfRule type="duplicateValues" dxfId="184" priority="89"/>
    <cfRule type="top10" dxfId="183" priority="90" stopIfTrue="1" rank="100"/>
  </conditionalFormatting>
  <conditionalFormatting sqref="B22:B24">
    <cfRule type="duplicateValues" dxfId="182" priority="74" stopIfTrue="1"/>
  </conditionalFormatting>
  <conditionalFormatting sqref="B33:B38 B10:B12 B14">
    <cfRule type="duplicateValues" dxfId="181" priority="5172" stopIfTrue="1"/>
  </conditionalFormatting>
  <conditionalFormatting sqref="B40:B45">
    <cfRule type="duplicateValues" dxfId="180" priority="63" stopIfTrue="1"/>
  </conditionalFormatting>
  <conditionalFormatting sqref="X40:X47 X64:X67">
    <cfRule type="duplicateValues" dxfId="179" priority="5176"/>
    <cfRule type="top10" dxfId="178" priority="5177" stopIfTrue="1" rank="100"/>
  </conditionalFormatting>
  <conditionalFormatting sqref="B46:B47 B64:B67">
    <cfRule type="duplicateValues" dxfId="177" priority="5182" stopIfTrue="1"/>
  </conditionalFormatting>
  <conditionalFormatting sqref="B56:B61">
    <cfRule type="duplicateValues" dxfId="176" priority="56" stopIfTrue="1"/>
  </conditionalFormatting>
  <conditionalFormatting sqref="X56:X63">
    <cfRule type="duplicateValues" dxfId="175" priority="57"/>
    <cfRule type="top10" dxfId="174" priority="58" stopIfTrue="1" rank="100"/>
  </conditionalFormatting>
  <conditionalFormatting sqref="B62:B63">
    <cfRule type="duplicateValues" dxfId="173" priority="60" stopIfTrue="1"/>
  </conditionalFormatting>
  <conditionalFormatting sqref="B86:B91">
    <cfRule type="duplicateValues" dxfId="172" priority="51" stopIfTrue="1"/>
  </conditionalFormatting>
  <conditionalFormatting sqref="X86:X93 X102:X105">
    <cfRule type="duplicateValues" dxfId="171" priority="52"/>
    <cfRule type="top10" dxfId="170" priority="53" stopIfTrue="1" rank="100"/>
  </conditionalFormatting>
  <conditionalFormatting sqref="B92:B93 B102:B105">
    <cfRule type="duplicateValues" dxfId="169" priority="55" stopIfTrue="1"/>
  </conditionalFormatting>
  <conditionalFormatting sqref="B94:B99">
    <cfRule type="duplicateValues" dxfId="168" priority="45" stopIfTrue="1"/>
  </conditionalFormatting>
  <conditionalFormatting sqref="X94:X101">
    <cfRule type="duplicateValues" dxfId="167" priority="46"/>
    <cfRule type="top10" dxfId="166" priority="47" stopIfTrue="1" rank="100"/>
  </conditionalFormatting>
  <conditionalFormatting sqref="B100:B101">
    <cfRule type="duplicateValues" dxfId="165" priority="49" stopIfTrue="1"/>
  </conditionalFormatting>
  <conditionalFormatting sqref="B106:B107">
    <cfRule type="duplicateValues" dxfId="164" priority="40" stopIfTrue="1"/>
  </conditionalFormatting>
  <conditionalFormatting sqref="X106:X109">
    <cfRule type="duplicateValues" dxfId="163" priority="41"/>
    <cfRule type="top10" dxfId="162" priority="42" stopIfTrue="1" rank="100"/>
  </conditionalFormatting>
  <conditionalFormatting sqref="B108:B109">
    <cfRule type="duplicateValues" dxfId="161" priority="44" stopIfTrue="1"/>
  </conditionalFormatting>
  <conditionalFormatting sqref="B68:B69">
    <cfRule type="duplicateValues" dxfId="160" priority="35" stopIfTrue="1"/>
  </conditionalFormatting>
  <conditionalFormatting sqref="B48:B53">
    <cfRule type="duplicateValues" dxfId="159" priority="30" stopIfTrue="1"/>
  </conditionalFormatting>
  <conditionalFormatting sqref="X48:X55">
    <cfRule type="duplicateValues" dxfId="158" priority="31"/>
    <cfRule type="top10" dxfId="157" priority="32" stopIfTrue="1" rank="100"/>
  </conditionalFormatting>
  <conditionalFormatting sqref="B54:B55">
    <cfRule type="duplicateValues" dxfId="156" priority="34" stopIfTrue="1"/>
  </conditionalFormatting>
  <conditionalFormatting sqref="X73:X84">
    <cfRule type="duplicateValues" dxfId="155" priority="26"/>
    <cfRule type="top10" dxfId="154" priority="72" stopIfTrue="1" rank="100"/>
  </conditionalFormatting>
  <conditionalFormatting sqref="W40:W43">
    <cfRule type="top10" dxfId="153" priority="21" rank="1"/>
  </conditionalFormatting>
  <conditionalFormatting sqref="W44:W47">
    <cfRule type="top10" dxfId="152" priority="20" rank="1"/>
  </conditionalFormatting>
  <conditionalFormatting sqref="W48:W51">
    <cfRule type="top10" dxfId="151" priority="19" rank="1"/>
  </conditionalFormatting>
  <conditionalFormatting sqref="W52:W55">
    <cfRule type="top10" dxfId="150" priority="18" rank="1"/>
  </conditionalFormatting>
  <conditionalFormatting sqref="W56:W59">
    <cfRule type="top10" dxfId="149" priority="17" rank="1"/>
  </conditionalFormatting>
  <conditionalFormatting sqref="W60:W63">
    <cfRule type="top10" dxfId="148" priority="16" rank="1"/>
  </conditionalFormatting>
  <conditionalFormatting sqref="W64:W67">
    <cfRule type="top10" dxfId="147" priority="15" rank="1"/>
  </conditionalFormatting>
  <conditionalFormatting sqref="W68:W71">
    <cfRule type="top10" dxfId="146" priority="14" rank="1"/>
  </conditionalFormatting>
  <conditionalFormatting sqref="W86:W89">
    <cfRule type="top10" dxfId="145" priority="13" rank="1"/>
  </conditionalFormatting>
  <conditionalFormatting sqref="W90:W93">
    <cfRule type="top10" dxfId="144" priority="12" rank="1"/>
  </conditionalFormatting>
  <conditionalFormatting sqref="W94:W97">
    <cfRule type="top10" dxfId="143" priority="11" rank="1"/>
  </conditionalFormatting>
  <conditionalFormatting sqref="W98:W101">
    <cfRule type="top10" dxfId="142" priority="10" rank="1"/>
  </conditionalFormatting>
  <conditionalFormatting sqref="W102:W105">
    <cfRule type="top10" dxfId="141" priority="9" rank="1"/>
  </conditionalFormatting>
  <conditionalFormatting sqref="W106:W109">
    <cfRule type="top10" dxfId="140" priority="8" rank="1"/>
  </conditionalFormatting>
  <conditionalFormatting sqref="W111:W112">
    <cfRule type="top10" dxfId="139" priority="5183" rank="1"/>
  </conditionalFormatting>
  <conditionalFormatting sqref="W113:W114">
    <cfRule type="top10" dxfId="138" priority="5185" rank="1"/>
  </conditionalFormatting>
  <conditionalFormatting sqref="W115:W116">
    <cfRule type="top10" dxfId="137" priority="5187" rank="1"/>
  </conditionalFormatting>
  <conditionalFormatting sqref="W123:W124">
    <cfRule type="top10" dxfId="136" priority="5191" rank="1"/>
  </conditionalFormatting>
  <conditionalFormatting sqref="W125:W126">
    <cfRule type="top10" dxfId="135" priority="5193" rank="1"/>
  </conditionalFormatting>
  <conditionalFormatting sqref="W128:W129">
    <cfRule type="top10" dxfId="134" priority="5195" rank="1"/>
  </conditionalFormatting>
  <conditionalFormatting sqref="W131:W132">
    <cfRule type="top10" dxfId="133" priority="5197" rank="1"/>
  </conditionalFormatting>
  <conditionalFormatting sqref="X111:X118">
    <cfRule type="duplicateValues" dxfId="132" priority="5203"/>
    <cfRule type="top10" dxfId="131" priority="5204" stopIfTrue="1" rank="4"/>
  </conditionalFormatting>
  <conditionalFormatting sqref="W117:W118">
    <cfRule type="top10" dxfId="130" priority="5205" rank="1"/>
  </conditionalFormatting>
  <conditionalFormatting sqref="B120:B121">
    <cfRule type="duplicateValues" dxfId="129" priority="5207" stopIfTrue="1"/>
  </conditionalFormatting>
  <conditionalFormatting sqref="X120:X121">
    <cfRule type="duplicateValues" dxfId="128" priority="5209"/>
    <cfRule type="top10" dxfId="127" priority="5210" stopIfTrue="1" rank="100"/>
  </conditionalFormatting>
  <conditionalFormatting sqref="W120:W121">
    <cfRule type="top10" dxfId="126" priority="5213" rank="1"/>
  </conditionalFormatting>
  <conditionalFormatting sqref="Y73:Y84">
    <cfRule type="duplicateValues" dxfId="125" priority="1"/>
  </conditionalFormatting>
  <conditionalFormatting sqref="W9:W132">
    <cfRule type="top10" dxfId="124" priority="5226" rank="1"/>
  </conditionalFormatting>
  <conditionalFormatting sqref="X68:X71">
    <cfRule type="duplicateValues" dxfId="123" priority="5228"/>
    <cfRule type="top10" dxfId="122" priority="5229" stopIfTrue="1" rank="100"/>
  </conditionalFormatting>
  <conditionalFormatting sqref="B70:B71">
    <cfRule type="duplicateValues" dxfId="121" priority="5230" stopIfTrue="1"/>
  </conditionalFormatting>
  <pageMargins left="0.78740157480314965" right="0.27559055118110237" top="0.51181102362204722" bottom="0.31496062992125984" header="0.31496062992125984" footer="0"/>
  <pageSetup paperSize="9" fitToHeight="0" orientation="portrait" r:id="rId1"/>
  <headerFooter alignWithMargins="0">
    <oddHeader>&amp;R&amp;"Arial,Regular"&amp;9Page &amp;P of &amp;N</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124"/>
  <sheetViews>
    <sheetView showGridLines="0" showRowColHeaders="0" zoomScaleNormal="100" workbookViewId="0">
      <pane ySplit="2" topLeftCell="A3" activePane="bottomLeft" state="frozen"/>
      <selection activeCell="I1" sqref="I1"/>
      <selection pane="bottomLeft" activeCell="G1" sqref="G1"/>
    </sheetView>
  </sheetViews>
  <sheetFormatPr defaultRowHeight="12.75" x14ac:dyDescent="0.2"/>
  <cols>
    <col min="1" max="1" width="5.5703125" style="148" customWidth="1"/>
    <col min="2" max="2" width="42.28515625" style="148" customWidth="1"/>
    <col min="3" max="3" width="7.28515625" style="148" customWidth="1"/>
    <col min="4" max="4" width="7.42578125" style="148" bestFit="1" customWidth="1"/>
    <col min="5" max="5" width="9.140625" style="148" bestFit="1" customWidth="1"/>
    <col min="6" max="6" width="6.7109375" style="148" customWidth="1"/>
    <col min="7" max="7" width="5.140625" style="148" bestFit="1" customWidth="1"/>
    <col min="8" max="10" width="7" style="148" customWidth="1"/>
    <col min="11" max="11" width="4.7109375" style="148" customWidth="1"/>
    <col min="12" max="13" width="7" style="148" customWidth="1"/>
    <col min="14" max="15" width="9.140625" style="148" customWidth="1"/>
    <col min="16" max="16384" width="9.140625" style="148"/>
  </cols>
  <sheetData>
    <row r="1" spans="1:7" x14ac:dyDescent="0.2">
      <c r="A1" s="138" t="str">
        <f>UPPER((Kalend!D21)&amp;" - "&amp;(Kalend!C21)&amp;" - "&amp;(Kalend!E21))</f>
        <v>6 - EESTI REITINGUVÕISTLUS - DUO</v>
      </c>
      <c r="E1" s="61" t="str">
        <f>HYPERLINK("#'Üldreiting'!T1","Reiting")</f>
        <v>Reiting</v>
      </c>
    </row>
    <row r="2" spans="1:7" x14ac:dyDescent="0.2">
      <c r="A2" s="148" t="str">
        <f>"Toimumisaeg: "&amp;(Kalend!A21)&amp;" kell "&amp;(Kalend!B21)</f>
        <v>Toimumisaeg: L, 21.01.2017 kell 10:00</v>
      </c>
    </row>
    <row r="3" spans="1:7" x14ac:dyDescent="0.2">
      <c r="A3" s="148" t="str">
        <f>"Toimumiskoht: "&amp;(Kalend!F21)</f>
        <v>Toimumiskoht: Tallinn, Algi 38</v>
      </c>
    </row>
    <row r="4" spans="1:7" x14ac:dyDescent="0.2">
      <c r="A4" s="148" t="str">
        <f>"Korraldaja: "&amp;(Kalend!G21)</f>
        <v>Korraldaja: EPKL</v>
      </c>
    </row>
    <row r="6" spans="1:7" s="43" customFormat="1" x14ac:dyDescent="0.2">
      <c r="A6" s="283" t="s">
        <v>486</v>
      </c>
      <c r="B6" s="284"/>
      <c r="C6" s="42" t="s">
        <v>70</v>
      </c>
      <c r="D6" s="42" t="s">
        <v>71</v>
      </c>
      <c r="E6" s="42" t="s">
        <v>72</v>
      </c>
      <c r="F6" s="42" t="s">
        <v>73</v>
      </c>
      <c r="G6" s="42" t="s">
        <v>19</v>
      </c>
    </row>
    <row r="7" spans="1:7" s="43" customFormat="1" x14ac:dyDescent="0.2">
      <c r="A7" s="41">
        <v>1</v>
      </c>
      <c r="B7" s="355" t="s">
        <v>491</v>
      </c>
      <c r="C7" s="45">
        <v>13</v>
      </c>
      <c r="D7" s="569">
        <v>9</v>
      </c>
      <c r="E7" s="45"/>
      <c r="F7" s="45">
        <v>13</v>
      </c>
      <c r="G7" s="232" t="s">
        <v>75</v>
      </c>
    </row>
    <row r="8" spans="1:7" s="43" customFormat="1" x14ac:dyDescent="0.2">
      <c r="A8" s="41">
        <v>2</v>
      </c>
      <c r="B8" s="226" t="s">
        <v>490</v>
      </c>
      <c r="C8" s="45">
        <v>13</v>
      </c>
      <c r="D8" s="45">
        <v>13</v>
      </c>
      <c r="E8" s="44"/>
      <c r="F8" s="45"/>
      <c r="G8" s="232" t="s">
        <v>74</v>
      </c>
    </row>
    <row r="9" spans="1:7" s="43" customFormat="1" x14ac:dyDescent="0.2">
      <c r="A9" s="41">
        <v>3</v>
      </c>
      <c r="B9" s="226" t="s">
        <v>126</v>
      </c>
      <c r="C9" s="569">
        <v>2</v>
      </c>
      <c r="D9" s="45"/>
      <c r="E9" s="45">
        <v>13</v>
      </c>
      <c r="F9" s="45">
        <v>1</v>
      </c>
      <c r="G9" s="232" t="s">
        <v>76</v>
      </c>
    </row>
    <row r="10" spans="1:7" s="43" customFormat="1" x14ac:dyDescent="0.2">
      <c r="A10" s="41">
        <v>4</v>
      </c>
      <c r="B10" s="109"/>
      <c r="C10" s="45">
        <v>0</v>
      </c>
      <c r="D10" s="45"/>
      <c r="E10" s="45">
        <v>0</v>
      </c>
      <c r="F10" s="45"/>
      <c r="G10" s="232"/>
    </row>
    <row r="11" spans="1:7" s="43" customFormat="1" x14ac:dyDescent="0.2">
      <c r="A11" s="47"/>
      <c r="B11" s="110"/>
      <c r="C11" s="49"/>
      <c r="D11" s="49"/>
      <c r="E11" s="49"/>
      <c r="F11" s="50"/>
      <c r="G11" s="51"/>
    </row>
    <row r="12" spans="1:7" s="43" customFormat="1" x14ac:dyDescent="0.2">
      <c r="A12" s="283" t="s">
        <v>180</v>
      </c>
      <c r="B12" s="284"/>
      <c r="C12" s="42" t="s">
        <v>70</v>
      </c>
      <c r="D12" s="42" t="s">
        <v>71</v>
      </c>
      <c r="E12" s="42" t="s">
        <v>72</v>
      </c>
      <c r="F12" s="42" t="s">
        <v>73</v>
      </c>
      <c r="G12" s="42" t="s">
        <v>19</v>
      </c>
    </row>
    <row r="13" spans="1:7" s="43" customFormat="1" x14ac:dyDescent="0.2">
      <c r="A13" s="41">
        <v>1</v>
      </c>
      <c r="B13" s="226" t="s">
        <v>331</v>
      </c>
      <c r="C13" s="45">
        <v>13</v>
      </c>
      <c r="D13" s="45">
        <v>13</v>
      </c>
      <c r="E13" s="45"/>
      <c r="F13" s="45"/>
      <c r="G13" s="232" t="s">
        <v>74</v>
      </c>
    </row>
    <row r="14" spans="1:7" s="43" customFormat="1" x14ac:dyDescent="0.2">
      <c r="A14" s="41">
        <v>2</v>
      </c>
      <c r="B14" s="226" t="s">
        <v>330</v>
      </c>
      <c r="C14" s="45">
        <v>13</v>
      </c>
      <c r="D14" s="45">
        <v>4</v>
      </c>
      <c r="E14" s="45"/>
      <c r="F14" s="45">
        <v>13</v>
      </c>
      <c r="G14" s="232" t="s">
        <v>75</v>
      </c>
    </row>
    <row r="15" spans="1:7" s="43" customFormat="1" x14ac:dyDescent="0.2">
      <c r="A15" s="41">
        <v>3</v>
      </c>
      <c r="B15" s="226" t="s">
        <v>123</v>
      </c>
      <c r="C15" s="45">
        <v>7</v>
      </c>
      <c r="D15" s="45"/>
      <c r="E15" s="45">
        <v>13</v>
      </c>
      <c r="F15" s="45">
        <v>7</v>
      </c>
      <c r="G15" s="232" t="s">
        <v>76</v>
      </c>
    </row>
    <row r="16" spans="1:7" s="43" customFormat="1" x14ac:dyDescent="0.2">
      <c r="A16" s="41">
        <v>4</v>
      </c>
      <c r="B16" s="154"/>
      <c r="C16" s="45">
        <v>0</v>
      </c>
      <c r="D16" s="45"/>
      <c r="E16" s="45">
        <v>0</v>
      </c>
      <c r="F16" s="45"/>
      <c r="G16" s="232"/>
    </row>
    <row r="17" spans="1:15" s="43" customFormat="1" x14ac:dyDescent="0.2">
      <c r="A17" s="47"/>
      <c r="B17" s="110"/>
      <c r="C17" s="49"/>
      <c r="D17" s="49"/>
      <c r="E17" s="49"/>
      <c r="F17" s="50"/>
      <c r="G17" s="51"/>
    </row>
    <row r="18" spans="1:15" s="43" customFormat="1" x14ac:dyDescent="0.2">
      <c r="A18" s="283" t="s">
        <v>487</v>
      </c>
      <c r="B18" s="284"/>
      <c r="C18" s="42" t="s">
        <v>70</v>
      </c>
      <c r="D18" s="42" t="s">
        <v>71</v>
      </c>
      <c r="E18" s="42" t="s">
        <v>72</v>
      </c>
      <c r="F18" s="42" t="s">
        <v>73</v>
      </c>
      <c r="G18" s="42" t="s">
        <v>19</v>
      </c>
    </row>
    <row r="19" spans="1:15" s="43" customFormat="1" x14ac:dyDescent="0.2">
      <c r="A19" s="41">
        <v>1</v>
      </c>
      <c r="B19" s="356" t="s">
        <v>492</v>
      </c>
      <c r="C19" s="45">
        <v>13</v>
      </c>
      <c r="D19" s="45">
        <v>13</v>
      </c>
      <c r="E19" s="45"/>
      <c r="F19" s="45"/>
      <c r="G19" s="232" t="s">
        <v>74</v>
      </c>
    </row>
    <row r="20" spans="1:15" s="43" customFormat="1" x14ac:dyDescent="0.2">
      <c r="A20" s="41">
        <v>2</v>
      </c>
      <c r="B20" s="356" t="s">
        <v>332</v>
      </c>
      <c r="C20" s="45">
        <v>13</v>
      </c>
      <c r="D20" s="45">
        <v>2</v>
      </c>
      <c r="E20" s="45"/>
      <c r="F20" s="45">
        <v>13</v>
      </c>
      <c r="G20" s="232" t="s">
        <v>75</v>
      </c>
    </row>
    <row r="21" spans="1:15" s="43" customFormat="1" x14ac:dyDescent="0.2">
      <c r="A21" s="41">
        <v>3</v>
      </c>
      <c r="B21" s="226" t="s">
        <v>493</v>
      </c>
      <c r="C21" s="45">
        <v>7</v>
      </c>
      <c r="D21" s="45"/>
      <c r="E21" s="45">
        <v>13</v>
      </c>
      <c r="F21" s="45">
        <v>4</v>
      </c>
      <c r="G21" s="232" t="s">
        <v>76</v>
      </c>
    </row>
    <row r="22" spans="1:15" s="43" customFormat="1" x14ac:dyDescent="0.2">
      <c r="A22" s="41">
        <v>4</v>
      </c>
      <c r="B22" s="226"/>
      <c r="C22" s="45">
        <v>0</v>
      </c>
      <c r="D22" s="45"/>
      <c r="E22" s="45">
        <v>0</v>
      </c>
      <c r="F22" s="45"/>
      <c r="G22" s="232"/>
    </row>
    <row r="23" spans="1:15" s="43" customFormat="1" x14ac:dyDescent="0.2">
      <c r="A23" s="47"/>
      <c r="B23" s="110"/>
      <c r="C23" s="49"/>
      <c r="D23" s="49"/>
      <c r="E23" s="49"/>
      <c r="F23" s="50"/>
      <c r="G23" s="51"/>
    </row>
    <row r="24" spans="1:15" s="43" customFormat="1" x14ac:dyDescent="0.2">
      <c r="A24" s="283" t="s">
        <v>181</v>
      </c>
      <c r="B24" s="284"/>
      <c r="C24" s="42" t="s">
        <v>70</v>
      </c>
      <c r="D24" s="42" t="s">
        <v>71</v>
      </c>
      <c r="E24" s="42" t="s">
        <v>72</v>
      </c>
      <c r="F24" s="42" t="s">
        <v>73</v>
      </c>
      <c r="G24" s="42" t="s">
        <v>19</v>
      </c>
    </row>
    <row r="25" spans="1:15" s="43" customFormat="1" x14ac:dyDescent="0.2">
      <c r="A25" s="41">
        <v>1</v>
      </c>
      <c r="B25" s="356" t="s">
        <v>337</v>
      </c>
      <c r="C25" s="45">
        <v>13</v>
      </c>
      <c r="D25" s="45">
        <v>4</v>
      </c>
      <c r="E25" s="45"/>
      <c r="F25" s="45">
        <v>0</v>
      </c>
      <c r="G25" s="232" t="s">
        <v>76</v>
      </c>
    </row>
    <row r="26" spans="1:15" s="43" customFormat="1" x14ac:dyDescent="0.2">
      <c r="A26" s="41">
        <v>2</v>
      </c>
      <c r="B26" s="226" t="s">
        <v>494</v>
      </c>
      <c r="C26" s="45">
        <v>8</v>
      </c>
      <c r="D26" s="45"/>
      <c r="E26" s="45">
        <v>4</v>
      </c>
      <c r="F26" s="45"/>
      <c r="G26" s="232" t="s">
        <v>98</v>
      </c>
    </row>
    <row r="27" spans="1:15" s="43" customFormat="1" x14ac:dyDescent="0.2">
      <c r="A27" s="41">
        <v>3</v>
      </c>
      <c r="B27" s="226" t="s">
        <v>96</v>
      </c>
      <c r="C27" s="45">
        <v>13</v>
      </c>
      <c r="D27" s="45">
        <v>13</v>
      </c>
      <c r="E27" s="45"/>
      <c r="F27" s="45"/>
      <c r="G27" s="232" t="s">
        <v>74</v>
      </c>
    </row>
    <row r="28" spans="1:15" s="43" customFormat="1" x14ac:dyDescent="0.2">
      <c r="A28" s="41">
        <v>4</v>
      </c>
      <c r="B28" s="226" t="s">
        <v>495</v>
      </c>
      <c r="C28" s="45">
        <v>1</v>
      </c>
      <c r="D28" s="45"/>
      <c r="E28" s="45">
        <v>13</v>
      </c>
      <c r="F28" s="45">
        <v>13</v>
      </c>
      <c r="G28" s="232" t="s">
        <v>75</v>
      </c>
    </row>
    <row r="29" spans="1:15" s="43" customFormat="1" x14ac:dyDescent="0.2">
      <c r="A29" s="47"/>
      <c r="B29" s="130"/>
      <c r="C29" s="50"/>
      <c r="D29" s="50"/>
      <c r="E29" s="50"/>
      <c r="F29" s="50"/>
      <c r="G29" s="567"/>
      <c r="I29" s="47"/>
      <c r="J29" s="130"/>
      <c r="K29" s="50"/>
      <c r="L29" s="50"/>
      <c r="M29" s="50"/>
      <c r="N29" s="50"/>
      <c r="O29" s="53"/>
    </row>
    <row r="30" spans="1:15" s="43" customFormat="1" x14ac:dyDescent="0.2">
      <c r="A30" s="283" t="s">
        <v>182</v>
      </c>
      <c r="B30" s="284"/>
      <c r="C30" s="42" t="s">
        <v>70</v>
      </c>
      <c r="D30" s="42" t="s">
        <v>71</v>
      </c>
      <c r="E30" s="42" t="s">
        <v>72</v>
      </c>
      <c r="F30" s="42" t="s">
        <v>73</v>
      </c>
      <c r="G30" s="42" t="s">
        <v>19</v>
      </c>
      <c r="I30" s="47"/>
      <c r="J30" s="130"/>
      <c r="K30" s="50"/>
      <c r="L30" s="50"/>
      <c r="M30" s="50"/>
      <c r="N30" s="50"/>
      <c r="O30" s="53"/>
    </row>
    <row r="31" spans="1:15" s="43" customFormat="1" x14ac:dyDescent="0.2">
      <c r="A31" s="41">
        <v>1</v>
      </c>
      <c r="B31" s="356" t="s">
        <v>111</v>
      </c>
      <c r="C31" s="45">
        <v>13</v>
      </c>
      <c r="D31" s="45">
        <v>13</v>
      </c>
      <c r="E31" s="45"/>
      <c r="F31" s="45"/>
      <c r="G31" s="232" t="s">
        <v>74</v>
      </c>
      <c r="I31" s="47"/>
      <c r="J31" s="130"/>
      <c r="K31" s="50"/>
      <c r="L31" s="50"/>
      <c r="M31" s="50"/>
      <c r="N31" s="50"/>
      <c r="O31" s="53"/>
    </row>
    <row r="32" spans="1:15" s="43" customFormat="1" x14ac:dyDescent="0.2">
      <c r="A32" s="41">
        <v>2</v>
      </c>
      <c r="B32" s="226" t="s">
        <v>326</v>
      </c>
      <c r="C32" s="45">
        <v>11</v>
      </c>
      <c r="D32" s="45"/>
      <c r="E32" s="45">
        <v>13</v>
      </c>
      <c r="F32" s="45">
        <v>2</v>
      </c>
      <c r="G32" s="232" t="s">
        <v>76</v>
      </c>
      <c r="I32" s="47"/>
      <c r="J32" s="130"/>
      <c r="K32" s="50"/>
      <c r="L32" s="50"/>
      <c r="M32" s="50"/>
      <c r="N32" s="50"/>
      <c r="O32" s="53"/>
    </row>
    <row r="33" spans="1:15" s="43" customFormat="1" x14ac:dyDescent="0.2">
      <c r="A33" s="41">
        <v>3</v>
      </c>
      <c r="B33" s="226" t="s">
        <v>496</v>
      </c>
      <c r="C33" s="45">
        <v>13</v>
      </c>
      <c r="D33" s="45">
        <v>10</v>
      </c>
      <c r="E33" s="45"/>
      <c r="F33" s="45">
        <v>13</v>
      </c>
      <c r="G33" s="232" t="s">
        <v>75</v>
      </c>
      <c r="I33" s="47"/>
      <c r="J33" s="130"/>
      <c r="K33" s="50"/>
      <c r="L33" s="50"/>
      <c r="M33" s="50"/>
      <c r="N33" s="50"/>
      <c r="O33" s="53"/>
    </row>
    <row r="34" spans="1:15" s="43" customFormat="1" x14ac:dyDescent="0.2">
      <c r="A34" s="41">
        <v>4</v>
      </c>
      <c r="B34" s="108"/>
      <c r="C34" s="45">
        <v>0</v>
      </c>
      <c r="D34" s="45"/>
      <c r="E34" s="45">
        <v>0</v>
      </c>
      <c r="F34" s="45"/>
      <c r="G34" s="153"/>
      <c r="I34" s="47"/>
      <c r="J34" s="130"/>
      <c r="K34" s="50"/>
      <c r="L34" s="50"/>
      <c r="M34" s="50"/>
      <c r="N34" s="50"/>
      <c r="O34" s="53"/>
    </row>
    <row r="35" spans="1:15" s="43" customFormat="1" x14ac:dyDescent="0.2">
      <c r="I35" s="47"/>
      <c r="J35" s="130"/>
      <c r="K35" s="50"/>
      <c r="L35" s="50"/>
      <c r="M35" s="50"/>
      <c r="N35" s="50"/>
      <c r="O35" s="53"/>
    </row>
    <row r="36" spans="1:15" s="43" customFormat="1" x14ac:dyDescent="0.2">
      <c r="A36" s="283" t="s">
        <v>488</v>
      </c>
      <c r="B36" s="284"/>
      <c r="C36" s="42" t="s">
        <v>70</v>
      </c>
      <c r="D36" s="42" t="s">
        <v>71</v>
      </c>
      <c r="E36" s="42" t="s">
        <v>72</v>
      </c>
      <c r="F36" s="42" t="s">
        <v>73</v>
      </c>
      <c r="G36" s="42" t="s">
        <v>19</v>
      </c>
      <c r="I36" s="47"/>
      <c r="J36" s="130"/>
      <c r="K36" s="50"/>
      <c r="L36" s="50"/>
      <c r="M36" s="50"/>
      <c r="N36" s="50"/>
      <c r="O36" s="53"/>
    </row>
    <row r="37" spans="1:15" s="43" customFormat="1" x14ac:dyDescent="0.2">
      <c r="A37" s="41">
        <v>1</v>
      </c>
      <c r="B37" s="356" t="s">
        <v>387</v>
      </c>
      <c r="C37" s="45">
        <v>13</v>
      </c>
      <c r="D37" s="45">
        <v>3</v>
      </c>
      <c r="E37" s="45"/>
      <c r="F37" s="45">
        <v>13</v>
      </c>
      <c r="G37" s="232" t="s">
        <v>75</v>
      </c>
      <c r="I37" s="47"/>
      <c r="J37" s="130"/>
      <c r="K37" s="50"/>
      <c r="L37" s="50"/>
      <c r="M37" s="50"/>
      <c r="N37" s="50"/>
      <c r="O37" s="53"/>
    </row>
    <row r="38" spans="1:15" s="43" customFormat="1" x14ac:dyDescent="0.2">
      <c r="A38" s="41">
        <v>2</v>
      </c>
      <c r="B38" s="226" t="s">
        <v>497</v>
      </c>
      <c r="C38" s="45">
        <v>13</v>
      </c>
      <c r="D38" s="45">
        <v>13</v>
      </c>
      <c r="E38" s="45"/>
      <c r="F38" s="45"/>
      <c r="G38" s="232" t="s">
        <v>74</v>
      </c>
      <c r="I38" s="47"/>
      <c r="J38" s="130"/>
      <c r="K38" s="50"/>
      <c r="L38" s="50"/>
      <c r="M38" s="50"/>
      <c r="N38" s="50"/>
      <c r="O38" s="53"/>
    </row>
    <row r="39" spans="1:15" s="43" customFormat="1" x14ac:dyDescent="0.2">
      <c r="A39" s="41">
        <v>3</v>
      </c>
      <c r="B39" s="226" t="s">
        <v>498</v>
      </c>
      <c r="C39" s="45">
        <v>4</v>
      </c>
      <c r="D39" s="45"/>
      <c r="E39" s="45">
        <v>13</v>
      </c>
      <c r="F39" s="45">
        <v>6</v>
      </c>
      <c r="G39" s="232" t="s">
        <v>76</v>
      </c>
      <c r="I39" s="47"/>
      <c r="J39" s="130"/>
      <c r="K39" s="50"/>
      <c r="L39" s="50"/>
      <c r="M39" s="50"/>
      <c r="N39" s="50"/>
      <c r="O39" s="53"/>
    </row>
    <row r="40" spans="1:15" s="43" customFormat="1" x14ac:dyDescent="0.2">
      <c r="A40" s="41">
        <v>4</v>
      </c>
      <c r="B40" s="108"/>
      <c r="C40" s="45"/>
      <c r="D40" s="45"/>
      <c r="E40" s="45">
        <v>0</v>
      </c>
      <c r="F40" s="45"/>
      <c r="G40" s="153"/>
      <c r="I40" s="47"/>
      <c r="J40" s="130"/>
      <c r="K40" s="50"/>
      <c r="L40" s="50"/>
      <c r="M40" s="50"/>
      <c r="N40" s="50"/>
      <c r="O40" s="53"/>
    </row>
    <row r="41" spans="1:15" s="43" customFormat="1" x14ac:dyDescent="0.2">
      <c r="I41" s="47"/>
      <c r="J41" s="130"/>
      <c r="K41" s="50"/>
      <c r="L41" s="50"/>
      <c r="M41" s="50"/>
      <c r="N41" s="50"/>
      <c r="O41" s="53"/>
    </row>
    <row r="42" spans="1:15" s="43" customFormat="1" x14ac:dyDescent="0.2">
      <c r="A42" s="283" t="s">
        <v>489</v>
      </c>
      <c r="B42" s="284"/>
      <c r="C42" s="42" t="s">
        <v>70</v>
      </c>
      <c r="D42" s="42" t="s">
        <v>71</v>
      </c>
      <c r="E42" s="42" t="s">
        <v>72</v>
      </c>
      <c r="F42" s="42" t="s">
        <v>73</v>
      </c>
      <c r="G42" s="42" t="s">
        <v>19</v>
      </c>
      <c r="I42" s="47"/>
      <c r="J42" s="130"/>
      <c r="K42" s="50"/>
      <c r="L42" s="50"/>
      <c r="M42" s="50"/>
      <c r="N42" s="50"/>
      <c r="O42" s="53"/>
    </row>
    <row r="43" spans="1:15" s="43" customFormat="1" x14ac:dyDescent="0.2">
      <c r="A43" s="41">
        <v>1</v>
      </c>
      <c r="B43" s="356" t="s">
        <v>499</v>
      </c>
      <c r="C43" s="45">
        <v>13</v>
      </c>
      <c r="D43" s="45">
        <v>3</v>
      </c>
      <c r="E43" s="45"/>
      <c r="F43" s="45">
        <v>13</v>
      </c>
      <c r="G43" s="232" t="s">
        <v>75</v>
      </c>
      <c r="I43" s="47"/>
      <c r="J43" s="130"/>
      <c r="K43" s="50"/>
      <c r="L43" s="50"/>
      <c r="M43" s="50"/>
      <c r="N43" s="50"/>
      <c r="O43" s="53"/>
    </row>
    <row r="44" spans="1:15" s="43" customFormat="1" x14ac:dyDescent="0.2">
      <c r="A44" s="41">
        <v>2</v>
      </c>
      <c r="B44" s="226" t="s">
        <v>97</v>
      </c>
      <c r="C44" s="45">
        <v>7</v>
      </c>
      <c r="D44" s="45"/>
      <c r="E44" s="45">
        <v>13</v>
      </c>
      <c r="F44" s="45">
        <v>2</v>
      </c>
      <c r="G44" s="232" t="s">
        <v>76</v>
      </c>
      <c r="I44" s="47"/>
      <c r="J44" s="130"/>
      <c r="K44" s="50"/>
      <c r="L44" s="50"/>
      <c r="M44" s="50"/>
      <c r="N44" s="50"/>
      <c r="O44" s="53"/>
    </row>
    <row r="45" spans="1:15" s="43" customFormat="1" x14ac:dyDescent="0.2">
      <c r="A45" s="41">
        <v>3</v>
      </c>
      <c r="B45" s="226" t="s">
        <v>113</v>
      </c>
      <c r="C45" s="45">
        <v>13</v>
      </c>
      <c r="D45" s="45">
        <v>13</v>
      </c>
      <c r="E45" s="45"/>
      <c r="F45" s="45"/>
      <c r="G45" s="232" t="s">
        <v>74</v>
      </c>
      <c r="I45" s="47"/>
      <c r="J45" s="130"/>
      <c r="K45" s="50"/>
      <c r="L45" s="50"/>
      <c r="M45" s="50"/>
      <c r="N45" s="50"/>
      <c r="O45" s="53"/>
    </row>
    <row r="46" spans="1:15" s="43" customFormat="1" x14ac:dyDescent="0.2">
      <c r="A46" s="41">
        <v>4</v>
      </c>
      <c r="B46" s="108"/>
      <c r="C46" s="45">
        <v>0</v>
      </c>
      <c r="D46" s="45"/>
      <c r="E46" s="45">
        <v>0</v>
      </c>
      <c r="F46" s="45"/>
      <c r="G46" s="232"/>
      <c r="I46" s="47"/>
      <c r="J46" s="130"/>
      <c r="K46" s="50"/>
      <c r="L46" s="50"/>
      <c r="M46" s="50"/>
      <c r="N46" s="50"/>
      <c r="O46" s="53"/>
    </row>
    <row r="47" spans="1:15" s="43" customFormat="1" x14ac:dyDescent="0.2">
      <c r="I47" s="47"/>
      <c r="J47" s="130"/>
      <c r="K47" s="50"/>
      <c r="L47" s="50"/>
      <c r="M47" s="50"/>
      <c r="N47" s="50"/>
      <c r="O47" s="53"/>
    </row>
    <row r="48" spans="1:15" s="43" customFormat="1" x14ac:dyDescent="0.2">
      <c r="A48" s="283" t="s">
        <v>448</v>
      </c>
      <c r="B48" s="284"/>
      <c r="C48" s="42" t="s">
        <v>70</v>
      </c>
      <c r="D48" s="42" t="s">
        <v>71</v>
      </c>
      <c r="E48" s="42" t="s">
        <v>72</v>
      </c>
      <c r="F48" s="42" t="s">
        <v>73</v>
      </c>
      <c r="G48" s="42" t="s">
        <v>19</v>
      </c>
      <c r="I48" s="47"/>
      <c r="J48" s="130"/>
      <c r="K48" s="50"/>
      <c r="L48" s="50"/>
      <c r="M48" s="50"/>
      <c r="N48" s="50"/>
      <c r="O48" s="53"/>
    </row>
    <row r="49" spans="1:15" s="43" customFormat="1" x14ac:dyDescent="0.2">
      <c r="A49" s="41">
        <v>1</v>
      </c>
      <c r="B49" s="356" t="s">
        <v>334</v>
      </c>
      <c r="C49" s="45">
        <v>13</v>
      </c>
      <c r="D49" s="45">
        <v>7</v>
      </c>
      <c r="E49" s="45"/>
      <c r="F49" s="45">
        <v>11</v>
      </c>
      <c r="G49" s="232" t="s">
        <v>76</v>
      </c>
      <c r="I49" s="47"/>
      <c r="J49" s="130"/>
      <c r="K49" s="50"/>
      <c r="L49" s="50"/>
      <c r="M49" s="50"/>
      <c r="N49" s="50"/>
      <c r="O49" s="53"/>
    </row>
    <row r="50" spans="1:15" s="43" customFormat="1" x14ac:dyDescent="0.2">
      <c r="A50" s="41">
        <v>2</v>
      </c>
      <c r="B50" s="226" t="s">
        <v>500</v>
      </c>
      <c r="C50" s="45">
        <v>13</v>
      </c>
      <c r="D50" s="45">
        <v>13</v>
      </c>
      <c r="E50" s="45"/>
      <c r="F50" s="45"/>
      <c r="G50" s="232" t="s">
        <v>74</v>
      </c>
      <c r="I50" s="47"/>
      <c r="J50" s="130"/>
      <c r="K50" s="50"/>
      <c r="L50" s="50"/>
      <c r="M50" s="50"/>
      <c r="N50" s="50"/>
      <c r="O50" s="53"/>
    </row>
    <row r="51" spans="1:15" s="43" customFormat="1" x14ac:dyDescent="0.2">
      <c r="A51" s="41">
        <v>3</v>
      </c>
      <c r="B51" s="226" t="s">
        <v>100</v>
      </c>
      <c r="C51" s="45">
        <v>1</v>
      </c>
      <c r="D51" s="45"/>
      <c r="E51" s="45">
        <v>13</v>
      </c>
      <c r="F51" s="45">
        <v>13</v>
      </c>
      <c r="G51" s="232" t="s">
        <v>75</v>
      </c>
      <c r="I51" s="47"/>
      <c r="J51" s="130"/>
      <c r="K51" s="50"/>
      <c r="L51" s="50"/>
      <c r="M51" s="50"/>
      <c r="N51" s="50"/>
      <c r="O51" s="53"/>
    </row>
    <row r="52" spans="1:15" s="43" customFormat="1" x14ac:dyDescent="0.2">
      <c r="A52" s="41">
        <v>4</v>
      </c>
      <c r="B52" s="226" t="s">
        <v>501</v>
      </c>
      <c r="C52" s="45">
        <v>7</v>
      </c>
      <c r="D52" s="45"/>
      <c r="E52" s="45">
        <v>10</v>
      </c>
      <c r="F52" s="45"/>
      <c r="G52" s="232" t="s">
        <v>98</v>
      </c>
      <c r="I52" s="47"/>
      <c r="J52" s="130"/>
      <c r="K52" s="50"/>
      <c r="L52" s="50"/>
      <c r="M52" s="50"/>
      <c r="N52" s="50"/>
      <c r="O52" s="53"/>
    </row>
    <row r="53" spans="1:15" s="43" customFormat="1" x14ac:dyDescent="0.2">
      <c r="A53" s="47"/>
      <c r="B53" s="110"/>
      <c r="C53" s="49"/>
      <c r="D53" s="49"/>
      <c r="E53" s="49"/>
      <c r="F53" s="50"/>
      <c r="G53" s="51"/>
    </row>
    <row r="54" spans="1:15" s="83" customFormat="1" x14ac:dyDescent="0.2">
      <c r="A54" s="114" t="s">
        <v>114</v>
      </c>
      <c r="B54" s="90"/>
      <c r="C54" s="49"/>
      <c r="D54" s="49"/>
      <c r="E54" s="49"/>
      <c r="F54" s="50"/>
      <c r="G54" s="51"/>
    </row>
    <row r="55" spans="1:15" s="83" customFormat="1" x14ac:dyDescent="0.2"/>
    <row r="56" spans="1:15" s="83" customFormat="1" x14ac:dyDescent="0.2">
      <c r="A56" s="115" t="s">
        <v>80</v>
      </c>
      <c r="B56" s="251" t="s">
        <v>96</v>
      </c>
      <c r="C56" s="156">
        <v>13</v>
      </c>
    </row>
    <row r="57" spans="1:15" s="83" customFormat="1" x14ac:dyDescent="0.2">
      <c r="A57" s="84"/>
      <c r="B57" s="155"/>
      <c r="C57" s="87" t="s">
        <v>96</v>
      </c>
      <c r="D57" s="157"/>
      <c r="F57" s="156">
        <v>13</v>
      </c>
    </row>
    <row r="58" spans="1:15" s="83" customFormat="1" x14ac:dyDescent="0.2">
      <c r="A58" s="84" t="s">
        <v>117</v>
      </c>
      <c r="B58" s="157" t="s">
        <v>496</v>
      </c>
      <c r="C58" s="120">
        <v>9</v>
      </c>
      <c r="E58" s="89"/>
    </row>
    <row r="59" spans="1:15" s="83" customFormat="1" x14ac:dyDescent="0.2">
      <c r="A59" s="84"/>
      <c r="D59" s="90"/>
      <c r="E59" s="91"/>
      <c r="F59" s="95" t="s">
        <v>96</v>
      </c>
      <c r="I59" s="568">
        <v>11</v>
      </c>
    </row>
    <row r="60" spans="1:15" s="83" customFormat="1" x14ac:dyDescent="0.2">
      <c r="A60" s="84" t="s">
        <v>88</v>
      </c>
      <c r="B60" s="83" t="s">
        <v>492</v>
      </c>
      <c r="C60" s="97">
        <v>13</v>
      </c>
      <c r="E60" s="91"/>
      <c r="F60" s="116"/>
      <c r="G60" s="155"/>
      <c r="H60" s="89"/>
    </row>
    <row r="61" spans="1:15" s="83" customFormat="1" x14ac:dyDescent="0.2">
      <c r="A61" s="84"/>
      <c r="B61" s="155"/>
      <c r="C61" s="95" t="s">
        <v>492</v>
      </c>
      <c r="E61" s="96"/>
      <c r="F61" s="97">
        <v>3</v>
      </c>
      <c r="G61" s="90"/>
      <c r="H61" s="91"/>
    </row>
    <row r="62" spans="1:15" s="83" customFormat="1" x14ac:dyDescent="0.2">
      <c r="A62" s="84" t="s">
        <v>466</v>
      </c>
      <c r="B62" s="250" t="s">
        <v>100</v>
      </c>
      <c r="C62" s="131">
        <v>2</v>
      </c>
      <c r="D62" s="155"/>
      <c r="F62" s="90"/>
      <c r="G62" s="90"/>
      <c r="H62" s="91"/>
    </row>
    <row r="63" spans="1:15" s="83" customFormat="1" x14ac:dyDescent="0.2">
      <c r="A63" s="98"/>
      <c r="F63" s="90"/>
      <c r="G63" s="90"/>
      <c r="H63" s="91"/>
      <c r="I63" s="95" t="s">
        <v>499</v>
      </c>
      <c r="K63" s="156">
        <v>13</v>
      </c>
    </row>
    <row r="64" spans="1:15" s="83" customFormat="1" x14ac:dyDescent="0.2">
      <c r="A64" s="115" t="s">
        <v>84</v>
      </c>
      <c r="B64" s="83" t="s">
        <v>331</v>
      </c>
      <c r="C64" s="156">
        <v>8</v>
      </c>
      <c r="F64" s="90"/>
      <c r="G64" s="90"/>
      <c r="H64" s="91"/>
      <c r="I64" s="155"/>
      <c r="J64" s="89"/>
    </row>
    <row r="65" spans="1:13" s="83" customFormat="1" x14ac:dyDescent="0.2">
      <c r="A65" s="84"/>
      <c r="B65" s="155"/>
      <c r="C65" s="87" t="s">
        <v>499</v>
      </c>
      <c r="D65" s="157"/>
      <c r="F65" s="97">
        <v>13</v>
      </c>
      <c r="G65" s="90"/>
      <c r="H65" s="91"/>
      <c r="I65" s="90"/>
      <c r="J65" s="91"/>
    </row>
    <row r="66" spans="1:13" s="83" customFormat="1" x14ac:dyDescent="0.2">
      <c r="A66" s="84" t="s">
        <v>465</v>
      </c>
      <c r="B66" s="250" t="s">
        <v>499</v>
      </c>
      <c r="C66" s="120">
        <v>13</v>
      </c>
      <c r="E66" s="89"/>
      <c r="F66" s="90"/>
      <c r="G66" s="90"/>
      <c r="H66" s="91"/>
      <c r="I66" s="90"/>
      <c r="J66" s="91"/>
    </row>
    <row r="67" spans="1:13" s="83" customFormat="1" x14ac:dyDescent="0.2">
      <c r="A67" s="84"/>
      <c r="D67" s="90"/>
      <c r="E67" s="91"/>
      <c r="F67" s="157" t="s">
        <v>499</v>
      </c>
      <c r="G67" s="157"/>
      <c r="H67" s="96"/>
      <c r="I67" s="97">
        <v>13</v>
      </c>
      <c r="J67" s="91"/>
    </row>
    <row r="68" spans="1:13" s="83" customFormat="1" x14ac:dyDescent="0.2">
      <c r="A68" s="84" t="s">
        <v>116</v>
      </c>
      <c r="B68" s="251" t="s">
        <v>497</v>
      </c>
      <c r="C68" s="97">
        <v>13</v>
      </c>
      <c r="E68" s="91"/>
      <c r="F68" s="95"/>
      <c r="G68" s="90"/>
      <c r="H68" s="90"/>
      <c r="I68" s="90"/>
      <c r="J68" s="91"/>
    </row>
    <row r="69" spans="1:13" s="83" customFormat="1" x14ac:dyDescent="0.2">
      <c r="A69" s="84"/>
      <c r="B69" s="155"/>
      <c r="C69" s="95" t="s">
        <v>497</v>
      </c>
      <c r="E69" s="96"/>
      <c r="F69" s="97">
        <v>9</v>
      </c>
      <c r="I69" s="90"/>
      <c r="J69" s="91"/>
    </row>
    <row r="70" spans="1:13" s="83" customFormat="1" x14ac:dyDescent="0.2">
      <c r="A70" s="84" t="s">
        <v>89</v>
      </c>
      <c r="B70" s="157" t="s">
        <v>491</v>
      </c>
      <c r="C70" s="119">
        <v>4</v>
      </c>
      <c r="D70" s="155"/>
      <c r="F70" s="90"/>
      <c r="G70" s="90"/>
      <c r="H70" s="90"/>
      <c r="I70" s="90"/>
      <c r="J70" s="91"/>
    </row>
    <row r="71" spans="1:13" s="83" customFormat="1" ht="13.5" thickBot="1" x14ac:dyDescent="0.25">
      <c r="I71" s="90"/>
      <c r="J71" s="91"/>
      <c r="L71" s="83" t="s">
        <v>499</v>
      </c>
    </row>
    <row r="72" spans="1:13" s="83" customFormat="1" x14ac:dyDescent="0.2">
      <c r="A72" s="115" t="s">
        <v>462</v>
      </c>
      <c r="B72" s="83" t="s">
        <v>113</v>
      </c>
      <c r="C72" s="156">
        <v>7</v>
      </c>
      <c r="I72" s="90"/>
      <c r="J72" s="91"/>
      <c r="K72" s="93"/>
      <c r="L72" s="117" t="s">
        <v>85</v>
      </c>
      <c r="M72" s="94"/>
    </row>
    <row r="73" spans="1:13" s="83" customFormat="1" x14ac:dyDescent="0.2">
      <c r="A73" s="84"/>
      <c r="B73" s="155"/>
      <c r="C73" s="87" t="s">
        <v>330</v>
      </c>
      <c r="D73" s="157"/>
      <c r="F73" s="156">
        <v>13</v>
      </c>
      <c r="I73" s="90"/>
      <c r="J73" s="91"/>
    </row>
    <row r="74" spans="1:13" s="83" customFormat="1" x14ac:dyDescent="0.2">
      <c r="A74" s="84" t="s">
        <v>81</v>
      </c>
      <c r="B74" s="250" t="s">
        <v>330</v>
      </c>
      <c r="C74" s="120">
        <v>13</v>
      </c>
      <c r="E74" s="89"/>
      <c r="I74" s="90"/>
      <c r="J74" s="91"/>
    </row>
    <row r="75" spans="1:13" s="83" customFormat="1" x14ac:dyDescent="0.2">
      <c r="A75" s="84"/>
      <c r="D75" s="90"/>
      <c r="E75" s="91"/>
      <c r="F75" s="83" t="s">
        <v>330</v>
      </c>
      <c r="I75" s="97">
        <v>2</v>
      </c>
      <c r="J75" s="91"/>
    </row>
    <row r="76" spans="1:13" s="83" customFormat="1" x14ac:dyDescent="0.2">
      <c r="A76" s="84" t="s">
        <v>82</v>
      </c>
      <c r="B76" s="83" t="s">
        <v>490</v>
      </c>
      <c r="C76" s="97">
        <v>13</v>
      </c>
      <c r="E76" s="91"/>
      <c r="F76" s="116"/>
      <c r="G76" s="155"/>
      <c r="H76" s="89"/>
      <c r="I76" s="90"/>
      <c r="J76" s="91"/>
    </row>
    <row r="77" spans="1:13" s="83" customFormat="1" x14ac:dyDescent="0.2">
      <c r="A77" s="84"/>
      <c r="B77" s="155"/>
      <c r="C77" s="95" t="s">
        <v>490</v>
      </c>
      <c r="E77" s="96"/>
      <c r="F77" s="97">
        <v>10</v>
      </c>
      <c r="G77" s="90"/>
      <c r="H77" s="91"/>
      <c r="I77" s="90"/>
      <c r="J77" s="91"/>
    </row>
    <row r="78" spans="1:13" s="83" customFormat="1" x14ac:dyDescent="0.2">
      <c r="A78" s="84" t="s">
        <v>118</v>
      </c>
      <c r="B78" s="441" t="s">
        <v>387</v>
      </c>
      <c r="C78" s="119">
        <v>8</v>
      </c>
      <c r="D78" s="155"/>
      <c r="F78" s="90"/>
      <c r="G78" s="90"/>
      <c r="H78" s="91"/>
      <c r="I78" s="90"/>
      <c r="J78" s="91"/>
    </row>
    <row r="79" spans="1:13" s="83" customFormat="1" x14ac:dyDescent="0.2">
      <c r="F79" s="90"/>
      <c r="G79" s="90"/>
      <c r="H79" s="91"/>
      <c r="I79" s="157" t="s">
        <v>500</v>
      </c>
      <c r="J79" s="96"/>
      <c r="K79" s="156">
        <v>7</v>
      </c>
    </row>
    <row r="80" spans="1:13" s="83" customFormat="1" ht="13.5" thickBot="1" x14ac:dyDescent="0.25">
      <c r="A80" s="115" t="s">
        <v>468</v>
      </c>
      <c r="B80" s="83" t="s">
        <v>500</v>
      </c>
      <c r="C80" s="156">
        <v>13</v>
      </c>
      <c r="F80" s="90"/>
      <c r="G80" s="90"/>
      <c r="H80" s="91"/>
      <c r="L80" s="423" t="s">
        <v>500</v>
      </c>
      <c r="M80" s="92"/>
    </row>
    <row r="81" spans="1:13" s="83" customFormat="1" x14ac:dyDescent="0.2">
      <c r="A81" s="84"/>
      <c r="B81" s="155"/>
      <c r="C81" s="87" t="s">
        <v>500</v>
      </c>
      <c r="D81" s="157"/>
      <c r="F81" s="97">
        <v>13</v>
      </c>
      <c r="G81" s="90"/>
      <c r="H81" s="91"/>
      <c r="L81" s="117" t="s">
        <v>87</v>
      </c>
      <c r="M81" s="90"/>
    </row>
    <row r="82" spans="1:13" s="83" customFormat="1" x14ac:dyDescent="0.2">
      <c r="A82" s="84" t="s">
        <v>86</v>
      </c>
      <c r="B82" s="250" t="s">
        <v>495</v>
      </c>
      <c r="C82" s="120">
        <v>1</v>
      </c>
      <c r="E82" s="89"/>
      <c r="F82" s="90"/>
      <c r="G82" s="90"/>
      <c r="H82" s="91"/>
    </row>
    <row r="83" spans="1:13" s="83" customFormat="1" x14ac:dyDescent="0.2">
      <c r="A83" s="84"/>
      <c r="D83" s="90"/>
      <c r="E83" s="91"/>
      <c r="F83" s="157" t="s">
        <v>500</v>
      </c>
      <c r="G83" s="157"/>
      <c r="H83" s="96"/>
      <c r="I83" s="156">
        <v>13</v>
      </c>
    </row>
    <row r="84" spans="1:13" s="83" customFormat="1" x14ac:dyDescent="0.2">
      <c r="A84" s="84" t="s">
        <v>115</v>
      </c>
      <c r="B84" s="83" t="s">
        <v>111</v>
      </c>
      <c r="C84" s="97">
        <v>4</v>
      </c>
      <c r="E84" s="91"/>
      <c r="F84" s="95"/>
      <c r="G84" s="90"/>
      <c r="H84" s="90"/>
    </row>
    <row r="85" spans="1:13" s="83" customFormat="1" x14ac:dyDescent="0.2">
      <c r="A85" s="84"/>
      <c r="B85" s="155"/>
      <c r="C85" s="95" t="s">
        <v>332</v>
      </c>
      <c r="E85" s="96"/>
      <c r="F85" s="97">
        <v>9</v>
      </c>
      <c r="I85" s="83" t="s">
        <v>96</v>
      </c>
      <c r="K85" s="97">
        <v>13</v>
      </c>
    </row>
    <row r="86" spans="1:13" s="83" customFormat="1" ht="13.5" thickBot="1" x14ac:dyDescent="0.25">
      <c r="A86" s="84" t="s">
        <v>83</v>
      </c>
      <c r="B86" s="250" t="s">
        <v>332</v>
      </c>
      <c r="C86" s="119">
        <v>13</v>
      </c>
      <c r="D86" s="155"/>
      <c r="F86" s="90"/>
      <c r="G86" s="90"/>
      <c r="H86" s="90"/>
      <c r="I86" s="155"/>
      <c r="J86" s="89"/>
      <c r="K86" s="92"/>
      <c r="L86" s="425" t="s">
        <v>96</v>
      </c>
      <c r="M86" s="92"/>
    </row>
    <row r="87" spans="1:13" s="83" customFormat="1" x14ac:dyDescent="0.2">
      <c r="H87" s="90"/>
      <c r="I87" s="157" t="s">
        <v>330</v>
      </c>
      <c r="J87" s="96"/>
      <c r="K87" s="156">
        <v>11</v>
      </c>
      <c r="L87" s="100" t="s">
        <v>90</v>
      </c>
      <c r="M87" s="90"/>
    </row>
    <row r="88" spans="1:13" s="83" customFormat="1" x14ac:dyDescent="0.2">
      <c r="H88" s="90"/>
      <c r="L88" s="90"/>
      <c r="M88" s="90"/>
    </row>
    <row r="89" spans="1:13" s="83" customFormat="1" ht="13.5" thickBot="1" x14ac:dyDescent="0.25">
      <c r="H89" s="90"/>
      <c r="I89" s="90"/>
      <c r="J89" s="90"/>
      <c r="L89" s="92" t="s">
        <v>330</v>
      </c>
      <c r="M89" s="92"/>
    </row>
    <row r="90" spans="1:13" s="83" customFormat="1" x14ac:dyDescent="0.2">
      <c r="I90" s="90"/>
      <c r="J90" s="90"/>
      <c r="L90" s="98" t="s">
        <v>91</v>
      </c>
    </row>
    <row r="91" spans="1:13" s="83" customFormat="1" x14ac:dyDescent="0.2">
      <c r="I91" s="90"/>
      <c r="J91" s="90"/>
      <c r="L91" s="98"/>
    </row>
    <row r="92" spans="1:13" s="83" customFormat="1" x14ac:dyDescent="0.2">
      <c r="A92" s="121" t="s">
        <v>119</v>
      </c>
      <c r="I92" s="90"/>
      <c r="J92" s="90"/>
      <c r="L92" s="98"/>
    </row>
    <row r="93" spans="1:13" s="83" customFormat="1" x14ac:dyDescent="0.2">
      <c r="A93" s="121"/>
      <c r="I93" s="90"/>
      <c r="J93" s="90"/>
      <c r="L93" s="98"/>
    </row>
    <row r="94" spans="1:13" s="83" customFormat="1" x14ac:dyDescent="0.2">
      <c r="F94" s="99" t="s">
        <v>492</v>
      </c>
      <c r="G94" s="156"/>
      <c r="H94" s="156"/>
      <c r="I94" s="568" t="s">
        <v>102</v>
      </c>
      <c r="J94" s="156"/>
      <c r="K94" s="156"/>
    </row>
    <row r="95" spans="1:13" s="83" customFormat="1" x14ac:dyDescent="0.2">
      <c r="F95" s="122"/>
      <c r="G95" s="122"/>
      <c r="H95" s="123"/>
      <c r="I95" s="97" t="s">
        <v>497</v>
      </c>
      <c r="J95" s="156"/>
      <c r="K95" s="156">
        <v>4</v>
      </c>
    </row>
    <row r="96" spans="1:13" s="83" customFormat="1" x14ac:dyDescent="0.2">
      <c r="F96" s="124" t="s">
        <v>497</v>
      </c>
      <c r="G96" s="124"/>
      <c r="H96" s="125"/>
      <c r="I96" s="122">
        <v>13</v>
      </c>
      <c r="J96" s="123"/>
      <c r="K96" s="156"/>
    </row>
    <row r="97" spans="1:13" s="83" customFormat="1" ht="13.5" thickBot="1" x14ac:dyDescent="0.25">
      <c r="F97" s="156"/>
      <c r="G97" s="156"/>
      <c r="H97" s="156"/>
      <c r="I97" s="97"/>
      <c r="J97" s="126"/>
      <c r="K97" s="156"/>
      <c r="L97" s="83" t="s">
        <v>490</v>
      </c>
    </row>
    <row r="98" spans="1:13" s="83" customFormat="1" x14ac:dyDescent="0.2">
      <c r="F98" s="156" t="s">
        <v>490</v>
      </c>
      <c r="G98" s="156"/>
      <c r="H98" s="156"/>
      <c r="I98" s="97">
        <v>13</v>
      </c>
      <c r="J98" s="126"/>
      <c r="K98" s="127"/>
      <c r="L98" s="117" t="s">
        <v>92</v>
      </c>
      <c r="M98" s="94"/>
    </row>
    <row r="99" spans="1:13" s="83" customFormat="1" x14ac:dyDescent="0.2">
      <c r="F99" s="122"/>
      <c r="G99" s="122"/>
      <c r="H99" s="123"/>
      <c r="I99" s="124" t="s">
        <v>490</v>
      </c>
      <c r="J99" s="125"/>
      <c r="K99" s="97">
        <v>13</v>
      </c>
    </row>
    <row r="100" spans="1:13" s="83" customFormat="1" ht="13.5" thickBot="1" x14ac:dyDescent="0.25">
      <c r="F100" s="124" t="s">
        <v>332</v>
      </c>
      <c r="G100" s="124"/>
      <c r="H100" s="125"/>
      <c r="I100" s="97">
        <v>0</v>
      </c>
      <c r="J100" s="156"/>
      <c r="K100" s="97"/>
      <c r="L100" s="90" t="s">
        <v>497</v>
      </c>
      <c r="M100" s="92"/>
    </row>
    <row r="101" spans="1:13" s="83" customFormat="1" x14ac:dyDescent="0.2">
      <c r="F101" s="156"/>
      <c r="G101" s="156"/>
      <c r="H101" s="156"/>
      <c r="I101" s="156"/>
      <c r="J101" s="156"/>
      <c r="K101" s="97"/>
      <c r="L101" s="117" t="s">
        <v>93</v>
      </c>
      <c r="M101" s="90"/>
    </row>
    <row r="102" spans="1:13" s="83" customFormat="1" x14ac:dyDescent="0.2">
      <c r="F102" s="156"/>
      <c r="G102" s="156"/>
      <c r="H102" s="97"/>
      <c r="I102" s="156" t="s">
        <v>492</v>
      </c>
      <c r="J102" s="156"/>
      <c r="K102" s="582" t="s">
        <v>102</v>
      </c>
      <c r="L102" s="90"/>
      <c r="M102" s="90"/>
    </row>
    <row r="103" spans="1:13" s="83" customFormat="1" ht="13.5" thickBot="1" x14ac:dyDescent="0.25">
      <c r="F103" s="156"/>
      <c r="G103" s="156"/>
      <c r="H103" s="97"/>
      <c r="I103" s="122"/>
      <c r="J103" s="123"/>
      <c r="K103" s="128"/>
      <c r="L103" s="92" t="s">
        <v>332</v>
      </c>
      <c r="M103" s="92"/>
    </row>
    <row r="104" spans="1:13" s="83" customFormat="1" x14ac:dyDescent="0.2">
      <c r="F104" s="156"/>
      <c r="G104" s="156"/>
      <c r="H104" s="97"/>
      <c r="I104" s="124" t="s">
        <v>332</v>
      </c>
      <c r="J104" s="125"/>
      <c r="K104" s="156">
        <v>13</v>
      </c>
      <c r="L104" s="100" t="s">
        <v>94</v>
      </c>
      <c r="M104" s="90"/>
    </row>
    <row r="105" spans="1:13" s="83" customFormat="1" x14ac:dyDescent="0.2">
      <c r="H105" s="90"/>
      <c r="L105" s="90"/>
      <c r="M105" s="90"/>
    </row>
    <row r="106" spans="1:13" s="83" customFormat="1" ht="13.5" thickBot="1" x14ac:dyDescent="0.25">
      <c r="F106" s="98"/>
      <c r="I106" s="90"/>
      <c r="J106" s="90"/>
      <c r="L106" s="92" t="s">
        <v>492</v>
      </c>
      <c r="M106" s="92"/>
    </row>
    <row r="107" spans="1:13" s="83" customFormat="1" x14ac:dyDescent="0.2">
      <c r="F107" s="98"/>
      <c r="I107" s="90"/>
      <c r="J107" s="90"/>
      <c r="L107" s="100" t="s">
        <v>95</v>
      </c>
    </row>
    <row r="108" spans="1:13" s="159" customFormat="1" x14ac:dyDescent="0.2"/>
    <row r="109" spans="1:13" x14ac:dyDescent="0.2">
      <c r="A109" s="101">
        <v>1</v>
      </c>
      <c r="B109" s="102" t="s">
        <v>499</v>
      </c>
      <c r="D109" s="112" t="s">
        <v>484</v>
      </c>
      <c r="E109" s="418" t="s">
        <v>326</v>
      </c>
      <c r="F109" s="416"/>
      <c r="G109" s="416"/>
      <c r="H109" s="416"/>
      <c r="I109" s="417"/>
    </row>
    <row r="110" spans="1:13" x14ac:dyDescent="0.2">
      <c r="A110" s="101">
        <v>2</v>
      </c>
      <c r="B110" s="103" t="s">
        <v>500</v>
      </c>
      <c r="D110" s="112" t="s">
        <v>484</v>
      </c>
      <c r="E110" s="415" t="s">
        <v>126</v>
      </c>
      <c r="F110" s="416"/>
      <c r="G110" s="416"/>
      <c r="H110" s="416"/>
      <c r="I110" s="417"/>
    </row>
    <row r="111" spans="1:13" x14ac:dyDescent="0.2">
      <c r="A111" s="101">
        <v>3</v>
      </c>
      <c r="B111" s="104" t="s">
        <v>96</v>
      </c>
      <c r="D111" s="112" t="s">
        <v>484</v>
      </c>
      <c r="E111" s="418" t="s">
        <v>337</v>
      </c>
      <c r="F111" s="416"/>
      <c r="G111" s="416"/>
      <c r="H111" s="416"/>
      <c r="I111" s="417"/>
    </row>
    <row r="112" spans="1:13" x14ac:dyDescent="0.2">
      <c r="A112" s="101">
        <v>4</v>
      </c>
      <c r="B112" s="105" t="s">
        <v>330</v>
      </c>
      <c r="D112" s="112" t="s">
        <v>484</v>
      </c>
      <c r="E112" s="415" t="s">
        <v>493</v>
      </c>
      <c r="F112" s="416"/>
      <c r="G112" s="416"/>
      <c r="H112" s="416"/>
      <c r="I112" s="417"/>
    </row>
    <row r="113" spans="1:9" x14ac:dyDescent="0.2">
      <c r="A113" s="101">
        <v>5</v>
      </c>
      <c r="B113" s="105" t="s">
        <v>490</v>
      </c>
      <c r="D113" s="112" t="s">
        <v>484</v>
      </c>
      <c r="E113" s="415" t="s">
        <v>97</v>
      </c>
      <c r="F113" s="416"/>
      <c r="G113" s="416"/>
      <c r="H113" s="416"/>
      <c r="I113" s="417"/>
    </row>
    <row r="114" spans="1:9" x14ac:dyDescent="0.2">
      <c r="A114" s="101">
        <v>6</v>
      </c>
      <c r="B114" s="105" t="s">
        <v>497</v>
      </c>
      <c r="D114" s="112" t="s">
        <v>484</v>
      </c>
      <c r="E114" s="415" t="s">
        <v>123</v>
      </c>
      <c r="F114" s="416"/>
      <c r="G114" s="416"/>
      <c r="H114" s="416"/>
      <c r="I114" s="417"/>
    </row>
    <row r="115" spans="1:9" x14ac:dyDescent="0.2">
      <c r="A115" s="101">
        <v>7</v>
      </c>
      <c r="B115" s="105" t="s">
        <v>332</v>
      </c>
      <c r="D115" s="112" t="s">
        <v>484</v>
      </c>
      <c r="E115" s="415" t="s">
        <v>498</v>
      </c>
      <c r="F115" s="416"/>
      <c r="G115" s="416"/>
      <c r="H115" s="416"/>
      <c r="I115" s="417"/>
    </row>
    <row r="116" spans="1:9" x14ac:dyDescent="0.2">
      <c r="A116" s="101">
        <v>8</v>
      </c>
      <c r="B116" s="105" t="s">
        <v>492</v>
      </c>
      <c r="D116" s="112" t="s">
        <v>484</v>
      </c>
      <c r="E116" s="418" t="s">
        <v>334</v>
      </c>
      <c r="F116" s="416"/>
      <c r="G116" s="416"/>
      <c r="H116" s="416"/>
      <c r="I116" s="417"/>
    </row>
    <row r="117" spans="1:9" x14ac:dyDescent="0.2">
      <c r="A117" s="112" t="s">
        <v>442</v>
      </c>
      <c r="B117" s="108" t="s">
        <v>387</v>
      </c>
      <c r="D117" s="112" t="s">
        <v>485</v>
      </c>
      <c r="E117" s="415" t="s">
        <v>494</v>
      </c>
      <c r="F117" s="416"/>
      <c r="G117" s="416"/>
      <c r="H117" s="416"/>
      <c r="I117" s="417"/>
    </row>
    <row r="118" spans="1:9" x14ac:dyDescent="0.2">
      <c r="A118" s="112" t="s">
        <v>442</v>
      </c>
      <c r="B118" s="111" t="s">
        <v>496</v>
      </c>
      <c r="D118" s="112" t="s">
        <v>485</v>
      </c>
      <c r="E118" s="444" t="s">
        <v>501</v>
      </c>
      <c r="F118" s="416"/>
      <c r="G118" s="416"/>
      <c r="H118" s="416"/>
      <c r="I118" s="417"/>
    </row>
    <row r="119" spans="1:9" x14ac:dyDescent="0.2">
      <c r="A119" s="112" t="s">
        <v>442</v>
      </c>
      <c r="B119" s="108" t="s">
        <v>495</v>
      </c>
    </row>
    <row r="120" spans="1:9" x14ac:dyDescent="0.2">
      <c r="A120" s="112" t="s">
        <v>442</v>
      </c>
      <c r="B120" s="108" t="s">
        <v>331</v>
      </c>
    </row>
    <row r="121" spans="1:9" x14ac:dyDescent="0.2">
      <c r="A121" s="112" t="s">
        <v>442</v>
      </c>
      <c r="B121" s="108" t="s">
        <v>111</v>
      </c>
    </row>
    <row r="122" spans="1:9" x14ac:dyDescent="0.2">
      <c r="A122" s="112" t="s">
        <v>442</v>
      </c>
      <c r="B122" s="108" t="s">
        <v>491</v>
      </c>
    </row>
    <row r="123" spans="1:9" x14ac:dyDescent="0.2">
      <c r="A123" s="112" t="s">
        <v>442</v>
      </c>
      <c r="B123" s="108" t="s">
        <v>100</v>
      </c>
    </row>
    <row r="124" spans="1:9" x14ac:dyDescent="0.2">
      <c r="A124" s="112" t="s">
        <v>442</v>
      </c>
      <c r="B124" s="108" t="s">
        <v>113</v>
      </c>
    </row>
  </sheetData>
  <sortState ref="E109:E115">
    <sortCondition ref="E109"/>
  </sortState>
  <conditionalFormatting sqref="E116">
    <cfRule type="cellIs" dxfId="120" priority="6" operator="equal">
      <formula>13</formula>
    </cfRule>
  </conditionalFormatting>
  <conditionalFormatting sqref="E117">
    <cfRule type="cellIs" dxfId="119" priority="5" operator="equal">
      <formula>13</formula>
    </cfRule>
  </conditionalFormatting>
  <conditionalFormatting sqref="E118">
    <cfRule type="cellIs" dxfId="118" priority="4" operator="equal">
      <formula>13</formula>
    </cfRule>
  </conditionalFormatting>
  <conditionalFormatting sqref="C7:K104">
    <cfRule type="cellIs" dxfId="117" priority="1" operator="equal">
      <formula>13</formula>
    </cfRule>
  </conditionalFormatting>
  <pageMargins left="0.39370078740157483"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3" manualBreakCount="3">
    <brk id="28" max="14" man="1"/>
    <brk id="52" max="14" man="1"/>
    <brk id="9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15"/>
  <sheetViews>
    <sheetView showGridLines="0" showRowColHeaders="0" zoomScaleNormal="100" workbookViewId="0">
      <pane ySplit="2" topLeftCell="A3" activePane="bottomLeft" state="frozen"/>
      <selection activeCell="I1" sqref="I1"/>
      <selection pane="bottomLeft" activeCell="H1" sqref="H1"/>
    </sheetView>
  </sheetViews>
  <sheetFormatPr defaultRowHeight="12.75" x14ac:dyDescent="0.2"/>
  <cols>
    <col min="1" max="1" width="5.5703125" style="148" customWidth="1"/>
    <col min="2" max="2" width="31.28515625" style="148" bestFit="1" customWidth="1"/>
    <col min="3" max="3" width="7.28515625" style="148" customWidth="1"/>
    <col min="4" max="4" width="7.42578125" style="148" bestFit="1" customWidth="1"/>
    <col min="5" max="5" width="9.140625" style="148" bestFit="1" customWidth="1"/>
    <col min="6" max="6" width="6.7109375" style="148" customWidth="1"/>
    <col min="7" max="7" width="5.140625" style="148" bestFit="1" customWidth="1"/>
    <col min="8" max="10" width="7" style="148" customWidth="1"/>
    <col min="11" max="11" width="4.7109375" style="148" customWidth="1"/>
    <col min="12" max="13" width="7" style="148" customWidth="1"/>
    <col min="14" max="15" width="9.140625" style="148" customWidth="1"/>
    <col min="16" max="16384" width="9.140625" style="148"/>
  </cols>
  <sheetData>
    <row r="1" spans="1:10" x14ac:dyDescent="0.2">
      <c r="A1" s="138" t="str">
        <f>UPPER((Kalend!D23)&amp;" - "&amp;(Kalend!C23)&amp;" - "&amp;(Kalend!E23))</f>
        <v>7 - EESTI SISE-MV - DUO</v>
      </c>
      <c r="F1" s="61" t="str">
        <f>HYPERLINK("#'Üldreiting'!T1","Reiting")</f>
        <v>Reiting</v>
      </c>
      <c r="I1" s="43"/>
      <c r="J1" s="43"/>
    </row>
    <row r="2" spans="1:10" x14ac:dyDescent="0.2">
      <c r="A2" s="148" t="str">
        <f>"Toimumisaeg: "&amp;(Kalend!A23)&amp;" kell "&amp;(Kalend!B23)</f>
        <v>Toimumisaeg: L, 04.02.2017 kell 10:00</v>
      </c>
      <c r="I2" s="43"/>
      <c r="J2" s="43"/>
    </row>
    <row r="3" spans="1:10" x14ac:dyDescent="0.2">
      <c r="A3" s="148" t="str">
        <f>"Toimumiskoht: "&amp;(Kalend!F23)</f>
        <v>Toimumiskoht: Tallinn, Algi 38</v>
      </c>
      <c r="I3" s="43"/>
      <c r="J3" s="43"/>
    </row>
    <row r="4" spans="1:10" x14ac:dyDescent="0.2">
      <c r="A4" s="148" t="str">
        <f>"Korraldaja: "&amp;(Kalend!G23)</f>
        <v>Korraldaja: EPKL</v>
      </c>
      <c r="I4" s="43"/>
      <c r="J4" s="43"/>
    </row>
    <row r="5" spans="1:10" x14ac:dyDescent="0.2">
      <c r="I5" s="43"/>
      <c r="J5" s="43"/>
    </row>
    <row r="6" spans="1:10" s="43" customFormat="1" x14ac:dyDescent="0.2">
      <c r="A6" s="283" t="s">
        <v>179</v>
      </c>
      <c r="B6" s="284"/>
      <c r="C6" s="42" t="s">
        <v>70</v>
      </c>
      <c r="D6" s="42" t="s">
        <v>71</v>
      </c>
      <c r="E6" s="42" t="s">
        <v>72</v>
      </c>
      <c r="F6" s="42" t="s">
        <v>73</v>
      </c>
      <c r="G6" s="42" t="s">
        <v>19</v>
      </c>
    </row>
    <row r="7" spans="1:10" s="43" customFormat="1" x14ac:dyDescent="0.2">
      <c r="A7" s="41">
        <v>1</v>
      </c>
      <c r="B7" s="355" t="s">
        <v>510</v>
      </c>
      <c r="C7" s="45">
        <v>13</v>
      </c>
      <c r="D7" s="45">
        <v>13</v>
      </c>
      <c r="E7" s="45"/>
      <c r="F7" s="45"/>
      <c r="G7" s="232" t="s">
        <v>74</v>
      </c>
    </row>
    <row r="8" spans="1:10" s="43" customFormat="1" x14ac:dyDescent="0.2">
      <c r="A8" s="41">
        <v>2</v>
      </c>
      <c r="B8" s="226" t="s">
        <v>509</v>
      </c>
      <c r="C8" s="45">
        <v>2</v>
      </c>
      <c r="D8" s="45"/>
      <c r="E8" s="44">
        <v>13</v>
      </c>
      <c r="F8" s="45">
        <v>13</v>
      </c>
      <c r="G8" s="232" t="s">
        <v>75</v>
      </c>
    </row>
    <row r="9" spans="1:10" s="43" customFormat="1" x14ac:dyDescent="0.2">
      <c r="A9" s="41">
        <v>3</v>
      </c>
      <c r="B9" s="226" t="s">
        <v>96</v>
      </c>
      <c r="C9" s="45">
        <v>13</v>
      </c>
      <c r="D9" s="45">
        <v>4</v>
      </c>
      <c r="E9" s="45"/>
      <c r="F9" s="45">
        <v>10</v>
      </c>
      <c r="G9" s="232" t="s">
        <v>76</v>
      </c>
    </row>
    <row r="10" spans="1:10" s="43" customFormat="1" x14ac:dyDescent="0.2">
      <c r="A10" s="41">
        <v>4</v>
      </c>
      <c r="B10" s="109"/>
      <c r="C10" s="45">
        <v>0</v>
      </c>
      <c r="D10" s="45"/>
      <c r="E10" s="45">
        <v>0</v>
      </c>
      <c r="F10" s="45"/>
      <c r="G10" s="232"/>
    </row>
    <row r="11" spans="1:10" s="43" customFormat="1" x14ac:dyDescent="0.2">
      <c r="A11" s="47"/>
      <c r="B11" s="110"/>
      <c r="C11" s="49"/>
      <c r="D11" s="49"/>
      <c r="E11" s="49"/>
      <c r="F11" s="50"/>
      <c r="G11" s="51"/>
    </row>
    <row r="12" spans="1:10" s="43" customFormat="1" x14ac:dyDescent="0.2">
      <c r="A12" s="283" t="s">
        <v>508</v>
      </c>
      <c r="B12" s="284"/>
      <c r="C12" s="42" t="s">
        <v>70</v>
      </c>
      <c r="D12" s="42" t="s">
        <v>71</v>
      </c>
      <c r="E12" s="42" t="s">
        <v>72</v>
      </c>
      <c r="F12" s="42" t="s">
        <v>73</v>
      </c>
      <c r="G12" s="42" t="s">
        <v>19</v>
      </c>
    </row>
    <row r="13" spans="1:10" s="43" customFormat="1" x14ac:dyDescent="0.2">
      <c r="A13" s="41">
        <v>1</v>
      </c>
      <c r="B13" s="226" t="s">
        <v>331</v>
      </c>
      <c r="C13" s="45">
        <v>13</v>
      </c>
      <c r="D13" s="45">
        <v>2</v>
      </c>
      <c r="E13" s="45"/>
      <c r="F13" s="45">
        <v>7</v>
      </c>
      <c r="G13" s="232" t="s">
        <v>76</v>
      </c>
    </row>
    <row r="14" spans="1:10" s="43" customFormat="1" x14ac:dyDescent="0.2">
      <c r="A14" s="41">
        <v>2</v>
      </c>
      <c r="B14" s="226" t="s">
        <v>511</v>
      </c>
      <c r="C14" s="45">
        <v>4</v>
      </c>
      <c r="D14" s="45"/>
      <c r="E14" s="45">
        <v>13</v>
      </c>
      <c r="F14" s="45">
        <v>13</v>
      </c>
      <c r="G14" s="232" t="s">
        <v>75</v>
      </c>
    </row>
    <row r="15" spans="1:10" s="43" customFormat="1" x14ac:dyDescent="0.2">
      <c r="A15" s="41">
        <v>3</v>
      </c>
      <c r="B15" s="226" t="s">
        <v>97</v>
      </c>
      <c r="C15" s="45">
        <v>13</v>
      </c>
      <c r="D15" s="45">
        <v>13</v>
      </c>
      <c r="E15" s="45"/>
      <c r="F15" s="45"/>
      <c r="G15" s="232" t="s">
        <v>74</v>
      </c>
    </row>
    <row r="16" spans="1:10" s="43" customFormat="1" x14ac:dyDescent="0.2">
      <c r="A16" s="41">
        <v>4</v>
      </c>
      <c r="B16" s="154"/>
      <c r="C16" s="45">
        <v>0</v>
      </c>
      <c r="D16" s="45"/>
      <c r="E16" s="45">
        <v>0</v>
      </c>
      <c r="F16" s="45"/>
      <c r="G16" s="232"/>
    </row>
    <row r="17" spans="1:15" s="43" customFormat="1" x14ac:dyDescent="0.2">
      <c r="A17" s="47"/>
      <c r="B17" s="110"/>
      <c r="C17" s="49"/>
      <c r="D17" s="49"/>
      <c r="E17" s="49"/>
      <c r="F17" s="50"/>
      <c r="G17" s="51"/>
    </row>
    <row r="18" spans="1:15" s="43" customFormat="1" x14ac:dyDescent="0.2">
      <c r="A18" s="283" t="s">
        <v>351</v>
      </c>
      <c r="B18" s="284"/>
      <c r="C18" s="42" t="s">
        <v>70</v>
      </c>
      <c r="D18" s="42" t="s">
        <v>71</v>
      </c>
      <c r="E18" s="42" t="s">
        <v>72</v>
      </c>
      <c r="F18" s="42" t="s">
        <v>73</v>
      </c>
      <c r="G18" s="42" t="s">
        <v>19</v>
      </c>
    </row>
    <row r="19" spans="1:15" s="43" customFormat="1" x14ac:dyDescent="0.2">
      <c r="A19" s="41">
        <v>1</v>
      </c>
      <c r="B19" s="356" t="s">
        <v>337</v>
      </c>
      <c r="C19" s="45">
        <v>13</v>
      </c>
      <c r="D19" s="45">
        <v>13</v>
      </c>
      <c r="E19" s="45"/>
      <c r="F19" s="45"/>
      <c r="G19" s="232" t="s">
        <v>74</v>
      </c>
    </row>
    <row r="20" spans="1:15" s="43" customFormat="1" x14ac:dyDescent="0.2">
      <c r="A20" s="41">
        <v>2</v>
      </c>
      <c r="B20" s="226" t="s">
        <v>125</v>
      </c>
      <c r="C20" s="45">
        <v>5</v>
      </c>
      <c r="D20" s="45"/>
      <c r="E20" s="45">
        <v>13</v>
      </c>
      <c r="F20" s="45">
        <v>13</v>
      </c>
      <c r="G20" s="232" t="s">
        <v>75</v>
      </c>
    </row>
    <row r="21" spans="1:15" s="43" customFormat="1" x14ac:dyDescent="0.2">
      <c r="A21" s="41">
        <v>3</v>
      </c>
      <c r="B21" s="226" t="s">
        <v>512</v>
      </c>
      <c r="C21" s="45">
        <v>13</v>
      </c>
      <c r="D21" s="45">
        <v>4</v>
      </c>
      <c r="E21" s="45"/>
      <c r="F21" s="45">
        <v>12</v>
      </c>
      <c r="G21" s="232" t="s">
        <v>76</v>
      </c>
    </row>
    <row r="22" spans="1:15" s="43" customFormat="1" x14ac:dyDescent="0.2">
      <c r="A22" s="41">
        <v>4</v>
      </c>
      <c r="B22" s="226"/>
      <c r="C22" s="45">
        <v>0</v>
      </c>
      <c r="D22" s="45"/>
      <c r="E22" s="45">
        <v>0</v>
      </c>
      <c r="F22" s="45"/>
      <c r="G22" s="232"/>
    </row>
    <row r="23" spans="1:15" s="43" customFormat="1" x14ac:dyDescent="0.2">
      <c r="A23" s="47"/>
      <c r="B23" s="110"/>
      <c r="C23" s="49"/>
      <c r="D23" s="49"/>
      <c r="E23" s="49"/>
      <c r="F23" s="50"/>
      <c r="G23" s="51"/>
    </row>
    <row r="24" spans="1:15" s="43" customFormat="1" x14ac:dyDescent="0.2">
      <c r="A24" s="283" t="s">
        <v>181</v>
      </c>
      <c r="B24" s="284"/>
      <c r="C24" s="42" t="s">
        <v>70</v>
      </c>
      <c r="D24" s="42" t="s">
        <v>71</v>
      </c>
      <c r="E24" s="42" t="s">
        <v>72</v>
      </c>
      <c r="F24" s="42" t="s">
        <v>73</v>
      </c>
      <c r="G24" s="42" t="s">
        <v>19</v>
      </c>
    </row>
    <row r="25" spans="1:15" s="43" customFormat="1" x14ac:dyDescent="0.2">
      <c r="A25" s="41">
        <v>1</v>
      </c>
      <c r="B25" s="356" t="s">
        <v>513</v>
      </c>
      <c r="C25" s="45">
        <v>13</v>
      </c>
      <c r="D25" s="45">
        <v>3</v>
      </c>
      <c r="E25" s="45"/>
      <c r="F25" s="45">
        <v>13</v>
      </c>
      <c r="G25" s="232" t="s">
        <v>75</v>
      </c>
    </row>
    <row r="26" spans="1:15" s="43" customFormat="1" x14ac:dyDescent="0.2">
      <c r="A26" s="41">
        <v>2</v>
      </c>
      <c r="B26" s="226" t="s">
        <v>514</v>
      </c>
      <c r="C26" s="45">
        <v>13</v>
      </c>
      <c r="D26" s="45">
        <v>13</v>
      </c>
      <c r="E26" s="45"/>
      <c r="F26" s="45"/>
      <c r="G26" s="232" t="s">
        <v>74</v>
      </c>
    </row>
    <row r="27" spans="1:15" s="43" customFormat="1" x14ac:dyDescent="0.2">
      <c r="A27" s="41">
        <v>3</v>
      </c>
      <c r="B27" s="226" t="s">
        <v>515</v>
      </c>
      <c r="C27" s="45">
        <v>4</v>
      </c>
      <c r="D27" s="45"/>
      <c r="E27" s="45">
        <v>13</v>
      </c>
      <c r="F27" s="45">
        <v>0</v>
      </c>
      <c r="G27" s="232" t="s">
        <v>76</v>
      </c>
    </row>
    <row r="28" spans="1:15" s="43" customFormat="1" x14ac:dyDescent="0.2">
      <c r="A28" s="41">
        <v>4</v>
      </c>
      <c r="B28" s="226"/>
      <c r="C28" s="45">
        <v>0</v>
      </c>
      <c r="D28" s="45"/>
      <c r="E28" s="45">
        <v>0</v>
      </c>
      <c r="F28" s="45"/>
      <c r="G28" s="232"/>
    </row>
    <row r="29" spans="1:15" s="43" customFormat="1" x14ac:dyDescent="0.2">
      <c r="A29" s="47"/>
      <c r="B29" s="130"/>
      <c r="C29" s="50"/>
      <c r="D29" s="50"/>
      <c r="E29" s="50"/>
      <c r="F29" s="50"/>
      <c r="G29" s="567"/>
      <c r="K29" s="50"/>
      <c r="L29" s="50"/>
      <c r="M29" s="50"/>
      <c r="N29" s="50"/>
      <c r="O29" s="53"/>
    </row>
    <row r="30" spans="1:15" s="43" customFormat="1" x14ac:dyDescent="0.2">
      <c r="A30" s="283" t="s">
        <v>182</v>
      </c>
      <c r="B30" s="284"/>
      <c r="C30" s="42" t="s">
        <v>70</v>
      </c>
      <c r="D30" s="42" t="s">
        <v>71</v>
      </c>
      <c r="E30" s="42" t="s">
        <v>72</v>
      </c>
      <c r="F30" s="42" t="s">
        <v>73</v>
      </c>
      <c r="G30" s="42" t="s">
        <v>19</v>
      </c>
      <c r="K30" s="50"/>
      <c r="L30" s="50"/>
      <c r="M30" s="50"/>
      <c r="N30" s="50"/>
      <c r="O30" s="53"/>
    </row>
    <row r="31" spans="1:15" s="43" customFormat="1" x14ac:dyDescent="0.2">
      <c r="A31" s="41">
        <v>1</v>
      </c>
      <c r="B31" s="356" t="s">
        <v>499</v>
      </c>
      <c r="C31" s="45">
        <v>13</v>
      </c>
      <c r="D31" s="45">
        <v>13</v>
      </c>
      <c r="E31" s="45"/>
      <c r="F31" s="45"/>
      <c r="G31" s="232" t="s">
        <v>74</v>
      </c>
      <c r="K31" s="50"/>
      <c r="L31" s="50"/>
      <c r="M31" s="50"/>
      <c r="N31" s="50"/>
      <c r="O31" s="53"/>
    </row>
    <row r="32" spans="1:15" s="43" customFormat="1" x14ac:dyDescent="0.2">
      <c r="A32" s="41">
        <v>2</v>
      </c>
      <c r="B32" s="226" t="s">
        <v>330</v>
      </c>
      <c r="C32" s="45">
        <v>13</v>
      </c>
      <c r="D32" s="45">
        <v>11</v>
      </c>
      <c r="E32" s="45"/>
      <c r="F32" s="45">
        <v>9</v>
      </c>
      <c r="G32" s="232" t="s">
        <v>76</v>
      </c>
      <c r="K32" s="50"/>
      <c r="L32" s="50"/>
      <c r="M32" s="50"/>
      <c r="N32" s="50"/>
      <c r="O32" s="53"/>
    </row>
    <row r="33" spans="1:15" s="43" customFormat="1" x14ac:dyDescent="0.2">
      <c r="A33" s="41">
        <v>3</v>
      </c>
      <c r="B33" s="356" t="s">
        <v>332</v>
      </c>
      <c r="C33" s="45">
        <v>0</v>
      </c>
      <c r="D33" s="45"/>
      <c r="E33" s="45">
        <v>13</v>
      </c>
      <c r="F33" s="45">
        <v>13</v>
      </c>
      <c r="G33" s="232" t="s">
        <v>75</v>
      </c>
      <c r="K33" s="50"/>
      <c r="L33" s="50"/>
      <c r="M33" s="50"/>
      <c r="N33" s="50"/>
      <c r="O33" s="53"/>
    </row>
    <row r="34" spans="1:15" s="43" customFormat="1" x14ac:dyDescent="0.2">
      <c r="A34" s="41">
        <v>4</v>
      </c>
      <c r="B34" s="108"/>
      <c r="C34" s="45">
        <v>0</v>
      </c>
      <c r="D34" s="45"/>
      <c r="E34" s="45">
        <v>0</v>
      </c>
      <c r="F34" s="45"/>
      <c r="G34" s="153"/>
      <c r="K34" s="50"/>
      <c r="L34" s="50"/>
      <c r="M34" s="50"/>
      <c r="N34" s="50"/>
      <c r="O34" s="53"/>
    </row>
    <row r="35" spans="1:15" s="43" customFormat="1" x14ac:dyDescent="0.2">
      <c r="K35" s="50"/>
      <c r="L35" s="50"/>
      <c r="M35" s="50"/>
      <c r="N35" s="50"/>
      <c r="O35" s="53"/>
    </row>
    <row r="36" spans="1:15" s="43" customFormat="1" x14ac:dyDescent="0.2">
      <c r="A36" s="283" t="s">
        <v>446</v>
      </c>
      <c r="B36" s="284"/>
      <c r="C36" s="42" t="s">
        <v>70</v>
      </c>
      <c r="D36" s="42" t="s">
        <v>71</v>
      </c>
      <c r="E36" s="42" t="s">
        <v>72</v>
      </c>
      <c r="F36" s="42" t="s">
        <v>73</v>
      </c>
      <c r="G36" s="42" t="s">
        <v>19</v>
      </c>
      <c r="K36" s="50"/>
      <c r="L36" s="50"/>
      <c r="M36" s="50"/>
      <c r="N36" s="50"/>
      <c r="O36" s="53"/>
    </row>
    <row r="37" spans="1:15" s="43" customFormat="1" x14ac:dyDescent="0.2">
      <c r="A37" s="41">
        <v>1</v>
      </c>
      <c r="B37" s="356" t="s">
        <v>334</v>
      </c>
      <c r="C37" s="45">
        <v>13</v>
      </c>
      <c r="D37" s="45">
        <v>13</v>
      </c>
      <c r="E37" s="45"/>
      <c r="F37" s="45"/>
      <c r="G37" s="232" t="s">
        <v>74</v>
      </c>
      <c r="K37" s="50"/>
      <c r="L37" s="50"/>
      <c r="M37" s="50"/>
      <c r="N37" s="50"/>
      <c r="O37" s="53"/>
    </row>
    <row r="38" spans="1:15" s="43" customFormat="1" x14ac:dyDescent="0.2">
      <c r="A38" s="41">
        <v>2</v>
      </c>
      <c r="B38" s="226" t="s">
        <v>516</v>
      </c>
      <c r="C38" s="45">
        <v>3</v>
      </c>
      <c r="D38" s="45"/>
      <c r="E38" s="45">
        <v>13</v>
      </c>
      <c r="F38" s="45">
        <v>9</v>
      </c>
      <c r="G38" s="232" t="s">
        <v>76</v>
      </c>
      <c r="K38" s="50"/>
      <c r="L38" s="50"/>
      <c r="M38" s="50"/>
      <c r="N38" s="50"/>
      <c r="O38" s="53"/>
    </row>
    <row r="39" spans="1:15" s="43" customFormat="1" x14ac:dyDescent="0.2">
      <c r="A39" s="41">
        <v>3</v>
      </c>
      <c r="B39" s="226" t="s">
        <v>326</v>
      </c>
      <c r="C39" s="45">
        <v>13</v>
      </c>
      <c r="D39" s="45">
        <v>12</v>
      </c>
      <c r="E39" s="45"/>
      <c r="F39" s="45">
        <v>13</v>
      </c>
      <c r="G39" s="232" t="s">
        <v>75</v>
      </c>
      <c r="K39" s="50"/>
      <c r="L39" s="50"/>
      <c r="M39" s="50"/>
      <c r="N39" s="50"/>
      <c r="O39" s="53"/>
    </row>
    <row r="40" spans="1:15" s="43" customFormat="1" x14ac:dyDescent="0.2">
      <c r="A40" s="41">
        <v>4</v>
      </c>
      <c r="B40" s="108" t="s">
        <v>517</v>
      </c>
      <c r="C40" s="45">
        <v>9</v>
      </c>
      <c r="D40" s="45"/>
      <c r="E40" s="45">
        <v>0</v>
      </c>
      <c r="F40" s="45"/>
      <c r="G40" s="232" t="s">
        <v>98</v>
      </c>
      <c r="K40" s="50"/>
      <c r="L40" s="50"/>
      <c r="M40" s="50"/>
      <c r="N40" s="50"/>
      <c r="O40" s="53"/>
    </row>
    <row r="41" spans="1:15" s="43" customFormat="1" x14ac:dyDescent="0.2">
      <c r="K41" s="50"/>
      <c r="L41" s="50"/>
      <c r="M41" s="50"/>
      <c r="N41" s="50"/>
      <c r="O41" s="53"/>
    </row>
    <row r="42" spans="1:15" s="83" customFormat="1" x14ac:dyDescent="0.2">
      <c r="A42" s="114" t="s">
        <v>114</v>
      </c>
      <c r="B42" s="90"/>
      <c r="C42" s="49"/>
      <c r="D42" s="49"/>
      <c r="E42" s="49"/>
      <c r="F42" s="50"/>
      <c r="G42" s="51"/>
    </row>
    <row r="43" spans="1:15" s="83" customFormat="1" x14ac:dyDescent="0.2"/>
    <row r="44" spans="1:15" s="83" customFormat="1" x14ac:dyDescent="0.2">
      <c r="A44" s="115" t="s">
        <v>115</v>
      </c>
      <c r="B44" s="251" t="s">
        <v>334</v>
      </c>
      <c r="C44" s="156">
        <v>13</v>
      </c>
    </row>
    <row r="45" spans="1:15" s="83" customFormat="1" x14ac:dyDescent="0.2">
      <c r="A45" s="84"/>
      <c r="B45" s="155"/>
      <c r="C45" s="87" t="s">
        <v>334</v>
      </c>
      <c r="D45" s="157"/>
      <c r="F45" s="156">
        <v>2</v>
      </c>
    </row>
    <row r="46" spans="1:15" s="83" customFormat="1" x14ac:dyDescent="0.2">
      <c r="A46" s="84"/>
      <c r="B46" s="250" t="s">
        <v>102</v>
      </c>
      <c r="C46" s="120">
        <v>0</v>
      </c>
      <c r="E46" s="89"/>
    </row>
    <row r="47" spans="1:15" s="83" customFormat="1" x14ac:dyDescent="0.2">
      <c r="A47" s="84"/>
      <c r="D47" s="90"/>
      <c r="E47" s="91"/>
      <c r="F47" s="95" t="s">
        <v>513</v>
      </c>
      <c r="I47" s="568">
        <v>7</v>
      </c>
    </row>
    <row r="48" spans="1:15" s="83" customFormat="1" x14ac:dyDescent="0.2">
      <c r="A48" s="84" t="s">
        <v>117</v>
      </c>
      <c r="B48" s="251" t="s">
        <v>332</v>
      </c>
      <c r="C48" s="582" t="s">
        <v>5</v>
      </c>
      <c r="E48" s="91"/>
      <c r="F48" s="116"/>
      <c r="G48" s="155"/>
      <c r="H48" s="89"/>
    </row>
    <row r="49" spans="1:13" s="83" customFormat="1" x14ac:dyDescent="0.2">
      <c r="A49" s="84"/>
      <c r="B49" s="155"/>
      <c r="C49" s="95" t="s">
        <v>513</v>
      </c>
      <c r="E49" s="96"/>
      <c r="F49" s="97">
        <v>13</v>
      </c>
      <c r="G49" s="90"/>
      <c r="H49" s="91"/>
    </row>
    <row r="50" spans="1:13" s="83" customFormat="1" x14ac:dyDescent="0.2">
      <c r="A50" s="84" t="s">
        <v>86</v>
      </c>
      <c r="B50" s="250" t="s">
        <v>513</v>
      </c>
      <c r="C50" s="131">
        <v>13</v>
      </c>
      <c r="D50" s="155"/>
      <c r="F50" s="90"/>
      <c r="G50" s="90"/>
      <c r="H50" s="91"/>
    </row>
    <row r="51" spans="1:13" s="83" customFormat="1" x14ac:dyDescent="0.2">
      <c r="A51" s="98"/>
      <c r="F51" s="90"/>
      <c r="G51" s="90"/>
      <c r="H51" s="91"/>
      <c r="I51" s="95" t="s">
        <v>125</v>
      </c>
      <c r="K51" s="156">
        <v>0</v>
      </c>
    </row>
    <row r="52" spans="1:13" s="83" customFormat="1" x14ac:dyDescent="0.2">
      <c r="A52" s="115" t="s">
        <v>84</v>
      </c>
      <c r="B52" s="83" t="s">
        <v>97</v>
      </c>
      <c r="C52" s="156">
        <v>13</v>
      </c>
      <c r="F52" s="90"/>
      <c r="G52" s="90"/>
      <c r="H52" s="91"/>
      <c r="I52" s="155"/>
      <c r="J52" s="89"/>
    </row>
    <row r="53" spans="1:13" s="83" customFormat="1" x14ac:dyDescent="0.2">
      <c r="A53" s="84"/>
      <c r="B53" s="155"/>
      <c r="C53" s="87" t="s">
        <v>97</v>
      </c>
      <c r="D53" s="157"/>
      <c r="F53" s="97">
        <v>3</v>
      </c>
      <c r="G53" s="90"/>
      <c r="H53" s="91"/>
      <c r="I53" s="90"/>
      <c r="J53" s="91"/>
    </row>
    <row r="54" spans="1:13" s="83" customFormat="1" x14ac:dyDescent="0.2">
      <c r="A54" s="84"/>
      <c r="B54" s="250" t="s">
        <v>102</v>
      </c>
      <c r="C54" s="120">
        <v>0</v>
      </c>
      <c r="E54" s="89"/>
      <c r="F54" s="90"/>
      <c r="G54" s="90"/>
      <c r="H54" s="91"/>
      <c r="I54" s="90"/>
      <c r="J54" s="91"/>
    </row>
    <row r="55" spans="1:13" s="83" customFormat="1" x14ac:dyDescent="0.2">
      <c r="A55" s="84"/>
      <c r="D55" s="90"/>
      <c r="E55" s="91"/>
      <c r="F55" s="157" t="s">
        <v>125</v>
      </c>
      <c r="G55" s="157"/>
      <c r="H55" s="96"/>
      <c r="I55" s="97">
        <v>13</v>
      </c>
      <c r="J55" s="91"/>
    </row>
    <row r="56" spans="1:13" s="83" customFormat="1" x14ac:dyDescent="0.2">
      <c r="A56" s="84" t="s">
        <v>89</v>
      </c>
      <c r="B56" s="251" t="s">
        <v>509</v>
      </c>
      <c r="C56" s="582" t="s">
        <v>5</v>
      </c>
      <c r="E56" s="91"/>
      <c r="F56" s="95"/>
      <c r="G56" s="90"/>
      <c r="H56" s="90"/>
      <c r="I56" s="90"/>
      <c r="J56" s="91"/>
    </row>
    <row r="57" spans="1:13" s="83" customFormat="1" x14ac:dyDescent="0.2">
      <c r="A57" s="84"/>
      <c r="B57" s="155"/>
      <c r="C57" s="95" t="s">
        <v>125</v>
      </c>
      <c r="E57" s="96"/>
      <c r="F57" s="97">
        <v>13</v>
      </c>
      <c r="I57" s="90"/>
      <c r="J57" s="91"/>
    </row>
    <row r="58" spans="1:13" s="83" customFormat="1" x14ac:dyDescent="0.2">
      <c r="A58" s="84" t="s">
        <v>83</v>
      </c>
      <c r="B58" s="157" t="s">
        <v>125</v>
      </c>
      <c r="C58" s="119">
        <v>13</v>
      </c>
      <c r="D58" s="155"/>
      <c r="F58" s="90"/>
      <c r="G58" s="90"/>
      <c r="H58" s="90"/>
      <c r="I58" s="90"/>
      <c r="J58" s="91"/>
    </row>
    <row r="59" spans="1:13" s="83" customFormat="1" ht="13.5" thickBot="1" x14ac:dyDescent="0.25">
      <c r="I59" s="90"/>
      <c r="J59" s="91"/>
      <c r="L59" s="83" t="s">
        <v>514</v>
      </c>
    </row>
    <row r="60" spans="1:13" s="83" customFormat="1" x14ac:dyDescent="0.2">
      <c r="A60" s="115" t="s">
        <v>88</v>
      </c>
      <c r="B60" s="83" t="s">
        <v>337</v>
      </c>
      <c r="C60" s="156">
        <v>13</v>
      </c>
      <c r="I60" s="90"/>
      <c r="J60" s="91"/>
      <c r="K60" s="93"/>
      <c r="L60" s="117" t="s">
        <v>85</v>
      </c>
      <c r="M60" s="94"/>
    </row>
    <row r="61" spans="1:13" s="83" customFormat="1" x14ac:dyDescent="0.2">
      <c r="A61" s="84"/>
      <c r="B61" s="155"/>
      <c r="C61" s="87" t="s">
        <v>337</v>
      </c>
      <c r="D61" s="157"/>
      <c r="F61" s="156">
        <v>13</v>
      </c>
      <c r="I61" s="90"/>
      <c r="J61" s="91"/>
    </row>
    <row r="62" spans="1:13" s="83" customFormat="1" x14ac:dyDescent="0.2">
      <c r="A62" s="84"/>
      <c r="B62" s="250" t="s">
        <v>102</v>
      </c>
      <c r="C62" s="120">
        <v>0</v>
      </c>
      <c r="E62" s="89"/>
      <c r="I62" s="90"/>
      <c r="J62" s="91"/>
    </row>
    <row r="63" spans="1:13" s="83" customFormat="1" x14ac:dyDescent="0.2">
      <c r="A63" s="84"/>
      <c r="D63" s="90"/>
      <c r="E63" s="91"/>
      <c r="F63" s="83" t="s">
        <v>337</v>
      </c>
      <c r="I63" s="97">
        <v>9</v>
      </c>
      <c r="J63" s="91"/>
    </row>
    <row r="64" spans="1:13" s="83" customFormat="1" x14ac:dyDescent="0.2">
      <c r="A64" s="84" t="s">
        <v>81</v>
      </c>
      <c r="B64" s="83" t="s">
        <v>511</v>
      </c>
      <c r="C64" s="582" t="s">
        <v>5</v>
      </c>
      <c r="E64" s="91"/>
      <c r="F64" s="116"/>
      <c r="G64" s="155"/>
      <c r="H64" s="89"/>
      <c r="I64" s="90"/>
      <c r="J64" s="91"/>
    </row>
    <row r="65" spans="1:13" s="83" customFormat="1" x14ac:dyDescent="0.2">
      <c r="A65" s="84"/>
      <c r="B65" s="155"/>
      <c r="C65" s="95" t="s">
        <v>510</v>
      </c>
      <c r="E65" s="96"/>
      <c r="F65" s="97">
        <v>8</v>
      </c>
      <c r="G65" s="90"/>
      <c r="H65" s="91"/>
      <c r="I65" s="90"/>
      <c r="J65" s="91"/>
    </row>
    <row r="66" spans="1:13" s="83" customFormat="1" x14ac:dyDescent="0.2">
      <c r="A66" s="84" t="s">
        <v>82</v>
      </c>
      <c r="B66" s="441" t="s">
        <v>510</v>
      </c>
      <c r="C66" s="119">
        <v>13</v>
      </c>
      <c r="D66" s="155"/>
      <c r="F66" s="90"/>
      <c r="G66" s="90"/>
      <c r="H66" s="91"/>
      <c r="I66" s="90"/>
      <c r="J66" s="91"/>
    </row>
    <row r="67" spans="1:13" s="83" customFormat="1" x14ac:dyDescent="0.2">
      <c r="F67" s="90"/>
      <c r="G67" s="90"/>
      <c r="H67" s="91"/>
      <c r="I67" s="157" t="s">
        <v>514</v>
      </c>
      <c r="J67" s="96"/>
      <c r="K67" s="156">
        <v>13</v>
      </c>
    </row>
    <row r="68" spans="1:13" s="83" customFormat="1" ht="13.5" thickBot="1" x14ac:dyDescent="0.25">
      <c r="A68" s="115" t="s">
        <v>115</v>
      </c>
      <c r="B68" s="83" t="s">
        <v>499</v>
      </c>
      <c r="C68" s="156">
        <v>13</v>
      </c>
      <c r="F68" s="90"/>
      <c r="G68" s="90"/>
      <c r="H68" s="91"/>
      <c r="L68" s="423" t="s">
        <v>125</v>
      </c>
      <c r="M68" s="92"/>
    </row>
    <row r="69" spans="1:13" s="83" customFormat="1" x14ac:dyDescent="0.2">
      <c r="A69" s="84"/>
      <c r="B69" s="155"/>
      <c r="C69" s="87" t="s">
        <v>499</v>
      </c>
      <c r="D69" s="157"/>
      <c r="F69" s="97">
        <v>5</v>
      </c>
      <c r="G69" s="90"/>
      <c r="H69" s="91"/>
      <c r="L69" s="117" t="s">
        <v>87</v>
      </c>
      <c r="M69" s="90"/>
    </row>
    <row r="70" spans="1:13" s="83" customFormat="1" x14ac:dyDescent="0.2">
      <c r="A70" s="84"/>
      <c r="B70" s="250" t="s">
        <v>102</v>
      </c>
      <c r="C70" s="120">
        <v>0</v>
      </c>
      <c r="E70" s="89"/>
      <c r="F70" s="90"/>
      <c r="G70" s="90"/>
      <c r="H70" s="91"/>
    </row>
    <row r="71" spans="1:13" s="83" customFormat="1" x14ac:dyDescent="0.2">
      <c r="A71" s="84"/>
      <c r="D71" s="90"/>
      <c r="E71" s="91"/>
      <c r="F71" s="157" t="s">
        <v>514</v>
      </c>
      <c r="G71" s="157"/>
      <c r="H71" s="96"/>
      <c r="I71" s="156">
        <v>13</v>
      </c>
    </row>
    <row r="72" spans="1:13" s="83" customFormat="1" x14ac:dyDescent="0.2">
      <c r="A72" s="84" t="s">
        <v>80</v>
      </c>
      <c r="B72" s="83" t="s">
        <v>514</v>
      </c>
      <c r="C72" s="97">
        <v>13</v>
      </c>
      <c r="E72" s="91"/>
      <c r="F72" s="95"/>
      <c r="G72" s="90"/>
      <c r="H72" s="90"/>
    </row>
    <row r="73" spans="1:13" s="83" customFormat="1" x14ac:dyDescent="0.2">
      <c r="A73" s="84"/>
      <c r="B73" s="155"/>
      <c r="C73" s="95" t="s">
        <v>514</v>
      </c>
      <c r="E73" s="96"/>
      <c r="F73" s="97">
        <v>13</v>
      </c>
      <c r="I73" s="83" t="s">
        <v>513</v>
      </c>
      <c r="K73" s="97">
        <v>13</v>
      </c>
    </row>
    <row r="74" spans="1:13" s="83" customFormat="1" ht="13.5" thickBot="1" x14ac:dyDescent="0.25">
      <c r="A74" s="84" t="s">
        <v>118</v>
      </c>
      <c r="B74" s="250" t="s">
        <v>326</v>
      </c>
      <c r="C74" s="119"/>
      <c r="D74" s="155"/>
      <c r="F74" s="90"/>
      <c r="G74" s="90"/>
      <c r="H74" s="90"/>
      <c r="I74" s="155"/>
      <c r="J74" s="89"/>
      <c r="K74" s="92"/>
      <c r="L74" s="425" t="s">
        <v>513</v>
      </c>
      <c r="M74" s="92"/>
    </row>
    <row r="75" spans="1:13" s="83" customFormat="1" x14ac:dyDescent="0.2">
      <c r="H75" s="90"/>
      <c r="I75" s="157" t="s">
        <v>337</v>
      </c>
      <c r="J75" s="96"/>
      <c r="K75" s="156">
        <v>4</v>
      </c>
      <c r="L75" s="100" t="s">
        <v>90</v>
      </c>
      <c r="M75" s="90"/>
    </row>
    <row r="76" spans="1:13" s="83" customFormat="1" x14ac:dyDescent="0.2">
      <c r="H76" s="90"/>
      <c r="L76" s="90"/>
      <c r="M76" s="90"/>
    </row>
    <row r="77" spans="1:13" s="83" customFormat="1" ht="13.5" thickBot="1" x14ac:dyDescent="0.25">
      <c r="H77" s="90"/>
      <c r="I77" s="90"/>
      <c r="J77" s="90"/>
      <c r="L77" s="92" t="s">
        <v>337</v>
      </c>
      <c r="M77" s="92"/>
    </row>
    <row r="78" spans="1:13" s="83" customFormat="1" x14ac:dyDescent="0.2">
      <c r="I78" s="90"/>
      <c r="J78" s="90"/>
      <c r="L78" s="98" t="s">
        <v>91</v>
      </c>
    </row>
    <row r="79" spans="1:13" s="83" customFormat="1" x14ac:dyDescent="0.2">
      <c r="I79" s="90"/>
      <c r="J79" s="90"/>
      <c r="L79" s="98"/>
    </row>
    <row r="80" spans="1:13" s="83" customFormat="1" x14ac:dyDescent="0.2">
      <c r="A80" s="121" t="s">
        <v>119</v>
      </c>
      <c r="I80" s="90"/>
      <c r="J80" s="90"/>
      <c r="L80" s="98"/>
    </row>
    <row r="81" spans="1:13" s="83" customFormat="1" x14ac:dyDescent="0.2">
      <c r="A81" s="121"/>
      <c r="I81" s="90"/>
      <c r="J81" s="90"/>
      <c r="L81" s="98"/>
    </row>
    <row r="82" spans="1:13" s="83" customFormat="1" x14ac:dyDescent="0.2">
      <c r="F82" s="99" t="s">
        <v>334</v>
      </c>
      <c r="G82" s="156"/>
      <c r="H82" s="156"/>
      <c r="I82" s="568">
        <v>7</v>
      </c>
      <c r="J82" s="156"/>
      <c r="K82" s="156"/>
    </row>
    <row r="83" spans="1:13" s="83" customFormat="1" x14ac:dyDescent="0.2">
      <c r="F83" s="122"/>
      <c r="G83" s="122"/>
      <c r="H83" s="123"/>
      <c r="I83" s="97" t="s">
        <v>97</v>
      </c>
      <c r="J83" s="156"/>
      <c r="K83" s="156">
        <v>9</v>
      </c>
    </row>
    <row r="84" spans="1:13" s="83" customFormat="1" x14ac:dyDescent="0.2">
      <c r="F84" s="124" t="s">
        <v>97</v>
      </c>
      <c r="G84" s="124"/>
      <c r="H84" s="125"/>
      <c r="I84" s="122">
        <v>13</v>
      </c>
      <c r="J84" s="123"/>
      <c r="K84" s="156"/>
    </row>
    <row r="85" spans="1:13" s="83" customFormat="1" ht="13.5" thickBot="1" x14ac:dyDescent="0.25">
      <c r="F85" s="156"/>
      <c r="G85" s="156"/>
      <c r="H85" s="156"/>
      <c r="I85" s="97"/>
      <c r="J85" s="126"/>
      <c r="K85" s="156"/>
      <c r="L85" s="83" t="s">
        <v>499</v>
      </c>
    </row>
    <row r="86" spans="1:13" s="83" customFormat="1" x14ac:dyDescent="0.2">
      <c r="F86" s="156" t="s">
        <v>510</v>
      </c>
      <c r="G86" s="156"/>
      <c r="H86" s="156"/>
      <c r="I86" s="97">
        <v>5</v>
      </c>
      <c r="J86" s="126"/>
      <c r="K86" s="127"/>
      <c r="L86" s="117" t="s">
        <v>92</v>
      </c>
      <c r="M86" s="94"/>
    </row>
    <row r="87" spans="1:13" s="83" customFormat="1" x14ac:dyDescent="0.2">
      <c r="F87" s="122"/>
      <c r="G87" s="122"/>
      <c r="H87" s="123"/>
      <c r="I87" s="124" t="s">
        <v>499</v>
      </c>
      <c r="J87" s="125"/>
      <c r="K87" s="97">
        <v>13</v>
      </c>
    </row>
    <row r="88" spans="1:13" s="83" customFormat="1" ht="13.5" thickBot="1" x14ac:dyDescent="0.25">
      <c r="F88" s="124" t="s">
        <v>499</v>
      </c>
      <c r="G88" s="124"/>
      <c r="H88" s="125"/>
      <c r="I88" s="97">
        <v>13</v>
      </c>
      <c r="J88" s="156"/>
      <c r="K88" s="97"/>
      <c r="L88" s="90" t="s">
        <v>97</v>
      </c>
      <c r="M88" s="92"/>
    </row>
    <row r="89" spans="1:13" s="83" customFormat="1" x14ac:dyDescent="0.2">
      <c r="F89" s="156"/>
      <c r="G89" s="156"/>
      <c r="H89" s="156"/>
      <c r="I89" s="156"/>
      <c r="J89" s="156"/>
      <c r="K89" s="97"/>
      <c r="L89" s="117" t="s">
        <v>93</v>
      </c>
      <c r="M89" s="90"/>
    </row>
    <row r="90" spans="1:13" s="83" customFormat="1" x14ac:dyDescent="0.2">
      <c r="F90" s="156"/>
      <c r="G90" s="156"/>
      <c r="H90" s="97"/>
      <c r="I90" s="156" t="s">
        <v>334</v>
      </c>
      <c r="J90" s="156"/>
      <c r="K90" s="582">
        <v>13</v>
      </c>
      <c r="L90" s="90"/>
      <c r="M90" s="90"/>
    </row>
    <row r="91" spans="1:13" s="83" customFormat="1" ht="13.5" thickBot="1" x14ac:dyDescent="0.25">
      <c r="F91" s="156"/>
      <c r="G91" s="156"/>
      <c r="H91" s="97"/>
      <c r="I91" s="122"/>
      <c r="J91" s="123"/>
      <c r="K91" s="128"/>
      <c r="L91" s="92" t="s">
        <v>334</v>
      </c>
      <c r="M91" s="92"/>
    </row>
    <row r="92" spans="1:13" s="83" customFormat="1" x14ac:dyDescent="0.2">
      <c r="F92" s="156"/>
      <c r="G92" s="156"/>
      <c r="H92" s="97"/>
      <c r="I92" s="124" t="s">
        <v>510</v>
      </c>
      <c r="J92" s="125"/>
      <c r="K92" s="156">
        <v>10</v>
      </c>
      <c r="L92" s="100" t="s">
        <v>94</v>
      </c>
      <c r="M92" s="90"/>
    </row>
    <row r="93" spans="1:13" s="83" customFormat="1" x14ac:dyDescent="0.2">
      <c r="H93" s="90"/>
      <c r="L93" s="90"/>
      <c r="M93" s="90"/>
    </row>
    <row r="94" spans="1:13" s="83" customFormat="1" ht="13.5" thickBot="1" x14ac:dyDescent="0.25">
      <c r="F94" s="98"/>
      <c r="I94" s="90"/>
      <c r="J94" s="90"/>
      <c r="L94" s="92" t="s">
        <v>510</v>
      </c>
      <c r="M94" s="92"/>
    </row>
    <row r="95" spans="1:13" s="83" customFormat="1" x14ac:dyDescent="0.2">
      <c r="F95" s="98"/>
      <c r="I95" s="90"/>
      <c r="J95" s="90"/>
      <c r="L95" s="100" t="s">
        <v>95</v>
      </c>
    </row>
    <row r="96" spans="1:13" s="159" customFormat="1" x14ac:dyDescent="0.2"/>
    <row r="97" spans="1:2" x14ac:dyDescent="0.2">
      <c r="A97" s="101">
        <v>1</v>
      </c>
      <c r="B97" s="286" t="s">
        <v>514</v>
      </c>
    </row>
    <row r="98" spans="1:2" x14ac:dyDescent="0.2">
      <c r="A98" s="101">
        <v>2</v>
      </c>
      <c r="B98" s="103" t="s">
        <v>125</v>
      </c>
    </row>
    <row r="99" spans="1:2" x14ac:dyDescent="0.2">
      <c r="A99" s="101">
        <v>3</v>
      </c>
      <c r="B99" s="104" t="s">
        <v>513</v>
      </c>
    </row>
    <row r="100" spans="1:2" x14ac:dyDescent="0.2">
      <c r="A100" s="101">
        <v>4</v>
      </c>
      <c r="B100" s="105" t="s">
        <v>337</v>
      </c>
    </row>
    <row r="101" spans="1:2" x14ac:dyDescent="0.2">
      <c r="A101" s="101">
        <v>5</v>
      </c>
      <c r="B101" s="105" t="s">
        <v>499</v>
      </c>
    </row>
    <row r="102" spans="1:2" x14ac:dyDescent="0.2">
      <c r="A102" s="101">
        <v>6</v>
      </c>
      <c r="B102" s="105" t="s">
        <v>97</v>
      </c>
    </row>
    <row r="103" spans="1:2" x14ac:dyDescent="0.2">
      <c r="A103" s="101">
        <v>7</v>
      </c>
      <c r="B103" s="105" t="s">
        <v>334</v>
      </c>
    </row>
    <row r="104" spans="1:2" x14ac:dyDescent="0.2">
      <c r="A104" s="101">
        <v>8</v>
      </c>
      <c r="B104" s="105" t="s">
        <v>510</v>
      </c>
    </row>
    <row r="105" spans="1:2" x14ac:dyDescent="0.2">
      <c r="A105" s="112" t="s">
        <v>120</v>
      </c>
      <c r="B105" s="108" t="s">
        <v>332</v>
      </c>
    </row>
    <row r="106" spans="1:2" x14ac:dyDescent="0.2">
      <c r="A106" s="112" t="s">
        <v>120</v>
      </c>
      <c r="B106" s="108" t="s">
        <v>326</v>
      </c>
    </row>
    <row r="107" spans="1:2" x14ac:dyDescent="0.2">
      <c r="A107" s="112" t="s">
        <v>120</v>
      </c>
      <c r="B107" s="111" t="s">
        <v>509</v>
      </c>
    </row>
    <row r="108" spans="1:2" x14ac:dyDescent="0.2">
      <c r="A108" s="112" t="s">
        <v>120</v>
      </c>
      <c r="B108" s="108" t="s">
        <v>511</v>
      </c>
    </row>
    <row r="109" spans="1:2" x14ac:dyDescent="0.2">
      <c r="A109" s="112" t="s">
        <v>121</v>
      </c>
      <c r="B109" s="108" t="s">
        <v>96</v>
      </c>
    </row>
    <row r="110" spans="1:2" x14ac:dyDescent="0.2">
      <c r="A110" s="112" t="s">
        <v>121</v>
      </c>
      <c r="B110" s="226" t="s">
        <v>330</v>
      </c>
    </row>
    <row r="111" spans="1:2" x14ac:dyDescent="0.2">
      <c r="A111" s="112" t="s">
        <v>121</v>
      </c>
      <c r="B111" s="226" t="s">
        <v>331</v>
      </c>
    </row>
    <row r="112" spans="1:2" x14ac:dyDescent="0.2">
      <c r="A112" s="112" t="s">
        <v>121</v>
      </c>
      <c r="B112" s="226" t="s">
        <v>512</v>
      </c>
    </row>
    <row r="113" spans="1:2" x14ac:dyDescent="0.2">
      <c r="A113" s="112" t="s">
        <v>121</v>
      </c>
      <c r="B113" s="226" t="s">
        <v>516</v>
      </c>
    </row>
    <row r="114" spans="1:2" x14ac:dyDescent="0.2">
      <c r="A114" s="112" t="s">
        <v>121</v>
      </c>
      <c r="B114" s="226" t="s">
        <v>515</v>
      </c>
    </row>
    <row r="115" spans="1:2" x14ac:dyDescent="0.2">
      <c r="A115" s="101">
        <v>19</v>
      </c>
      <c r="B115" s="108" t="s">
        <v>517</v>
      </c>
    </row>
  </sheetData>
  <sortState ref="B109:B114">
    <sortCondition ref="B109"/>
  </sortState>
  <conditionalFormatting sqref="C42:K92 C7:H41 K7:K41">
    <cfRule type="cellIs" dxfId="116" priority="4" operator="equal">
      <formula>13</formula>
    </cfRule>
  </conditionalFormatting>
  <pageMargins left="0.78740157480314965" right="0.39370078740157483"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40" max="14" man="1"/>
    <brk id="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82"/>
  <sheetViews>
    <sheetView showGridLines="0" showRowColHeaders="0" zoomScaleNormal="100" workbookViewId="0">
      <pane ySplit="2" topLeftCell="A3" activePane="bottomLeft" state="frozen"/>
      <selection activeCell="I1" sqref="I1"/>
      <selection pane="bottomLeft" activeCell="G1" sqref="G1"/>
    </sheetView>
  </sheetViews>
  <sheetFormatPr defaultRowHeight="12.75" x14ac:dyDescent="0.2"/>
  <cols>
    <col min="1" max="1" width="5.5703125" style="148" customWidth="1"/>
    <col min="2" max="2" width="40.140625" style="148" bestFit="1" customWidth="1"/>
    <col min="3" max="3" width="7.28515625" style="148" bestFit="1" customWidth="1"/>
    <col min="4" max="4" width="7.42578125" style="148" bestFit="1" customWidth="1"/>
    <col min="5" max="5" width="9.140625" style="148" bestFit="1" customWidth="1"/>
    <col min="6" max="6" width="6.7109375" style="148" customWidth="1"/>
    <col min="7" max="7" width="5.140625" style="148" bestFit="1" customWidth="1"/>
    <col min="8" max="8" width="9.140625" style="148" customWidth="1"/>
    <col min="9" max="9" width="4.7109375" style="148" customWidth="1"/>
    <col min="10" max="11" width="9.140625" style="148" customWidth="1"/>
    <col min="12" max="16384" width="9.140625" style="148"/>
  </cols>
  <sheetData>
    <row r="1" spans="1:7" x14ac:dyDescent="0.2">
      <c r="A1" s="138" t="str">
        <f>UPPER((Kalend!D30)&amp;" - "&amp;(Kalend!C30)&amp;" - "&amp;(Kalend!E30))</f>
        <v>8 - EESTI SISE-MV - SEGADUO</v>
      </c>
      <c r="E1" s="61" t="str">
        <f>HYPERLINK("#'Üldreiting'!T1","Reiting")</f>
        <v>Reiting</v>
      </c>
    </row>
    <row r="2" spans="1:7" x14ac:dyDescent="0.2">
      <c r="A2" s="148" t="str">
        <f>"Toimumisaeg: "&amp;(Kalend!A30)&amp;" kell "&amp;(Kalend!B30)</f>
        <v>Toimumisaeg: L, 11.03.2017 kell 10:00</v>
      </c>
    </row>
    <row r="3" spans="1:7" x14ac:dyDescent="0.2">
      <c r="A3" s="148" t="str">
        <f>"Toimumiskoht: "&amp;(Kalend!F30)</f>
        <v>Toimumiskoht: Kohtla-Järve</v>
      </c>
    </row>
    <row r="4" spans="1:7" x14ac:dyDescent="0.2">
      <c r="A4" s="148" t="str">
        <f>"Korraldaja: "&amp;(Kalend!G30)</f>
        <v>Korraldaja: EPKL, Ivar Viljaste</v>
      </c>
    </row>
    <row r="6" spans="1:7" s="43" customFormat="1" x14ac:dyDescent="0.2">
      <c r="A6" s="41" t="s">
        <v>556</v>
      </c>
      <c r="B6" s="41"/>
      <c r="C6" s="42" t="s">
        <v>70</v>
      </c>
      <c r="D6" s="42" t="s">
        <v>71</v>
      </c>
      <c r="E6" s="42" t="s">
        <v>72</v>
      </c>
      <c r="F6" s="42" t="s">
        <v>73</v>
      </c>
      <c r="G6" s="42" t="s">
        <v>19</v>
      </c>
    </row>
    <row r="7" spans="1:7" s="43" customFormat="1" x14ac:dyDescent="0.2">
      <c r="A7" s="41">
        <v>1</v>
      </c>
      <c r="B7" s="355" t="s">
        <v>533</v>
      </c>
      <c r="C7" s="45">
        <v>5</v>
      </c>
      <c r="D7" s="45"/>
      <c r="E7" s="45">
        <v>13</v>
      </c>
      <c r="F7" s="45">
        <v>13</v>
      </c>
      <c r="G7" s="232" t="s">
        <v>75</v>
      </c>
    </row>
    <row r="8" spans="1:7" s="43" customFormat="1" x14ac:dyDescent="0.2">
      <c r="A8" s="41">
        <v>2</v>
      </c>
      <c r="B8" s="355" t="s">
        <v>326</v>
      </c>
      <c r="C8" s="45">
        <v>13</v>
      </c>
      <c r="D8" s="45">
        <v>7</v>
      </c>
      <c r="E8" s="45"/>
      <c r="F8" s="45">
        <v>9</v>
      </c>
      <c r="G8" s="232" t="s">
        <v>76</v>
      </c>
    </row>
    <row r="9" spans="1:7" s="43" customFormat="1" x14ac:dyDescent="0.2">
      <c r="A9" s="41">
        <v>3</v>
      </c>
      <c r="B9" s="355" t="s">
        <v>534</v>
      </c>
      <c r="C9" s="45">
        <v>10</v>
      </c>
      <c r="D9" s="45"/>
      <c r="E9" s="45">
        <v>5</v>
      </c>
      <c r="F9" s="45"/>
      <c r="G9" s="232" t="s">
        <v>98</v>
      </c>
    </row>
    <row r="10" spans="1:7" s="43" customFormat="1" x14ac:dyDescent="0.2">
      <c r="A10" s="41">
        <v>4</v>
      </c>
      <c r="B10" s="354" t="s">
        <v>535</v>
      </c>
      <c r="C10" s="45">
        <v>13</v>
      </c>
      <c r="D10" s="45">
        <v>13</v>
      </c>
      <c r="E10" s="45"/>
      <c r="F10" s="45"/>
      <c r="G10" s="232" t="s">
        <v>74</v>
      </c>
    </row>
    <row r="11" spans="1:7" s="43" customFormat="1" x14ac:dyDescent="0.2">
      <c r="A11" s="47"/>
      <c r="B11" s="48"/>
      <c r="C11" s="49"/>
      <c r="D11" s="49"/>
      <c r="E11" s="49"/>
      <c r="F11" s="50"/>
      <c r="G11" s="51"/>
    </row>
    <row r="12" spans="1:7" s="43" customFormat="1" x14ac:dyDescent="0.2">
      <c r="A12" s="41" t="s">
        <v>180</v>
      </c>
      <c r="B12" s="41"/>
      <c r="C12" s="42" t="s">
        <v>70</v>
      </c>
      <c r="D12" s="42" t="s">
        <v>71</v>
      </c>
      <c r="E12" s="42" t="s">
        <v>72</v>
      </c>
      <c r="F12" s="42" t="s">
        <v>73</v>
      </c>
      <c r="G12" s="42" t="s">
        <v>19</v>
      </c>
    </row>
    <row r="13" spans="1:7" s="43" customFormat="1" x14ac:dyDescent="0.2">
      <c r="A13" s="41">
        <v>1</v>
      </c>
      <c r="B13" s="355" t="s">
        <v>99</v>
      </c>
      <c r="C13" s="45">
        <v>13</v>
      </c>
      <c r="D13" s="45">
        <v>13</v>
      </c>
      <c r="E13" s="45"/>
      <c r="F13" s="45"/>
      <c r="G13" s="232" t="s">
        <v>74</v>
      </c>
    </row>
    <row r="14" spans="1:7" s="43" customFormat="1" x14ac:dyDescent="0.2">
      <c r="A14" s="41">
        <v>2</v>
      </c>
      <c r="B14" s="355" t="s">
        <v>536</v>
      </c>
      <c r="C14" s="45">
        <v>12</v>
      </c>
      <c r="D14" s="45"/>
      <c r="E14" s="45">
        <v>9</v>
      </c>
      <c r="F14" s="45"/>
      <c r="G14" s="232" t="s">
        <v>98</v>
      </c>
    </row>
    <row r="15" spans="1:7" s="43" customFormat="1" x14ac:dyDescent="0.2">
      <c r="A15" s="41">
        <v>3</v>
      </c>
      <c r="B15" s="355" t="s">
        <v>332</v>
      </c>
      <c r="C15" s="45">
        <v>13</v>
      </c>
      <c r="D15" s="45">
        <v>9</v>
      </c>
      <c r="E15" s="45"/>
      <c r="F15" s="45">
        <v>12</v>
      </c>
      <c r="G15" s="232" t="s">
        <v>76</v>
      </c>
    </row>
    <row r="16" spans="1:7" s="43" customFormat="1" x14ac:dyDescent="0.2">
      <c r="A16" s="41">
        <v>4</v>
      </c>
      <c r="B16" s="354" t="s">
        <v>537</v>
      </c>
      <c r="C16" s="45">
        <v>3</v>
      </c>
      <c r="D16" s="45"/>
      <c r="E16" s="45">
        <v>13</v>
      </c>
      <c r="F16" s="45">
        <v>13</v>
      </c>
      <c r="G16" s="232" t="s">
        <v>75</v>
      </c>
    </row>
    <row r="17" spans="1:7" s="43" customFormat="1" x14ac:dyDescent="0.2">
      <c r="A17" s="47"/>
      <c r="B17" s="48"/>
      <c r="C17" s="49"/>
      <c r="D17" s="49"/>
      <c r="E17" s="49"/>
      <c r="F17" s="50"/>
      <c r="G17" s="51"/>
    </row>
    <row r="18" spans="1:7" s="43" customFormat="1" x14ac:dyDescent="0.2">
      <c r="A18" s="41" t="s">
        <v>351</v>
      </c>
      <c r="B18" s="41"/>
      <c r="C18" s="42" t="s">
        <v>70</v>
      </c>
      <c r="D18" s="42" t="s">
        <v>71</v>
      </c>
      <c r="E18" s="42" t="s">
        <v>72</v>
      </c>
      <c r="F18" s="42" t="s">
        <v>73</v>
      </c>
      <c r="G18" s="42" t="s">
        <v>19</v>
      </c>
    </row>
    <row r="19" spans="1:7" s="43" customFormat="1" x14ac:dyDescent="0.2">
      <c r="A19" s="41">
        <v>1</v>
      </c>
      <c r="B19" s="357" t="s">
        <v>111</v>
      </c>
      <c r="C19" s="45">
        <v>13</v>
      </c>
      <c r="D19" s="45">
        <v>13</v>
      </c>
      <c r="E19" s="45"/>
      <c r="F19" s="45"/>
      <c r="G19" s="232" t="s">
        <v>74</v>
      </c>
    </row>
    <row r="20" spans="1:7" s="43" customFormat="1" x14ac:dyDescent="0.2">
      <c r="A20" s="41">
        <v>2</v>
      </c>
      <c r="B20" s="355" t="s">
        <v>538</v>
      </c>
      <c r="C20" s="45">
        <v>13</v>
      </c>
      <c r="D20" s="45">
        <v>3</v>
      </c>
      <c r="E20" s="45"/>
      <c r="F20" s="45">
        <v>9</v>
      </c>
      <c r="G20" s="232" t="s">
        <v>76</v>
      </c>
    </row>
    <row r="21" spans="1:7" s="43" customFormat="1" x14ac:dyDescent="0.2">
      <c r="A21" s="41">
        <v>3</v>
      </c>
      <c r="B21" s="355" t="s">
        <v>539</v>
      </c>
      <c r="C21" s="45">
        <v>5</v>
      </c>
      <c r="D21" s="45"/>
      <c r="E21" s="45">
        <v>10</v>
      </c>
      <c r="F21" s="45"/>
      <c r="G21" s="232" t="s">
        <v>98</v>
      </c>
    </row>
    <row r="22" spans="1:7" s="43" customFormat="1" x14ac:dyDescent="0.2">
      <c r="A22" s="41">
        <v>4</v>
      </c>
      <c r="B22" s="354" t="s">
        <v>540</v>
      </c>
      <c r="C22" s="45">
        <v>9</v>
      </c>
      <c r="D22" s="45"/>
      <c r="E22" s="45">
        <v>13</v>
      </c>
      <c r="F22" s="45">
        <v>13</v>
      </c>
      <c r="G22" s="232" t="s">
        <v>75</v>
      </c>
    </row>
    <row r="23" spans="1:7" s="43" customFormat="1" x14ac:dyDescent="0.2">
      <c r="A23" s="47"/>
      <c r="B23" s="48"/>
      <c r="C23" s="49"/>
      <c r="D23" s="49"/>
      <c r="E23" s="49"/>
      <c r="F23" s="50"/>
      <c r="G23" s="51"/>
    </row>
    <row r="24" spans="1:7" s="43" customFormat="1" x14ac:dyDescent="0.2">
      <c r="A24" s="41" t="s">
        <v>557</v>
      </c>
      <c r="B24" s="41"/>
      <c r="C24" s="42" t="s">
        <v>70</v>
      </c>
      <c r="D24" s="42" t="s">
        <v>71</v>
      </c>
      <c r="E24" s="42" t="s">
        <v>72</v>
      </c>
      <c r="F24" s="42" t="s">
        <v>73</v>
      </c>
      <c r="G24" s="42" t="s">
        <v>19</v>
      </c>
    </row>
    <row r="25" spans="1:7" s="43" customFormat="1" x14ac:dyDescent="0.2">
      <c r="A25" s="41">
        <v>1</v>
      </c>
      <c r="B25" s="357" t="s">
        <v>541</v>
      </c>
      <c r="C25" s="45">
        <v>7</v>
      </c>
      <c r="D25" s="45"/>
      <c r="E25" s="45">
        <v>13</v>
      </c>
      <c r="F25" s="45">
        <v>13</v>
      </c>
      <c r="G25" s="232" t="s">
        <v>75</v>
      </c>
    </row>
    <row r="26" spans="1:7" s="43" customFormat="1" x14ac:dyDescent="0.2">
      <c r="A26" s="41">
        <v>2</v>
      </c>
      <c r="B26" s="355" t="s">
        <v>542</v>
      </c>
      <c r="C26" s="45">
        <v>13</v>
      </c>
      <c r="D26" s="45">
        <v>13</v>
      </c>
      <c r="E26" s="45"/>
      <c r="F26" s="45"/>
      <c r="G26" s="232" t="s">
        <v>74</v>
      </c>
    </row>
    <row r="27" spans="1:7" s="43" customFormat="1" x14ac:dyDescent="0.2">
      <c r="A27" s="41">
        <v>3</v>
      </c>
      <c r="B27" s="355" t="s">
        <v>543</v>
      </c>
      <c r="C27" s="45">
        <v>8</v>
      </c>
      <c r="D27" s="45"/>
      <c r="E27" s="45">
        <v>5</v>
      </c>
      <c r="F27" s="45"/>
      <c r="G27" s="232" t="s">
        <v>98</v>
      </c>
    </row>
    <row r="28" spans="1:7" s="43" customFormat="1" x14ac:dyDescent="0.2">
      <c r="A28" s="41">
        <v>4</v>
      </c>
      <c r="B28" s="354" t="s">
        <v>544</v>
      </c>
      <c r="C28" s="45">
        <v>13</v>
      </c>
      <c r="D28" s="45">
        <v>12</v>
      </c>
      <c r="E28" s="45"/>
      <c r="F28" s="45">
        <v>7</v>
      </c>
      <c r="G28" s="232" t="s">
        <v>76</v>
      </c>
    </row>
    <row r="29" spans="1:7" s="43" customFormat="1" x14ac:dyDescent="0.2">
      <c r="A29" s="47"/>
      <c r="B29" s="52"/>
      <c r="C29" s="50"/>
      <c r="D29" s="50"/>
      <c r="E29" s="50"/>
      <c r="F29" s="50"/>
      <c r="G29" s="53"/>
    </row>
    <row r="30" spans="1:7" s="159" customFormat="1" x14ac:dyDescent="0.2">
      <c r="A30" s="62" t="s">
        <v>79</v>
      </c>
    </row>
    <row r="31" spans="1:7" s="159" customFormat="1" x14ac:dyDescent="0.2">
      <c r="A31" s="62"/>
    </row>
    <row r="32" spans="1:7" s="159" customFormat="1" x14ac:dyDescent="0.2">
      <c r="A32" s="85" t="s">
        <v>80</v>
      </c>
      <c r="B32" s="253" t="s">
        <v>542</v>
      </c>
      <c r="C32" s="69">
        <v>4</v>
      </c>
    </row>
    <row r="33" spans="1:11" s="159" customFormat="1" x14ac:dyDescent="0.2">
      <c r="A33" s="129"/>
      <c r="B33" s="65"/>
      <c r="C33" s="67" t="s">
        <v>537</v>
      </c>
      <c r="D33" s="160"/>
      <c r="F33" s="69">
        <v>1</v>
      </c>
    </row>
    <row r="34" spans="1:11" s="159" customFormat="1" x14ac:dyDescent="0.2">
      <c r="A34" s="85" t="s">
        <v>81</v>
      </c>
      <c r="B34" s="252" t="s">
        <v>537</v>
      </c>
      <c r="C34" s="70">
        <v>13</v>
      </c>
      <c r="E34" s="66"/>
    </row>
    <row r="35" spans="1:11" s="159" customFormat="1" x14ac:dyDescent="0.2">
      <c r="A35" s="129"/>
      <c r="D35" s="162"/>
      <c r="E35" s="72"/>
      <c r="F35" s="159" t="s">
        <v>535</v>
      </c>
      <c r="I35" s="69">
        <v>6</v>
      </c>
    </row>
    <row r="36" spans="1:11" s="159" customFormat="1" x14ac:dyDescent="0.2">
      <c r="A36" s="85" t="s">
        <v>82</v>
      </c>
      <c r="B36" s="589" t="s">
        <v>535</v>
      </c>
      <c r="C36" s="149">
        <v>13</v>
      </c>
      <c r="E36" s="72"/>
      <c r="F36" s="65"/>
      <c r="G36" s="65"/>
      <c r="H36" s="66"/>
    </row>
    <row r="37" spans="1:11" s="159" customFormat="1" x14ac:dyDescent="0.2">
      <c r="A37" s="129"/>
      <c r="B37" s="65"/>
      <c r="C37" s="74" t="s">
        <v>535</v>
      </c>
      <c r="E37" s="75"/>
      <c r="F37" s="149">
        <v>13</v>
      </c>
      <c r="G37" s="162"/>
      <c r="H37" s="72"/>
    </row>
    <row r="38" spans="1:11" s="159" customFormat="1" x14ac:dyDescent="0.2">
      <c r="A38" s="85" t="s">
        <v>83</v>
      </c>
      <c r="B38" s="252" t="s">
        <v>540</v>
      </c>
      <c r="C38" s="82">
        <v>12</v>
      </c>
      <c r="D38" s="65"/>
      <c r="F38" s="162"/>
      <c r="G38" s="162"/>
      <c r="H38" s="72"/>
    </row>
    <row r="39" spans="1:11" s="159" customFormat="1" ht="13.5" thickBot="1" x14ac:dyDescent="0.25">
      <c r="A39" s="129"/>
      <c r="F39" s="162"/>
      <c r="G39" s="162"/>
      <c r="H39" s="72"/>
      <c r="J39" s="159" t="s">
        <v>533</v>
      </c>
    </row>
    <row r="40" spans="1:11" s="159" customFormat="1" x14ac:dyDescent="0.2">
      <c r="A40" s="85" t="s">
        <v>88</v>
      </c>
      <c r="B40" s="253" t="s">
        <v>111</v>
      </c>
      <c r="C40" s="69">
        <v>10</v>
      </c>
      <c r="F40" s="162"/>
      <c r="G40" s="162"/>
      <c r="H40" s="72"/>
      <c r="I40" s="76"/>
      <c r="J40" s="77" t="s">
        <v>85</v>
      </c>
      <c r="K40" s="78"/>
    </row>
    <row r="41" spans="1:11" s="159" customFormat="1" x14ac:dyDescent="0.2">
      <c r="A41" s="129"/>
      <c r="B41" s="65"/>
      <c r="C41" s="67" t="s">
        <v>533</v>
      </c>
      <c r="D41" s="160"/>
      <c r="F41" s="149">
        <v>13</v>
      </c>
      <c r="G41" s="162"/>
      <c r="H41" s="72"/>
    </row>
    <row r="42" spans="1:11" s="159" customFormat="1" ht="13.5" thickBot="1" x14ac:dyDescent="0.25">
      <c r="A42" s="85" t="s">
        <v>89</v>
      </c>
      <c r="B42" s="255" t="s">
        <v>533</v>
      </c>
      <c r="C42" s="70">
        <v>13</v>
      </c>
      <c r="E42" s="66"/>
      <c r="F42" s="162"/>
      <c r="G42" s="162"/>
      <c r="H42" s="72"/>
      <c r="J42" s="161" t="s">
        <v>535</v>
      </c>
      <c r="K42" s="161"/>
    </row>
    <row r="43" spans="1:11" s="159" customFormat="1" x14ac:dyDescent="0.2">
      <c r="A43" s="129"/>
      <c r="D43" s="162"/>
      <c r="E43" s="72"/>
      <c r="F43" s="160" t="s">
        <v>533</v>
      </c>
      <c r="G43" s="160"/>
      <c r="H43" s="75"/>
      <c r="I43" s="69">
        <v>13</v>
      </c>
      <c r="J43" s="77" t="s">
        <v>87</v>
      </c>
    </row>
    <row r="44" spans="1:11" s="159" customFormat="1" x14ac:dyDescent="0.2">
      <c r="A44" s="85" t="s">
        <v>84</v>
      </c>
      <c r="B44" s="253" t="s">
        <v>99</v>
      </c>
      <c r="C44" s="149"/>
      <c r="E44" s="72"/>
    </row>
    <row r="45" spans="1:11" s="159" customFormat="1" x14ac:dyDescent="0.2">
      <c r="A45" s="129"/>
      <c r="B45" s="65"/>
      <c r="C45" s="74" t="s">
        <v>541</v>
      </c>
      <c r="E45" s="75"/>
      <c r="F45" s="69">
        <v>2</v>
      </c>
    </row>
    <row r="46" spans="1:11" s="159" customFormat="1" x14ac:dyDescent="0.2">
      <c r="A46" s="85" t="s">
        <v>86</v>
      </c>
      <c r="B46" s="255" t="s">
        <v>541</v>
      </c>
      <c r="C46" s="82">
        <v>13</v>
      </c>
      <c r="D46" s="65"/>
    </row>
    <row r="47" spans="1:11" s="159" customFormat="1" x14ac:dyDescent="0.2">
      <c r="F47" s="159" t="s">
        <v>537</v>
      </c>
      <c r="I47" s="149">
        <v>12</v>
      </c>
      <c r="J47" s="162"/>
      <c r="K47" s="162"/>
    </row>
    <row r="48" spans="1:11" s="159" customFormat="1" ht="13.5" thickBot="1" x14ac:dyDescent="0.25">
      <c r="F48" s="65"/>
      <c r="G48" s="65"/>
      <c r="H48" s="66"/>
      <c r="I48" s="161"/>
      <c r="J48" s="161" t="s">
        <v>541</v>
      </c>
      <c r="K48" s="161"/>
    </row>
    <row r="49" spans="3:11" s="159" customFormat="1" x14ac:dyDescent="0.2">
      <c r="F49" s="160" t="s">
        <v>541</v>
      </c>
      <c r="G49" s="160"/>
      <c r="H49" s="75"/>
      <c r="I49" s="69">
        <v>13</v>
      </c>
      <c r="J49" s="81" t="s">
        <v>90</v>
      </c>
      <c r="K49" s="162"/>
    </row>
    <row r="50" spans="3:11" s="159" customFormat="1" x14ac:dyDescent="0.2">
      <c r="J50" s="162"/>
      <c r="K50" s="162"/>
    </row>
    <row r="51" spans="3:11" s="159" customFormat="1" ht="13.5" thickBot="1" x14ac:dyDescent="0.25">
      <c r="G51" s="162"/>
      <c r="H51" s="162"/>
      <c r="J51" s="161" t="s">
        <v>537</v>
      </c>
      <c r="K51" s="161"/>
    </row>
    <row r="52" spans="3:11" s="159" customFormat="1" x14ac:dyDescent="0.2">
      <c r="C52" s="159" t="s">
        <v>542</v>
      </c>
      <c r="F52" s="69">
        <v>13</v>
      </c>
      <c r="J52" s="64" t="s">
        <v>91</v>
      </c>
    </row>
    <row r="53" spans="3:11" s="159" customFormat="1" x14ac:dyDescent="0.2">
      <c r="C53" s="65"/>
      <c r="D53" s="65"/>
      <c r="E53" s="66"/>
      <c r="F53" s="67" t="s">
        <v>542</v>
      </c>
      <c r="G53" s="160"/>
      <c r="H53" s="160"/>
      <c r="I53" s="69">
        <v>2</v>
      </c>
    </row>
    <row r="54" spans="3:11" s="159" customFormat="1" x14ac:dyDescent="0.2">
      <c r="C54" s="160" t="s">
        <v>540</v>
      </c>
      <c r="D54" s="160"/>
      <c r="E54" s="75"/>
      <c r="F54" s="70">
        <v>2</v>
      </c>
      <c r="H54" s="72"/>
    </row>
    <row r="55" spans="3:11" s="159" customFormat="1" ht="13.5" thickBot="1" x14ac:dyDescent="0.25">
      <c r="F55" s="162"/>
      <c r="H55" s="72"/>
      <c r="J55" s="159" t="s">
        <v>99</v>
      </c>
    </row>
    <row r="56" spans="3:11" s="159" customFormat="1" x14ac:dyDescent="0.2">
      <c r="C56" s="159" t="s">
        <v>111</v>
      </c>
      <c r="F56" s="149">
        <v>9</v>
      </c>
      <c r="H56" s="72"/>
      <c r="I56" s="76"/>
      <c r="J56" s="77" t="s">
        <v>92</v>
      </c>
      <c r="K56" s="78"/>
    </row>
    <row r="57" spans="3:11" s="159" customFormat="1" x14ac:dyDescent="0.2">
      <c r="C57" s="65"/>
      <c r="D57" s="65"/>
      <c r="E57" s="66"/>
      <c r="F57" s="74" t="s">
        <v>99</v>
      </c>
      <c r="H57" s="75"/>
      <c r="I57" s="149">
        <v>13</v>
      </c>
    </row>
    <row r="58" spans="3:11" s="159" customFormat="1" ht="13.5" thickBot="1" x14ac:dyDescent="0.25">
      <c r="C58" s="160" t="s">
        <v>99</v>
      </c>
      <c r="D58" s="160"/>
      <c r="E58" s="75"/>
      <c r="F58" s="82">
        <v>13</v>
      </c>
      <c r="G58" s="65"/>
      <c r="I58" s="162"/>
      <c r="J58" s="162" t="s">
        <v>542</v>
      </c>
      <c r="K58" s="161"/>
    </row>
    <row r="59" spans="3:11" s="159" customFormat="1" x14ac:dyDescent="0.2">
      <c r="I59" s="162"/>
      <c r="J59" s="77" t="s">
        <v>93</v>
      </c>
      <c r="K59" s="162"/>
    </row>
    <row r="60" spans="3:11" s="159" customFormat="1" x14ac:dyDescent="0.2">
      <c r="F60" s="159" t="s">
        <v>540</v>
      </c>
      <c r="I60" s="149">
        <v>12</v>
      </c>
      <c r="J60" s="162"/>
      <c r="K60" s="162"/>
    </row>
    <row r="61" spans="3:11" s="159" customFormat="1" ht="13.5" thickBot="1" x14ac:dyDescent="0.25">
      <c r="F61" s="65"/>
      <c r="G61" s="65"/>
      <c r="H61" s="66"/>
      <c r="I61" s="161"/>
      <c r="J61" s="161" t="s">
        <v>111</v>
      </c>
      <c r="K61" s="161"/>
    </row>
    <row r="62" spans="3:11" s="159" customFormat="1" x14ac:dyDescent="0.2">
      <c r="F62" s="160" t="s">
        <v>111</v>
      </c>
      <c r="G62" s="160"/>
      <c r="H62" s="75"/>
      <c r="I62" s="69">
        <v>13</v>
      </c>
      <c r="J62" s="81" t="s">
        <v>94</v>
      </c>
      <c r="K62" s="162"/>
    </row>
    <row r="63" spans="3:11" s="159" customFormat="1" x14ac:dyDescent="0.2">
      <c r="J63" s="162"/>
      <c r="K63" s="162"/>
    </row>
    <row r="64" spans="3:11" s="159" customFormat="1" ht="13.5" thickBot="1" x14ac:dyDescent="0.25">
      <c r="G64" s="162"/>
      <c r="H64" s="162"/>
      <c r="J64" s="161" t="s">
        <v>540</v>
      </c>
      <c r="K64" s="161"/>
    </row>
    <row r="65" spans="1:10" s="159" customFormat="1" x14ac:dyDescent="0.2">
      <c r="G65" s="162"/>
      <c r="H65" s="162"/>
      <c r="J65" s="64" t="s">
        <v>95</v>
      </c>
    </row>
    <row r="66" spans="1:10" s="159" customFormat="1" x14ac:dyDescent="0.2"/>
    <row r="67" spans="1:10" x14ac:dyDescent="0.2">
      <c r="A67" s="101">
        <v>1</v>
      </c>
      <c r="B67" s="286" t="s">
        <v>533</v>
      </c>
    </row>
    <row r="68" spans="1:10" x14ac:dyDescent="0.2">
      <c r="A68" s="101">
        <v>2</v>
      </c>
      <c r="B68" s="103" t="s">
        <v>535</v>
      </c>
    </row>
    <row r="69" spans="1:10" x14ac:dyDescent="0.2">
      <c r="A69" s="101">
        <v>3</v>
      </c>
      <c r="B69" s="104" t="s">
        <v>541</v>
      </c>
    </row>
    <row r="70" spans="1:10" x14ac:dyDescent="0.2">
      <c r="A70" s="101">
        <v>4</v>
      </c>
      <c r="B70" s="105" t="s">
        <v>537</v>
      </c>
    </row>
    <row r="71" spans="1:10" x14ac:dyDescent="0.2">
      <c r="A71" s="101">
        <v>5</v>
      </c>
      <c r="B71" s="105" t="s">
        <v>99</v>
      </c>
    </row>
    <row r="72" spans="1:10" x14ac:dyDescent="0.2">
      <c r="A72" s="101">
        <v>6</v>
      </c>
      <c r="B72" s="105" t="s">
        <v>542</v>
      </c>
    </row>
    <row r="73" spans="1:10" x14ac:dyDescent="0.2">
      <c r="A73" s="101">
        <v>7</v>
      </c>
      <c r="B73" s="105" t="s">
        <v>111</v>
      </c>
    </row>
    <row r="74" spans="1:10" x14ac:dyDescent="0.2">
      <c r="A74" s="101">
        <v>8</v>
      </c>
      <c r="B74" s="105" t="s">
        <v>540</v>
      </c>
    </row>
    <row r="75" spans="1:10" x14ac:dyDescent="0.2">
      <c r="A75" s="112" t="s">
        <v>120</v>
      </c>
      <c r="B75" s="106" t="s">
        <v>332</v>
      </c>
    </row>
    <row r="76" spans="1:10" x14ac:dyDescent="0.2">
      <c r="A76" s="112" t="s">
        <v>120</v>
      </c>
      <c r="B76" s="106" t="s">
        <v>326</v>
      </c>
    </row>
    <row r="77" spans="1:10" x14ac:dyDescent="0.2">
      <c r="A77" s="112" t="s">
        <v>120</v>
      </c>
      <c r="B77" s="107" t="s">
        <v>538</v>
      </c>
    </row>
    <row r="78" spans="1:10" x14ac:dyDescent="0.2">
      <c r="A78" s="112" t="s">
        <v>120</v>
      </c>
      <c r="B78" s="106" t="s">
        <v>544</v>
      </c>
    </row>
    <row r="79" spans="1:10" x14ac:dyDescent="0.2">
      <c r="A79" s="590" t="s">
        <v>457</v>
      </c>
      <c r="B79" s="106" t="s">
        <v>543</v>
      </c>
    </row>
    <row r="80" spans="1:10" x14ac:dyDescent="0.2">
      <c r="A80" s="590" t="s">
        <v>457</v>
      </c>
      <c r="B80" s="106" t="s">
        <v>534</v>
      </c>
    </row>
    <row r="81" spans="1:2" x14ac:dyDescent="0.2">
      <c r="A81" s="590" t="s">
        <v>457</v>
      </c>
      <c r="B81" s="106" t="s">
        <v>539</v>
      </c>
    </row>
    <row r="82" spans="1:2" x14ac:dyDescent="0.2">
      <c r="A82" s="590" t="s">
        <v>457</v>
      </c>
      <c r="B82" s="106" t="s">
        <v>536</v>
      </c>
    </row>
  </sheetData>
  <sortState ref="B79:B82">
    <sortCondition ref="B79"/>
  </sortState>
  <conditionalFormatting sqref="C7:I62">
    <cfRule type="cellIs" dxfId="115" priority="1"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8" max="16383" man="1"/>
    <brk id="6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9"/>
  <sheetViews>
    <sheetView showGridLines="0" showRowColHeaders="0" zoomScaleNormal="100" workbookViewId="0">
      <pane ySplit="2" topLeftCell="A3" activePane="bottomLeft" state="frozen"/>
      <selection activeCell="I1" sqref="I1"/>
      <selection pane="bottomLeft" activeCell="F1" sqref="F1"/>
    </sheetView>
  </sheetViews>
  <sheetFormatPr defaultRowHeight="12.75" x14ac:dyDescent="0.2"/>
  <cols>
    <col min="1" max="1" width="5.5703125" style="148" customWidth="1"/>
    <col min="2" max="2" width="48.140625" style="148" customWidth="1"/>
    <col min="3" max="3" width="7.28515625" style="148" bestFit="1" customWidth="1"/>
    <col min="4" max="4" width="7.42578125" style="148" bestFit="1" customWidth="1"/>
    <col min="5" max="5" width="9.140625" style="148" bestFit="1" customWidth="1"/>
    <col min="6" max="6" width="6.7109375" style="148" customWidth="1"/>
    <col min="7" max="7" width="5.140625" style="148" bestFit="1" customWidth="1"/>
    <col min="8" max="9" width="4.7109375" style="148" customWidth="1"/>
    <col min="10" max="11" width="9.140625" style="148" customWidth="1"/>
    <col min="12" max="13" width="9.140625" style="148"/>
    <col min="14" max="17" width="1.7109375" style="148" customWidth="1"/>
    <col min="18" max="16384" width="9.140625" style="148"/>
  </cols>
  <sheetData>
    <row r="1" spans="1:10" x14ac:dyDescent="0.2">
      <c r="A1" s="138" t="str">
        <f>UPPER((Kalend!D31)&amp;" - "&amp;(Kalend!C31)&amp;" - "&amp;(Kalend!E31))</f>
        <v>9 - EESTI REITINGUVÕISTLUS - TRIO</v>
      </c>
      <c r="D1" s="586" t="str">
        <f>HYPERLINK("#'Üldreiting'!T1","Reiting")</f>
        <v>Reiting</v>
      </c>
    </row>
    <row r="2" spans="1:10" x14ac:dyDescent="0.2">
      <c r="A2" s="148" t="str">
        <f>"Toimumisaeg: "&amp;(Kalend!A31)&amp;" kell "&amp;(Kalend!B31)</f>
        <v>Toimumisaeg: P, 12.03.2017 kell 10:00</v>
      </c>
    </row>
    <row r="3" spans="1:10" x14ac:dyDescent="0.2">
      <c r="A3" s="148" t="str">
        <f>"Toimumiskoht: "&amp;(Kalend!F31)</f>
        <v>Toimumiskoht: Kohtla-Järve</v>
      </c>
    </row>
    <row r="4" spans="1:10" x14ac:dyDescent="0.2">
      <c r="A4" s="148" t="str">
        <f>"Korraldaja: "&amp;(Kalend!G31)</f>
        <v>Korraldaja: EPKL, Ivar Viljaste</v>
      </c>
    </row>
    <row r="6" spans="1:10" s="43" customFormat="1" x14ac:dyDescent="0.2">
      <c r="A6" s="41" t="s">
        <v>179</v>
      </c>
      <c r="B6" s="41"/>
      <c r="C6" s="42" t="s">
        <v>70</v>
      </c>
      <c r="D6" s="42" t="s">
        <v>71</v>
      </c>
      <c r="E6" s="42" t="s">
        <v>72</v>
      </c>
      <c r="F6" s="42" t="s">
        <v>73</v>
      </c>
      <c r="G6" s="42" t="s">
        <v>19</v>
      </c>
    </row>
    <row r="7" spans="1:10" s="43" customFormat="1" x14ac:dyDescent="0.2">
      <c r="A7" s="41">
        <v>1</v>
      </c>
      <c r="B7" s="355" t="s">
        <v>555</v>
      </c>
      <c r="C7" s="45">
        <v>13</v>
      </c>
      <c r="D7" s="45">
        <v>13</v>
      </c>
      <c r="E7" s="45"/>
      <c r="F7" s="45"/>
      <c r="G7" s="232" t="s">
        <v>74</v>
      </c>
      <c r="J7" s="588"/>
    </row>
    <row r="8" spans="1:10" s="43" customFormat="1" x14ac:dyDescent="0.2">
      <c r="A8" s="41">
        <v>2</v>
      </c>
      <c r="B8" s="355" t="s">
        <v>534</v>
      </c>
      <c r="C8" s="45">
        <v>8</v>
      </c>
      <c r="D8" s="45"/>
      <c r="E8" s="45">
        <v>13</v>
      </c>
      <c r="F8" s="45">
        <v>10</v>
      </c>
      <c r="G8" s="232" t="s">
        <v>76</v>
      </c>
      <c r="J8" s="588"/>
    </row>
    <row r="9" spans="1:10" s="43" customFormat="1" x14ac:dyDescent="0.2">
      <c r="A9" s="41">
        <v>3</v>
      </c>
      <c r="B9" s="355" t="s">
        <v>550</v>
      </c>
      <c r="C9" s="45">
        <v>13</v>
      </c>
      <c r="D9" s="45">
        <v>6</v>
      </c>
      <c r="E9" s="45"/>
      <c r="F9" s="45">
        <v>13</v>
      </c>
      <c r="G9" s="232" t="s">
        <v>75</v>
      </c>
      <c r="J9" s="588"/>
    </row>
    <row r="10" spans="1:10" s="43" customFormat="1" x14ac:dyDescent="0.2">
      <c r="A10" s="41">
        <v>4</v>
      </c>
      <c r="B10" s="46"/>
      <c r="C10" s="45">
        <v>0</v>
      </c>
      <c r="D10" s="45"/>
      <c r="E10" s="45">
        <v>0</v>
      </c>
      <c r="F10" s="45"/>
      <c r="G10" s="153"/>
      <c r="J10" s="588"/>
    </row>
    <row r="11" spans="1:10" s="43" customFormat="1" x14ac:dyDescent="0.2">
      <c r="A11" s="47"/>
      <c r="B11" s="48"/>
      <c r="C11" s="50"/>
      <c r="D11" s="50"/>
      <c r="E11" s="50"/>
      <c r="F11" s="50"/>
      <c r="G11" s="51"/>
      <c r="J11" s="588"/>
    </row>
    <row r="12" spans="1:10" s="43" customFormat="1" x14ac:dyDescent="0.2">
      <c r="A12" s="41" t="s">
        <v>180</v>
      </c>
      <c r="B12" s="41"/>
      <c r="C12" s="44" t="s">
        <v>70</v>
      </c>
      <c r="D12" s="44" t="s">
        <v>71</v>
      </c>
      <c r="E12" s="44" t="s">
        <v>72</v>
      </c>
      <c r="F12" s="44" t="s">
        <v>73</v>
      </c>
      <c r="G12" s="42" t="s">
        <v>19</v>
      </c>
      <c r="J12" s="588"/>
    </row>
    <row r="13" spans="1:10" s="43" customFormat="1" x14ac:dyDescent="0.2">
      <c r="A13" s="41">
        <v>1</v>
      </c>
      <c r="B13" s="355" t="s">
        <v>546</v>
      </c>
      <c r="C13" s="45">
        <v>4</v>
      </c>
      <c r="D13" s="45"/>
      <c r="E13" s="45">
        <v>13</v>
      </c>
      <c r="F13" s="45">
        <v>13</v>
      </c>
      <c r="G13" s="232" t="s">
        <v>75</v>
      </c>
      <c r="J13" s="588"/>
    </row>
    <row r="14" spans="1:10" s="43" customFormat="1" x14ac:dyDescent="0.2">
      <c r="A14" s="41">
        <v>2</v>
      </c>
      <c r="B14" s="355" t="s">
        <v>547</v>
      </c>
      <c r="C14" s="45">
        <v>4</v>
      </c>
      <c r="D14" s="45"/>
      <c r="E14" s="45">
        <v>8</v>
      </c>
      <c r="F14" s="45"/>
      <c r="G14" s="232" t="s">
        <v>98</v>
      </c>
      <c r="J14" s="588"/>
    </row>
    <row r="15" spans="1:10" s="43" customFormat="1" x14ac:dyDescent="0.2">
      <c r="A15" s="41">
        <v>3</v>
      </c>
      <c r="B15" s="355" t="s">
        <v>553</v>
      </c>
      <c r="C15" s="45">
        <v>13</v>
      </c>
      <c r="D15" s="45">
        <v>13</v>
      </c>
      <c r="E15" s="45"/>
      <c r="F15" s="45"/>
      <c r="G15" s="232" t="s">
        <v>74</v>
      </c>
      <c r="J15" s="588"/>
    </row>
    <row r="16" spans="1:10" s="43" customFormat="1" x14ac:dyDescent="0.2">
      <c r="A16" s="41">
        <v>4</v>
      </c>
      <c r="B16" s="354" t="s">
        <v>554</v>
      </c>
      <c r="C16" s="45">
        <v>13</v>
      </c>
      <c r="D16" s="45">
        <v>8</v>
      </c>
      <c r="E16" s="45"/>
      <c r="F16" s="45">
        <v>4</v>
      </c>
      <c r="G16" s="232" t="s">
        <v>76</v>
      </c>
      <c r="J16" s="588"/>
    </row>
    <row r="17" spans="1:10" s="43" customFormat="1" x14ac:dyDescent="0.2">
      <c r="A17" s="47"/>
      <c r="B17" s="48"/>
      <c r="C17" s="50"/>
      <c r="D17" s="50"/>
      <c r="E17" s="50"/>
      <c r="F17" s="50"/>
      <c r="G17" s="51"/>
      <c r="J17" s="588"/>
    </row>
    <row r="18" spans="1:10" s="43" customFormat="1" x14ac:dyDescent="0.2">
      <c r="A18" s="41" t="s">
        <v>450</v>
      </c>
      <c r="B18" s="41"/>
      <c r="C18" s="44" t="s">
        <v>70</v>
      </c>
      <c r="D18" s="44" t="s">
        <v>71</v>
      </c>
      <c r="E18" s="44" t="s">
        <v>72</v>
      </c>
      <c r="F18" s="44" t="s">
        <v>73</v>
      </c>
      <c r="G18" s="42" t="s">
        <v>19</v>
      </c>
      <c r="J18" s="588"/>
    </row>
    <row r="19" spans="1:10" s="43" customFormat="1" x14ac:dyDescent="0.2">
      <c r="A19" s="41">
        <v>1</v>
      </c>
      <c r="B19" s="357" t="s">
        <v>545</v>
      </c>
      <c r="C19" s="45">
        <v>13</v>
      </c>
      <c r="D19" s="45">
        <v>13</v>
      </c>
      <c r="E19" s="45"/>
      <c r="F19" s="45"/>
      <c r="G19" s="232" t="s">
        <v>74</v>
      </c>
      <c r="J19" s="588"/>
    </row>
    <row r="20" spans="1:10" s="43" customFormat="1" x14ac:dyDescent="0.2">
      <c r="A20" s="41">
        <v>2</v>
      </c>
      <c r="B20" s="355" t="s">
        <v>549</v>
      </c>
      <c r="C20" s="45">
        <v>13</v>
      </c>
      <c r="D20" s="45">
        <v>6</v>
      </c>
      <c r="E20" s="45"/>
      <c r="F20" s="45">
        <v>13</v>
      </c>
      <c r="G20" s="232" t="s">
        <v>75</v>
      </c>
    </row>
    <row r="21" spans="1:10" s="43" customFormat="1" x14ac:dyDescent="0.2">
      <c r="A21" s="41">
        <v>3</v>
      </c>
      <c r="B21" s="355" t="s">
        <v>552</v>
      </c>
      <c r="C21" s="45">
        <v>7</v>
      </c>
      <c r="D21" s="45"/>
      <c r="E21" s="45">
        <v>13</v>
      </c>
      <c r="F21" s="45">
        <v>3</v>
      </c>
      <c r="G21" s="232" t="s">
        <v>76</v>
      </c>
    </row>
    <row r="22" spans="1:10" s="43" customFormat="1" x14ac:dyDescent="0.2">
      <c r="A22" s="41">
        <v>4</v>
      </c>
      <c r="B22" s="46"/>
      <c r="C22" s="45">
        <v>0</v>
      </c>
      <c r="D22" s="45"/>
      <c r="E22" s="45">
        <v>0</v>
      </c>
      <c r="F22" s="45"/>
      <c r="G22" s="153"/>
    </row>
    <row r="23" spans="1:10" s="43" customFormat="1" x14ac:dyDescent="0.2">
      <c r="A23" s="47"/>
      <c r="B23" s="48"/>
      <c r="C23" s="50"/>
      <c r="D23" s="50"/>
      <c r="E23" s="50"/>
      <c r="F23" s="50"/>
      <c r="G23" s="51"/>
    </row>
    <row r="24" spans="1:10" s="43" customFormat="1" x14ac:dyDescent="0.2">
      <c r="A24" s="41" t="s">
        <v>181</v>
      </c>
      <c r="B24" s="41"/>
      <c r="C24" s="44" t="s">
        <v>70</v>
      </c>
      <c r="D24" s="44" t="s">
        <v>71</v>
      </c>
      <c r="E24" s="44" t="s">
        <v>72</v>
      </c>
      <c r="F24" s="44" t="s">
        <v>73</v>
      </c>
      <c r="G24" s="42" t="s">
        <v>19</v>
      </c>
    </row>
    <row r="25" spans="1:10" s="43" customFormat="1" x14ac:dyDescent="0.2">
      <c r="A25" s="41">
        <v>1</v>
      </c>
      <c r="B25" s="357" t="s">
        <v>343</v>
      </c>
      <c r="C25" s="45">
        <v>13</v>
      </c>
      <c r="D25" s="45">
        <v>7</v>
      </c>
      <c r="E25" s="45"/>
      <c r="F25" s="45">
        <v>5</v>
      </c>
      <c r="G25" s="232" t="s">
        <v>76</v>
      </c>
    </row>
    <row r="26" spans="1:10" s="43" customFormat="1" x14ac:dyDescent="0.2">
      <c r="A26" s="41">
        <v>2</v>
      </c>
      <c r="B26" s="355" t="s">
        <v>548</v>
      </c>
      <c r="C26" s="45">
        <v>3</v>
      </c>
      <c r="D26" s="45"/>
      <c r="E26" s="45">
        <v>13</v>
      </c>
      <c r="F26" s="45">
        <v>13</v>
      </c>
      <c r="G26" s="232" t="s">
        <v>75</v>
      </c>
    </row>
    <row r="27" spans="1:10" s="43" customFormat="1" x14ac:dyDescent="0.2">
      <c r="A27" s="41">
        <v>3</v>
      </c>
      <c r="B27" s="355" t="s">
        <v>551</v>
      </c>
      <c r="C27" s="45">
        <v>13</v>
      </c>
      <c r="D27" s="45">
        <v>13</v>
      </c>
      <c r="E27" s="45"/>
      <c r="F27" s="45"/>
      <c r="G27" s="232" t="s">
        <v>74</v>
      </c>
    </row>
    <row r="28" spans="1:10" s="43" customFormat="1" x14ac:dyDescent="0.2">
      <c r="A28" s="41">
        <v>4</v>
      </c>
      <c r="B28" s="46"/>
      <c r="C28" s="45">
        <v>0</v>
      </c>
      <c r="D28" s="45"/>
      <c r="E28" s="45">
        <v>0</v>
      </c>
      <c r="F28" s="45"/>
      <c r="G28" s="153"/>
    </row>
    <row r="29" spans="1:10" s="43" customFormat="1" x14ac:dyDescent="0.2">
      <c r="A29" s="47"/>
      <c r="B29" s="52"/>
      <c r="C29" s="50"/>
      <c r="D29" s="50"/>
      <c r="E29" s="50"/>
      <c r="F29" s="50"/>
      <c r="G29" s="53"/>
    </row>
    <row r="30" spans="1:10" s="159" customFormat="1" x14ac:dyDescent="0.2">
      <c r="A30" s="62" t="s">
        <v>79</v>
      </c>
    </row>
    <row r="31" spans="1:10" s="159" customFormat="1" x14ac:dyDescent="0.2">
      <c r="A31" s="62"/>
    </row>
    <row r="32" spans="1:10" s="159" customFormat="1" x14ac:dyDescent="0.2">
      <c r="A32" s="85" t="s">
        <v>88</v>
      </c>
      <c r="B32" s="159" t="s">
        <v>545</v>
      </c>
      <c r="C32" s="69">
        <v>13</v>
      </c>
    </row>
    <row r="33" spans="1:11" s="159" customFormat="1" x14ac:dyDescent="0.2">
      <c r="A33" s="129"/>
      <c r="B33" s="65"/>
      <c r="C33" s="67" t="s">
        <v>545</v>
      </c>
      <c r="D33" s="160"/>
      <c r="F33" s="69">
        <v>13</v>
      </c>
    </row>
    <row r="34" spans="1:11" s="159" customFormat="1" x14ac:dyDescent="0.2">
      <c r="A34" s="85" t="s">
        <v>89</v>
      </c>
      <c r="B34" s="158" t="s">
        <v>550</v>
      </c>
      <c r="C34" s="70">
        <v>4</v>
      </c>
      <c r="E34" s="66"/>
    </row>
    <row r="35" spans="1:11" s="159" customFormat="1" x14ac:dyDescent="0.2">
      <c r="A35" s="129"/>
      <c r="D35" s="162"/>
      <c r="E35" s="72"/>
      <c r="F35" s="159" t="s">
        <v>545</v>
      </c>
      <c r="I35" s="69">
        <v>13</v>
      </c>
    </row>
    <row r="36" spans="1:11" s="159" customFormat="1" x14ac:dyDescent="0.2">
      <c r="A36" s="85" t="s">
        <v>84</v>
      </c>
      <c r="B36" s="60" t="s">
        <v>553</v>
      </c>
      <c r="C36" s="149">
        <v>13</v>
      </c>
      <c r="E36" s="72"/>
      <c r="F36" s="65"/>
      <c r="G36" s="65"/>
      <c r="H36" s="66"/>
    </row>
    <row r="37" spans="1:11" s="159" customFormat="1" x14ac:dyDescent="0.2">
      <c r="A37" s="129"/>
      <c r="B37" s="65"/>
      <c r="C37" s="74" t="s">
        <v>553</v>
      </c>
      <c r="E37" s="75"/>
      <c r="F37" s="149">
        <v>2</v>
      </c>
      <c r="G37" s="162"/>
      <c r="H37" s="72"/>
    </row>
    <row r="38" spans="1:11" s="159" customFormat="1" x14ac:dyDescent="0.2">
      <c r="A38" s="85" t="s">
        <v>86</v>
      </c>
      <c r="B38" s="158" t="s">
        <v>548</v>
      </c>
      <c r="C38" s="82">
        <v>12</v>
      </c>
      <c r="D38" s="65"/>
      <c r="F38" s="162"/>
      <c r="G38" s="162"/>
      <c r="H38" s="72"/>
    </row>
    <row r="39" spans="1:11" s="159" customFormat="1" ht="13.5" thickBot="1" x14ac:dyDescent="0.25">
      <c r="A39" s="129"/>
      <c r="F39" s="162"/>
      <c r="G39" s="162"/>
      <c r="H39" s="72"/>
      <c r="J39" s="159" t="s">
        <v>545</v>
      </c>
    </row>
    <row r="40" spans="1:11" s="159" customFormat="1" x14ac:dyDescent="0.2">
      <c r="A40" s="85" t="s">
        <v>82</v>
      </c>
      <c r="B40" s="159" t="s">
        <v>555</v>
      </c>
      <c r="C40" s="69">
        <v>2</v>
      </c>
      <c r="F40" s="162"/>
      <c r="G40" s="162"/>
      <c r="H40" s="72"/>
      <c r="I40" s="76"/>
      <c r="J40" s="77" t="s">
        <v>85</v>
      </c>
      <c r="K40" s="78"/>
    </row>
    <row r="41" spans="1:11" s="159" customFormat="1" x14ac:dyDescent="0.2">
      <c r="A41" s="129"/>
      <c r="B41" s="65"/>
      <c r="C41" s="67" t="s">
        <v>546</v>
      </c>
      <c r="D41" s="160"/>
      <c r="F41" s="149">
        <v>13</v>
      </c>
      <c r="G41" s="162"/>
      <c r="H41" s="72"/>
    </row>
    <row r="42" spans="1:11" s="159" customFormat="1" ht="13.5" thickBot="1" x14ac:dyDescent="0.25">
      <c r="A42" s="85" t="s">
        <v>81</v>
      </c>
      <c r="B42" s="160" t="s">
        <v>546</v>
      </c>
      <c r="C42" s="70">
        <v>13</v>
      </c>
      <c r="E42" s="66"/>
      <c r="F42" s="162"/>
      <c r="G42" s="162"/>
      <c r="H42" s="72"/>
      <c r="J42" s="161" t="s">
        <v>546</v>
      </c>
      <c r="K42" s="161"/>
    </row>
    <row r="43" spans="1:11" s="159" customFormat="1" x14ac:dyDescent="0.2">
      <c r="A43" s="129"/>
      <c r="D43" s="162"/>
      <c r="E43" s="72"/>
      <c r="F43" s="160" t="s">
        <v>546</v>
      </c>
      <c r="G43" s="160"/>
      <c r="H43" s="75"/>
      <c r="I43" s="69">
        <v>0</v>
      </c>
      <c r="J43" s="77" t="s">
        <v>87</v>
      </c>
    </row>
    <row r="44" spans="1:11" s="159" customFormat="1" x14ac:dyDescent="0.2">
      <c r="A44" s="85" t="s">
        <v>80</v>
      </c>
      <c r="B44" s="159" t="s">
        <v>551</v>
      </c>
      <c r="C44" s="149">
        <v>4</v>
      </c>
      <c r="E44" s="72"/>
    </row>
    <row r="45" spans="1:11" s="159" customFormat="1" x14ac:dyDescent="0.2">
      <c r="A45" s="129"/>
      <c r="B45" s="65"/>
      <c r="C45" s="74" t="s">
        <v>549</v>
      </c>
      <c r="E45" s="75"/>
      <c r="F45" s="69">
        <v>3</v>
      </c>
    </row>
    <row r="46" spans="1:11" s="159" customFormat="1" x14ac:dyDescent="0.2">
      <c r="A46" s="85" t="s">
        <v>83</v>
      </c>
      <c r="B46" s="160" t="s">
        <v>549</v>
      </c>
      <c r="C46" s="82">
        <v>13</v>
      </c>
      <c r="D46" s="65"/>
    </row>
    <row r="47" spans="1:11" s="159" customFormat="1" x14ac:dyDescent="0.2">
      <c r="F47" s="159" t="s">
        <v>553</v>
      </c>
      <c r="I47" s="149">
        <v>4</v>
      </c>
      <c r="J47" s="162"/>
      <c r="K47" s="162"/>
    </row>
    <row r="48" spans="1:11" s="159" customFormat="1" ht="13.5" thickBot="1" x14ac:dyDescent="0.25">
      <c r="F48" s="65"/>
      <c r="G48" s="65"/>
      <c r="H48" s="66"/>
      <c r="I48" s="161"/>
      <c r="J48" s="161" t="s">
        <v>549</v>
      </c>
      <c r="K48" s="161"/>
    </row>
    <row r="49" spans="3:11" s="159" customFormat="1" x14ac:dyDescent="0.2">
      <c r="F49" s="160" t="s">
        <v>549</v>
      </c>
      <c r="G49" s="160"/>
      <c r="H49" s="75"/>
      <c r="I49" s="69">
        <v>13</v>
      </c>
      <c r="J49" s="81" t="s">
        <v>90</v>
      </c>
      <c r="K49" s="162"/>
    </row>
    <row r="50" spans="3:11" s="159" customFormat="1" x14ac:dyDescent="0.2">
      <c r="J50" s="162"/>
      <c r="K50" s="162"/>
    </row>
    <row r="51" spans="3:11" s="159" customFormat="1" ht="13.5" thickBot="1" x14ac:dyDescent="0.25">
      <c r="G51" s="162"/>
      <c r="H51" s="162"/>
      <c r="J51" s="161" t="s">
        <v>553</v>
      </c>
      <c r="K51" s="161"/>
    </row>
    <row r="52" spans="3:11" s="159" customFormat="1" x14ac:dyDescent="0.2">
      <c r="C52" s="159" t="s">
        <v>550</v>
      </c>
      <c r="F52" s="69">
        <v>12</v>
      </c>
      <c r="J52" s="64" t="s">
        <v>91</v>
      </c>
    </row>
    <row r="53" spans="3:11" s="159" customFormat="1" x14ac:dyDescent="0.2">
      <c r="C53" s="65"/>
      <c r="D53" s="65"/>
      <c r="E53" s="66"/>
      <c r="F53" s="67" t="s">
        <v>548</v>
      </c>
      <c r="G53" s="160"/>
      <c r="H53" s="160"/>
      <c r="I53" s="69">
        <v>13</v>
      </c>
    </row>
    <row r="54" spans="3:11" s="159" customFormat="1" x14ac:dyDescent="0.2">
      <c r="C54" s="160" t="s">
        <v>548</v>
      </c>
      <c r="D54" s="160"/>
      <c r="E54" s="75"/>
      <c r="F54" s="70">
        <v>13</v>
      </c>
      <c r="H54" s="72"/>
    </row>
    <row r="55" spans="3:11" s="159" customFormat="1" ht="13.5" thickBot="1" x14ac:dyDescent="0.25">
      <c r="F55" s="162"/>
      <c r="H55" s="72"/>
      <c r="J55" s="587" t="s">
        <v>548</v>
      </c>
    </row>
    <row r="56" spans="3:11" s="159" customFormat="1" x14ac:dyDescent="0.2">
      <c r="C56" s="159" t="s">
        <v>555</v>
      </c>
      <c r="F56" s="149">
        <v>13</v>
      </c>
      <c r="H56" s="72"/>
      <c r="I56" s="76"/>
      <c r="J56" s="77" t="s">
        <v>92</v>
      </c>
      <c r="K56" s="78"/>
    </row>
    <row r="57" spans="3:11" s="159" customFormat="1" x14ac:dyDescent="0.2">
      <c r="C57" s="65"/>
      <c r="D57" s="65"/>
      <c r="E57" s="66"/>
      <c r="F57" s="74" t="s">
        <v>555</v>
      </c>
      <c r="H57" s="75"/>
      <c r="I57" s="149">
        <v>3</v>
      </c>
    </row>
    <row r="58" spans="3:11" s="159" customFormat="1" ht="13.5" thickBot="1" x14ac:dyDescent="0.25">
      <c r="C58" s="160" t="s">
        <v>551</v>
      </c>
      <c r="D58" s="160"/>
      <c r="E58" s="75"/>
      <c r="F58" s="82">
        <v>5</v>
      </c>
      <c r="G58" s="65"/>
      <c r="I58" s="162"/>
      <c r="J58" s="162" t="s">
        <v>555</v>
      </c>
      <c r="K58" s="161"/>
    </row>
    <row r="59" spans="3:11" s="159" customFormat="1" x14ac:dyDescent="0.2">
      <c r="I59" s="162"/>
      <c r="J59" s="77" t="s">
        <v>93</v>
      </c>
      <c r="K59" s="162"/>
    </row>
    <row r="60" spans="3:11" s="159" customFormat="1" x14ac:dyDescent="0.2">
      <c r="F60" s="159" t="s">
        <v>550</v>
      </c>
      <c r="I60" s="149">
        <v>13</v>
      </c>
      <c r="J60" s="162"/>
      <c r="K60" s="162"/>
    </row>
    <row r="61" spans="3:11" s="159" customFormat="1" ht="13.5" thickBot="1" x14ac:dyDescent="0.25">
      <c r="F61" s="65"/>
      <c r="G61" s="65"/>
      <c r="H61" s="66"/>
      <c r="I61" s="161"/>
      <c r="J61" s="161" t="s">
        <v>550</v>
      </c>
      <c r="K61" s="161"/>
    </row>
    <row r="62" spans="3:11" s="159" customFormat="1" x14ac:dyDescent="0.2">
      <c r="F62" s="160" t="s">
        <v>551</v>
      </c>
      <c r="G62" s="160"/>
      <c r="H62" s="75"/>
      <c r="I62" s="69">
        <v>0</v>
      </c>
      <c r="J62" s="81" t="s">
        <v>94</v>
      </c>
      <c r="K62" s="162"/>
    </row>
    <row r="63" spans="3:11" s="159" customFormat="1" x14ac:dyDescent="0.2">
      <c r="J63" s="162"/>
      <c r="K63" s="162"/>
    </row>
    <row r="64" spans="3:11" s="159" customFormat="1" ht="13.5" thickBot="1" x14ac:dyDescent="0.25">
      <c r="G64" s="162"/>
      <c r="H64" s="162"/>
      <c r="J64" s="161" t="s">
        <v>551</v>
      </c>
      <c r="K64" s="161"/>
    </row>
    <row r="65" spans="1:10" s="159" customFormat="1" x14ac:dyDescent="0.2">
      <c r="G65" s="162"/>
      <c r="H65" s="162"/>
      <c r="J65" s="64" t="s">
        <v>95</v>
      </c>
    </row>
    <row r="66" spans="1:10" s="159" customFormat="1" x14ac:dyDescent="0.2"/>
    <row r="67" spans="1:10" x14ac:dyDescent="0.2">
      <c r="A67" s="101">
        <v>1</v>
      </c>
      <c r="B67" s="102" t="s">
        <v>545</v>
      </c>
    </row>
    <row r="68" spans="1:10" x14ac:dyDescent="0.2">
      <c r="A68" s="101">
        <v>2</v>
      </c>
      <c r="B68" s="424" t="s">
        <v>546</v>
      </c>
    </row>
    <row r="69" spans="1:10" x14ac:dyDescent="0.2">
      <c r="A69" s="101">
        <v>3</v>
      </c>
      <c r="B69" s="591" t="s">
        <v>549</v>
      </c>
    </row>
    <row r="70" spans="1:10" x14ac:dyDescent="0.2">
      <c r="A70" s="101">
        <v>4</v>
      </c>
      <c r="B70" s="105" t="s">
        <v>553</v>
      </c>
    </row>
    <row r="71" spans="1:10" x14ac:dyDescent="0.2">
      <c r="A71" s="101">
        <v>5</v>
      </c>
      <c r="B71" s="105" t="s">
        <v>548</v>
      </c>
    </row>
    <row r="72" spans="1:10" x14ac:dyDescent="0.2">
      <c r="A72" s="101">
        <v>6</v>
      </c>
      <c r="B72" s="105" t="s">
        <v>555</v>
      </c>
    </row>
    <row r="73" spans="1:10" x14ac:dyDescent="0.2">
      <c r="A73" s="101">
        <v>7</v>
      </c>
      <c r="B73" s="105" t="s">
        <v>550</v>
      </c>
    </row>
    <row r="74" spans="1:10" x14ac:dyDescent="0.2">
      <c r="A74" s="101">
        <v>8</v>
      </c>
      <c r="B74" s="105" t="s">
        <v>551</v>
      </c>
    </row>
    <row r="75" spans="1:10" x14ac:dyDescent="0.2">
      <c r="A75" s="112" t="s">
        <v>120</v>
      </c>
      <c r="B75" s="106" t="s">
        <v>534</v>
      </c>
    </row>
    <row r="76" spans="1:10" x14ac:dyDescent="0.2">
      <c r="A76" s="112" t="s">
        <v>120</v>
      </c>
      <c r="B76" s="106" t="s">
        <v>554</v>
      </c>
    </row>
    <row r="77" spans="1:10" x14ac:dyDescent="0.2">
      <c r="A77" s="112" t="s">
        <v>120</v>
      </c>
      <c r="B77" s="106" t="s">
        <v>343</v>
      </c>
    </row>
    <row r="78" spans="1:10" x14ac:dyDescent="0.2">
      <c r="A78" s="112" t="s">
        <v>120</v>
      </c>
      <c r="B78" s="107" t="s">
        <v>552</v>
      </c>
    </row>
    <row r="79" spans="1:10" x14ac:dyDescent="0.2">
      <c r="A79" s="585">
        <v>13</v>
      </c>
      <c r="B79" s="106" t="s">
        <v>547</v>
      </c>
    </row>
  </sheetData>
  <sortState ref="B75:B78">
    <sortCondition ref="B75"/>
  </sortState>
  <conditionalFormatting sqref="C7:I62">
    <cfRule type="cellIs" dxfId="114" priority="1"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2" manualBreakCount="2">
    <brk id="28" max="16383" man="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04"/>
  <sheetViews>
    <sheetView showGridLines="0" showRowColHeaders="0" zoomScaleNormal="100" workbookViewId="0">
      <pane ySplit="2" topLeftCell="A3" activePane="bottomLeft" state="frozen"/>
      <selection activeCell="I1" sqref="I1"/>
      <selection pane="bottomLeft" activeCell="H1" sqref="H1"/>
    </sheetView>
  </sheetViews>
  <sheetFormatPr defaultRowHeight="12.75" x14ac:dyDescent="0.2"/>
  <cols>
    <col min="1" max="1" width="5.5703125" style="40" customWidth="1"/>
    <col min="2" max="2" width="30.140625" style="40" customWidth="1"/>
    <col min="3" max="3" width="7.28515625" style="40" customWidth="1"/>
    <col min="4" max="4" width="7.42578125" style="40" bestFit="1" customWidth="1"/>
    <col min="5" max="5" width="9.140625" style="40" bestFit="1" customWidth="1"/>
    <col min="6" max="6" width="6.7109375" style="40" bestFit="1" customWidth="1"/>
    <col min="7" max="7" width="5.140625" style="40" bestFit="1" customWidth="1"/>
    <col min="8" max="8" width="3.7109375" style="40" customWidth="1"/>
    <col min="9" max="9" width="3" style="40" customWidth="1"/>
    <col min="10" max="10" width="30.140625" style="147" customWidth="1"/>
    <col min="11" max="11" width="7.28515625" style="40" bestFit="1" customWidth="1"/>
    <col min="12" max="12" width="7.42578125" style="40" bestFit="1" customWidth="1"/>
    <col min="13" max="13" width="9.140625" style="40"/>
    <col min="14" max="14" width="6.7109375" style="40" bestFit="1" customWidth="1"/>
    <col min="15" max="15" width="5.140625" style="40" bestFit="1" customWidth="1"/>
    <col min="16" max="16384" width="9.140625" style="40"/>
  </cols>
  <sheetData>
    <row r="1" spans="1:15" x14ac:dyDescent="0.2">
      <c r="A1" s="138" t="str">
        <f>UPPER((Kalend!D32)&amp;" - "&amp;(Kalend!C32)&amp;" - "&amp;(Kalend!E32))</f>
        <v>10 - EESTI REITINGUVÕISTLUS - DUO</v>
      </c>
      <c r="F1" s="61" t="str">
        <f>HYPERLINK("#'Üldreiting'!T1","Reiting")</f>
        <v>Reiting</v>
      </c>
    </row>
    <row r="2" spans="1:15" x14ac:dyDescent="0.2">
      <c r="A2" s="148" t="str">
        <f>"Toimumisaeg: "&amp;(Kalend!A32)&amp;" kell "&amp;(Kalend!B32)</f>
        <v>Toimumisaeg: L, 25.03.2017 kell 10:00</v>
      </c>
    </row>
    <row r="3" spans="1:15" x14ac:dyDescent="0.2">
      <c r="A3" s="148" t="str">
        <f>"Toimumiskoht: "&amp;(Kalend!F32)</f>
        <v>Toimumiskoht: Tallinn, Algi 38</v>
      </c>
    </row>
    <row r="4" spans="1:15" x14ac:dyDescent="0.2">
      <c r="A4" s="148" t="str">
        <f>"Korraldaja: "&amp;(Kalend!G32)</f>
        <v>Korraldaja: EPKL</v>
      </c>
      <c r="G4" s="628" t="s">
        <v>687</v>
      </c>
    </row>
    <row r="6" spans="1:15" s="43" customFormat="1" x14ac:dyDescent="0.2">
      <c r="A6" s="283" t="s">
        <v>179</v>
      </c>
      <c r="B6" s="284"/>
      <c r="C6" s="42" t="s">
        <v>70</v>
      </c>
      <c r="D6" s="42" t="s">
        <v>71</v>
      </c>
      <c r="E6" s="42" t="s">
        <v>72</v>
      </c>
      <c r="F6" s="42" t="s">
        <v>73</v>
      </c>
      <c r="G6" s="42" t="s">
        <v>19</v>
      </c>
      <c r="I6" s="283" t="s">
        <v>182</v>
      </c>
      <c r="J6" s="284"/>
      <c r="K6" s="42" t="s">
        <v>70</v>
      </c>
      <c r="L6" s="42" t="s">
        <v>71</v>
      </c>
      <c r="M6" s="42" t="s">
        <v>72</v>
      </c>
      <c r="N6" s="42" t="s">
        <v>73</v>
      </c>
      <c r="O6" s="42" t="s">
        <v>19</v>
      </c>
    </row>
    <row r="7" spans="1:15" s="43" customFormat="1" x14ac:dyDescent="0.2">
      <c r="A7" s="41">
        <v>1</v>
      </c>
      <c r="B7" s="355" t="s">
        <v>566</v>
      </c>
      <c r="C7" s="45">
        <v>13</v>
      </c>
      <c r="D7" s="45">
        <v>0</v>
      </c>
      <c r="E7" s="45"/>
      <c r="F7" s="45">
        <v>13</v>
      </c>
      <c r="G7" s="232" t="s">
        <v>75</v>
      </c>
      <c r="I7" s="41">
        <v>1</v>
      </c>
      <c r="J7" s="356" t="s">
        <v>573</v>
      </c>
      <c r="K7" s="45">
        <v>13</v>
      </c>
      <c r="L7" s="45">
        <v>13</v>
      </c>
      <c r="M7" s="45"/>
      <c r="N7" s="45"/>
      <c r="O7" s="232" t="s">
        <v>74</v>
      </c>
    </row>
    <row r="8" spans="1:15" s="43" customFormat="1" x14ac:dyDescent="0.2">
      <c r="A8" s="41">
        <v>2</v>
      </c>
      <c r="B8" s="226" t="s">
        <v>123</v>
      </c>
      <c r="C8" s="45">
        <v>13</v>
      </c>
      <c r="D8" s="45">
        <v>13</v>
      </c>
      <c r="E8" s="44"/>
      <c r="F8" s="45"/>
      <c r="G8" s="232" t="s">
        <v>74</v>
      </c>
      <c r="I8" s="41">
        <v>2</v>
      </c>
      <c r="J8" s="226" t="s">
        <v>326</v>
      </c>
      <c r="K8" s="45">
        <v>13</v>
      </c>
      <c r="L8" s="45">
        <v>11</v>
      </c>
      <c r="M8" s="45"/>
      <c r="N8" s="45">
        <v>9</v>
      </c>
      <c r="O8" s="232" t="s">
        <v>76</v>
      </c>
    </row>
    <row r="9" spans="1:15" s="43" customFormat="1" x14ac:dyDescent="0.2">
      <c r="A9" s="41">
        <v>3</v>
      </c>
      <c r="B9" s="226" t="s">
        <v>567</v>
      </c>
      <c r="C9" s="45">
        <v>5</v>
      </c>
      <c r="D9" s="45"/>
      <c r="E9" s="45">
        <v>11</v>
      </c>
      <c r="F9" s="45"/>
      <c r="G9" s="232" t="s">
        <v>98</v>
      </c>
      <c r="I9" s="41">
        <v>3</v>
      </c>
      <c r="J9" s="356" t="s">
        <v>574</v>
      </c>
      <c r="K9" s="45">
        <v>5</v>
      </c>
      <c r="L9" s="45"/>
      <c r="M9" s="45">
        <v>13</v>
      </c>
      <c r="N9" s="45">
        <v>13</v>
      </c>
      <c r="O9" s="232" t="s">
        <v>75</v>
      </c>
    </row>
    <row r="10" spans="1:15" s="43" customFormat="1" x14ac:dyDescent="0.2">
      <c r="A10" s="41">
        <v>4</v>
      </c>
      <c r="B10" s="228" t="s">
        <v>578</v>
      </c>
      <c r="C10" s="45">
        <v>2</v>
      </c>
      <c r="D10" s="45"/>
      <c r="E10" s="45">
        <v>13</v>
      </c>
      <c r="F10" s="45">
        <v>6</v>
      </c>
      <c r="G10" s="232" t="s">
        <v>76</v>
      </c>
      <c r="I10" s="41">
        <v>4</v>
      </c>
      <c r="J10" s="108"/>
      <c r="K10" s="45">
        <v>0</v>
      </c>
      <c r="L10" s="45"/>
      <c r="M10" s="45">
        <v>0</v>
      </c>
      <c r="N10" s="45"/>
      <c r="O10" s="153"/>
    </row>
    <row r="11" spans="1:15" s="43" customFormat="1" x14ac:dyDescent="0.2">
      <c r="A11" s="47"/>
      <c r="B11" s="110"/>
      <c r="C11" s="49"/>
      <c r="D11" s="49"/>
      <c r="E11" s="49"/>
      <c r="F11" s="50"/>
      <c r="G11" s="51"/>
    </row>
    <row r="12" spans="1:15" s="43" customFormat="1" x14ac:dyDescent="0.2">
      <c r="A12" s="283" t="s">
        <v>350</v>
      </c>
      <c r="B12" s="284"/>
      <c r="C12" s="42" t="s">
        <v>70</v>
      </c>
      <c r="D12" s="42" t="s">
        <v>71</v>
      </c>
      <c r="E12" s="42" t="s">
        <v>72</v>
      </c>
      <c r="F12" s="42" t="s">
        <v>73</v>
      </c>
      <c r="G12" s="42" t="s">
        <v>19</v>
      </c>
      <c r="I12" s="283" t="s">
        <v>564</v>
      </c>
      <c r="J12" s="284"/>
      <c r="K12" s="42" t="s">
        <v>70</v>
      </c>
      <c r="L12" s="42" t="s">
        <v>71</v>
      </c>
      <c r="M12" s="42" t="s">
        <v>72</v>
      </c>
      <c r="N12" s="42" t="s">
        <v>73</v>
      </c>
      <c r="O12" s="42" t="s">
        <v>19</v>
      </c>
    </row>
    <row r="13" spans="1:15" s="43" customFormat="1" x14ac:dyDescent="0.2">
      <c r="A13" s="41">
        <v>1</v>
      </c>
      <c r="B13" s="226" t="s">
        <v>568</v>
      </c>
      <c r="C13" s="45">
        <v>13</v>
      </c>
      <c r="D13" s="45">
        <v>13</v>
      </c>
      <c r="E13" s="45"/>
      <c r="F13" s="45"/>
      <c r="G13" s="232" t="s">
        <v>74</v>
      </c>
      <c r="I13" s="41">
        <v>1</v>
      </c>
      <c r="J13" s="356" t="s">
        <v>330</v>
      </c>
      <c r="K13" s="45">
        <v>13</v>
      </c>
      <c r="L13" s="45">
        <v>13</v>
      </c>
      <c r="M13" s="45"/>
      <c r="N13" s="45"/>
      <c r="O13" s="232" t="s">
        <v>74</v>
      </c>
    </row>
    <row r="14" spans="1:15" s="43" customFormat="1" x14ac:dyDescent="0.2">
      <c r="A14" s="41">
        <v>2</v>
      </c>
      <c r="B14" s="226" t="s">
        <v>97</v>
      </c>
      <c r="C14" s="44">
        <v>9</v>
      </c>
      <c r="D14" s="45">
        <v>3</v>
      </c>
      <c r="E14" s="45"/>
      <c r="F14" s="45">
        <v>13</v>
      </c>
      <c r="G14" s="232" t="s">
        <v>75</v>
      </c>
      <c r="I14" s="41">
        <v>2</v>
      </c>
      <c r="J14" s="226" t="s">
        <v>575</v>
      </c>
      <c r="K14" s="45">
        <v>13</v>
      </c>
      <c r="L14" s="45">
        <v>7</v>
      </c>
      <c r="M14" s="45"/>
      <c r="N14" s="45">
        <v>12</v>
      </c>
      <c r="O14" s="232" t="s">
        <v>76</v>
      </c>
    </row>
    <row r="15" spans="1:15" s="43" customFormat="1" x14ac:dyDescent="0.2">
      <c r="A15" s="41">
        <v>3</v>
      </c>
      <c r="B15" s="226" t="s">
        <v>332</v>
      </c>
      <c r="C15" s="45">
        <v>5</v>
      </c>
      <c r="D15" s="45"/>
      <c r="E15" s="45">
        <v>13</v>
      </c>
      <c r="F15" s="45">
        <v>12</v>
      </c>
      <c r="G15" s="232" t="s">
        <v>76</v>
      </c>
      <c r="I15" s="41">
        <v>3</v>
      </c>
      <c r="J15" s="226" t="s">
        <v>576</v>
      </c>
      <c r="K15" s="45">
        <v>9</v>
      </c>
      <c r="L15" s="45"/>
      <c r="M15" s="45">
        <v>13</v>
      </c>
      <c r="N15" s="45">
        <v>13</v>
      </c>
      <c r="O15" s="232" t="s">
        <v>75</v>
      </c>
    </row>
    <row r="16" spans="1:15" s="43" customFormat="1" x14ac:dyDescent="0.2">
      <c r="A16" s="41">
        <v>4</v>
      </c>
      <c r="B16" s="154"/>
      <c r="C16" s="45">
        <v>0</v>
      </c>
      <c r="D16" s="45"/>
      <c r="E16" s="45">
        <v>0</v>
      </c>
      <c r="F16" s="45"/>
      <c r="G16" s="232"/>
      <c r="I16" s="41">
        <v>4</v>
      </c>
      <c r="J16" s="108"/>
      <c r="K16" s="45">
        <v>0</v>
      </c>
      <c r="L16" s="45"/>
      <c r="M16" s="45">
        <v>0</v>
      </c>
      <c r="N16" s="45"/>
      <c r="O16" s="232"/>
    </row>
    <row r="17" spans="1:15" s="43" customFormat="1" x14ac:dyDescent="0.2">
      <c r="A17" s="47"/>
      <c r="B17" s="110"/>
      <c r="C17" s="49"/>
      <c r="D17" s="49"/>
      <c r="E17" s="49"/>
      <c r="F17" s="50"/>
      <c r="G17" s="51"/>
    </row>
    <row r="18" spans="1:15" s="43" customFormat="1" x14ac:dyDescent="0.2">
      <c r="A18" s="283" t="s">
        <v>351</v>
      </c>
      <c r="B18" s="284"/>
      <c r="C18" s="42" t="s">
        <v>70</v>
      </c>
      <c r="D18" s="42" t="s">
        <v>71</v>
      </c>
      <c r="E18" s="42" t="s">
        <v>72</v>
      </c>
      <c r="F18" s="42" t="s">
        <v>73</v>
      </c>
      <c r="G18" s="42" t="s">
        <v>19</v>
      </c>
      <c r="I18" s="283" t="s">
        <v>565</v>
      </c>
      <c r="J18" s="284"/>
      <c r="K18" s="42" t="s">
        <v>70</v>
      </c>
      <c r="L18" s="42" t="s">
        <v>71</v>
      </c>
      <c r="M18" s="42" t="s">
        <v>72</v>
      </c>
      <c r="N18" s="42" t="s">
        <v>73</v>
      </c>
      <c r="O18" s="42" t="s">
        <v>19</v>
      </c>
    </row>
    <row r="19" spans="1:15" s="43" customFormat="1" x14ac:dyDescent="0.2">
      <c r="A19" s="41">
        <v>1</v>
      </c>
      <c r="B19" s="595" t="s">
        <v>569</v>
      </c>
      <c r="C19" s="45">
        <v>13</v>
      </c>
      <c r="D19" s="45">
        <v>13</v>
      </c>
      <c r="E19" s="45"/>
      <c r="F19" s="45"/>
      <c r="G19" s="232" t="s">
        <v>74</v>
      </c>
      <c r="I19" s="41">
        <v>1</v>
      </c>
      <c r="J19" s="356" t="s">
        <v>577</v>
      </c>
      <c r="K19" s="45">
        <v>13</v>
      </c>
      <c r="L19" s="45">
        <v>9</v>
      </c>
      <c r="M19" s="45"/>
      <c r="N19" s="45">
        <v>4</v>
      </c>
      <c r="O19" s="232" t="s">
        <v>76</v>
      </c>
    </row>
    <row r="20" spans="1:15" s="43" customFormat="1" x14ac:dyDescent="0.2">
      <c r="A20" s="41">
        <v>2</v>
      </c>
      <c r="B20" s="226" t="s">
        <v>570</v>
      </c>
      <c r="C20" s="45">
        <v>13</v>
      </c>
      <c r="D20" s="45">
        <v>0</v>
      </c>
      <c r="E20" s="45"/>
      <c r="F20" s="45">
        <v>10</v>
      </c>
      <c r="G20" s="232" t="s">
        <v>76</v>
      </c>
      <c r="I20" s="41">
        <v>2</v>
      </c>
      <c r="J20" s="226" t="s">
        <v>331</v>
      </c>
      <c r="K20" s="45">
        <v>12</v>
      </c>
      <c r="L20" s="45"/>
      <c r="M20" s="45">
        <v>13</v>
      </c>
      <c r="N20" s="45">
        <v>13</v>
      </c>
      <c r="O20" s="232" t="s">
        <v>75</v>
      </c>
    </row>
    <row r="21" spans="1:15" s="43" customFormat="1" x14ac:dyDescent="0.2">
      <c r="A21" s="41">
        <v>3</v>
      </c>
      <c r="B21" s="226" t="s">
        <v>329</v>
      </c>
      <c r="C21" s="45">
        <v>3</v>
      </c>
      <c r="D21" s="45"/>
      <c r="E21" s="45">
        <v>13</v>
      </c>
      <c r="F21" s="44">
        <v>12</v>
      </c>
      <c r="G21" s="232" t="s">
        <v>75</v>
      </c>
      <c r="I21" s="41">
        <v>3</v>
      </c>
      <c r="J21" s="226" t="s">
        <v>113</v>
      </c>
      <c r="K21" s="45">
        <v>13</v>
      </c>
      <c r="L21" s="45">
        <v>13</v>
      </c>
      <c r="M21" s="45"/>
      <c r="N21" s="45"/>
      <c r="O21" s="232" t="s">
        <v>74</v>
      </c>
    </row>
    <row r="22" spans="1:15" s="43" customFormat="1" x14ac:dyDescent="0.2">
      <c r="A22" s="41">
        <v>4</v>
      </c>
      <c r="B22" s="226" t="s">
        <v>571</v>
      </c>
      <c r="C22" s="45">
        <v>8</v>
      </c>
      <c r="D22" s="45"/>
      <c r="E22" s="45">
        <v>5</v>
      </c>
      <c r="F22" s="45"/>
      <c r="G22" s="232" t="s">
        <v>98</v>
      </c>
      <c r="I22" s="41">
        <v>4</v>
      </c>
      <c r="J22" s="108"/>
      <c r="K22" s="45">
        <v>0</v>
      </c>
      <c r="L22" s="45"/>
      <c r="M22" s="45">
        <v>0</v>
      </c>
      <c r="N22" s="45"/>
      <c r="O22" s="232"/>
    </row>
    <row r="23" spans="1:15" s="43" customFormat="1" x14ac:dyDescent="0.2">
      <c r="A23" s="47"/>
      <c r="B23" s="110"/>
      <c r="C23" s="49"/>
      <c r="D23" s="49"/>
      <c r="E23" s="49"/>
      <c r="F23" s="50"/>
      <c r="G23" s="51"/>
    </row>
    <row r="24" spans="1:15" s="43" customFormat="1" x14ac:dyDescent="0.2">
      <c r="A24" s="283" t="s">
        <v>181</v>
      </c>
      <c r="B24" s="284"/>
      <c r="C24" s="42" t="s">
        <v>70</v>
      </c>
      <c r="D24" s="42" t="s">
        <v>71</v>
      </c>
      <c r="E24" s="42" t="s">
        <v>72</v>
      </c>
      <c r="F24" s="42" t="s">
        <v>73</v>
      </c>
      <c r="G24" s="42" t="s">
        <v>19</v>
      </c>
    </row>
    <row r="25" spans="1:15" s="43" customFormat="1" x14ac:dyDescent="0.2">
      <c r="A25" s="41">
        <v>1</v>
      </c>
      <c r="B25" s="356" t="s">
        <v>111</v>
      </c>
      <c r="C25" s="45">
        <v>13</v>
      </c>
      <c r="D25" s="45">
        <v>7</v>
      </c>
      <c r="E25" s="45"/>
      <c r="F25" s="45">
        <v>13</v>
      </c>
      <c r="G25" s="232" t="s">
        <v>75</v>
      </c>
    </row>
    <row r="26" spans="1:15" s="43" customFormat="1" x14ac:dyDescent="0.2">
      <c r="A26" s="41">
        <v>2</v>
      </c>
      <c r="B26" s="226" t="s">
        <v>572</v>
      </c>
      <c r="C26" s="45">
        <v>13</v>
      </c>
      <c r="D26" s="45">
        <v>13</v>
      </c>
      <c r="E26" s="45"/>
      <c r="F26" s="45"/>
      <c r="G26" s="232" t="s">
        <v>74</v>
      </c>
    </row>
    <row r="27" spans="1:15" s="43" customFormat="1" x14ac:dyDescent="0.2">
      <c r="A27" s="41">
        <v>3</v>
      </c>
      <c r="B27" s="226" t="s">
        <v>112</v>
      </c>
      <c r="C27" s="45">
        <v>0</v>
      </c>
      <c r="D27" s="45"/>
      <c r="E27" s="45">
        <v>13</v>
      </c>
      <c r="F27" s="45">
        <v>4</v>
      </c>
      <c r="G27" s="232" t="s">
        <v>76</v>
      </c>
    </row>
    <row r="28" spans="1:15" s="43" customFormat="1" x14ac:dyDescent="0.2">
      <c r="A28" s="41">
        <v>4</v>
      </c>
      <c r="B28" s="226"/>
      <c r="C28" s="45">
        <v>0</v>
      </c>
      <c r="D28" s="45"/>
      <c r="E28" s="45">
        <v>0</v>
      </c>
      <c r="F28" s="45"/>
      <c r="G28" s="232"/>
    </row>
    <row r="29" spans="1:15" s="43" customFormat="1" x14ac:dyDescent="0.2">
      <c r="K29" s="50"/>
      <c r="L29" s="50"/>
      <c r="M29" s="50"/>
      <c r="N29" s="50"/>
      <c r="O29" s="53"/>
    </row>
    <row r="30" spans="1:15" s="83" customFormat="1" x14ac:dyDescent="0.2">
      <c r="A30" s="114" t="s">
        <v>114</v>
      </c>
      <c r="B30" s="90"/>
      <c r="C30" s="49"/>
      <c r="D30" s="49"/>
      <c r="E30" s="49"/>
      <c r="F30" s="50"/>
      <c r="G30" s="51"/>
    </row>
    <row r="31" spans="1:15" s="83" customFormat="1" x14ac:dyDescent="0.2"/>
    <row r="32" spans="1:15" s="83" customFormat="1" x14ac:dyDescent="0.2">
      <c r="A32" s="115" t="s">
        <v>88</v>
      </c>
      <c r="B32" s="251" t="s">
        <v>569</v>
      </c>
      <c r="C32" s="156">
        <v>13</v>
      </c>
    </row>
    <row r="33" spans="1:13" s="83" customFormat="1" x14ac:dyDescent="0.2">
      <c r="A33" s="84"/>
      <c r="B33" s="155"/>
      <c r="C33" s="87" t="s">
        <v>569</v>
      </c>
      <c r="D33" s="157"/>
      <c r="F33" s="156">
        <v>13</v>
      </c>
    </row>
    <row r="34" spans="1:13" s="83" customFormat="1" x14ac:dyDescent="0.2">
      <c r="A34" s="84"/>
      <c r="B34" s="250" t="s">
        <v>102</v>
      </c>
      <c r="C34" s="120">
        <v>0</v>
      </c>
      <c r="E34" s="89"/>
    </row>
    <row r="35" spans="1:13" s="83" customFormat="1" x14ac:dyDescent="0.2">
      <c r="A35" s="84"/>
      <c r="D35" s="90"/>
      <c r="E35" s="91"/>
      <c r="F35" s="249" t="s">
        <v>569</v>
      </c>
      <c r="I35" s="568">
        <v>13</v>
      </c>
    </row>
    <row r="36" spans="1:13" s="83" customFormat="1" x14ac:dyDescent="0.2">
      <c r="A36" s="84" t="s">
        <v>115</v>
      </c>
      <c r="B36" s="251" t="s">
        <v>573</v>
      </c>
      <c r="C36" s="582">
        <v>13</v>
      </c>
      <c r="E36" s="91"/>
      <c r="F36" s="116"/>
      <c r="G36" s="155"/>
      <c r="H36" s="89"/>
    </row>
    <row r="37" spans="1:13" s="83" customFormat="1" x14ac:dyDescent="0.2">
      <c r="A37" s="84"/>
      <c r="B37" s="155"/>
      <c r="C37" s="95" t="s">
        <v>573</v>
      </c>
      <c r="E37" s="96"/>
      <c r="F37" s="97">
        <v>12</v>
      </c>
      <c r="G37" s="90"/>
      <c r="H37" s="91"/>
    </row>
    <row r="38" spans="1:13" s="83" customFormat="1" x14ac:dyDescent="0.2">
      <c r="A38" s="84" t="s">
        <v>81</v>
      </c>
      <c r="B38" s="250" t="s">
        <v>97</v>
      </c>
      <c r="C38" s="131">
        <v>0</v>
      </c>
      <c r="D38" s="155"/>
      <c r="F38" s="90"/>
      <c r="G38" s="90"/>
      <c r="H38" s="91"/>
    </row>
    <row r="39" spans="1:13" s="83" customFormat="1" x14ac:dyDescent="0.2">
      <c r="A39" s="98"/>
      <c r="F39" s="90"/>
      <c r="G39" s="90"/>
      <c r="H39" s="91"/>
      <c r="I39" s="95" t="s">
        <v>569</v>
      </c>
      <c r="K39" s="156">
        <v>4</v>
      </c>
    </row>
    <row r="40" spans="1:13" s="83" customFormat="1" x14ac:dyDescent="0.2">
      <c r="A40" s="115" t="s">
        <v>462</v>
      </c>
      <c r="B40" s="83" t="s">
        <v>113</v>
      </c>
      <c r="C40" s="156">
        <v>5</v>
      </c>
      <c r="F40" s="90"/>
      <c r="G40" s="90"/>
      <c r="H40" s="91"/>
      <c r="I40" s="155"/>
      <c r="J40" s="89"/>
    </row>
    <row r="41" spans="1:13" s="83" customFormat="1" x14ac:dyDescent="0.2">
      <c r="A41" s="84"/>
      <c r="B41" s="155"/>
      <c r="C41" s="87" t="s">
        <v>566</v>
      </c>
      <c r="D41" s="157"/>
      <c r="F41" s="97">
        <v>11</v>
      </c>
      <c r="G41" s="90"/>
      <c r="H41" s="91"/>
      <c r="I41" s="90"/>
      <c r="J41" s="91"/>
    </row>
    <row r="42" spans="1:13" s="83" customFormat="1" x14ac:dyDescent="0.2">
      <c r="A42" s="84" t="s">
        <v>89</v>
      </c>
      <c r="B42" s="250" t="s">
        <v>566</v>
      </c>
      <c r="C42" s="120">
        <v>13</v>
      </c>
      <c r="E42" s="89"/>
      <c r="F42" s="90"/>
      <c r="G42" s="90"/>
      <c r="H42" s="91"/>
      <c r="I42" s="90"/>
      <c r="J42" s="91"/>
    </row>
    <row r="43" spans="1:13" s="83" customFormat="1" x14ac:dyDescent="0.2">
      <c r="A43" s="84"/>
      <c r="D43" s="90"/>
      <c r="E43" s="91"/>
      <c r="F43" s="157" t="s">
        <v>576</v>
      </c>
      <c r="G43" s="157"/>
      <c r="H43" s="96"/>
      <c r="I43" s="97">
        <v>1</v>
      </c>
      <c r="J43" s="91"/>
    </row>
    <row r="44" spans="1:13" s="83" customFormat="1" x14ac:dyDescent="0.2">
      <c r="A44" s="84" t="s">
        <v>86</v>
      </c>
      <c r="B44" s="251" t="s">
        <v>111</v>
      </c>
      <c r="C44" s="582">
        <v>11</v>
      </c>
      <c r="E44" s="91"/>
      <c r="F44" s="95"/>
      <c r="G44" s="90"/>
      <c r="H44" s="90"/>
      <c r="I44" s="90"/>
      <c r="J44" s="91"/>
    </row>
    <row r="45" spans="1:13" s="83" customFormat="1" x14ac:dyDescent="0.2">
      <c r="A45" s="84"/>
      <c r="B45" s="155"/>
      <c r="C45" s="95" t="s">
        <v>576</v>
      </c>
      <c r="E45" s="96"/>
      <c r="F45" s="97">
        <v>13</v>
      </c>
      <c r="I45" s="90"/>
      <c r="J45" s="91"/>
    </row>
    <row r="46" spans="1:13" s="83" customFormat="1" x14ac:dyDescent="0.2">
      <c r="A46" s="84" t="s">
        <v>118</v>
      </c>
      <c r="B46" s="157" t="s">
        <v>576</v>
      </c>
      <c r="C46" s="119">
        <v>13</v>
      </c>
      <c r="D46" s="155"/>
      <c r="F46" s="90"/>
      <c r="G46" s="90"/>
      <c r="H46" s="90"/>
      <c r="I46" s="90"/>
      <c r="J46" s="91"/>
    </row>
    <row r="47" spans="1:13" s="83" customFormat="1" ht="13.5" thickBot="1" x14ac:dyDescent="0.25">
      <c r="I47" s="90"/>
      <c r="J47" s="91"/>
      <c r="L47" s="83" t="s">
        <v>568</v>
      </c>
    </row>
    <row r="48" spans="1:13" s="83" customFormat="1" x14ac:dyDescent="0.2">
      <c r="A48" s="115" t="s">
        <v>80</v>
      </c>
      <c r="B48" s="83" t="s">
        <v>572</v>
      </c>
      <c r="C48" s="156">
        <v>13</v>
      </c>
      <c r="I48" s="90"/>
      <c r="J48" s="91"/>
      <c r="K48" s="93"/>
      <c r="L48" s="117" t="s">
        <v>85</v>
      </c>
      <c r="M48" s="94"/>
    </row>
    <row r="49" spans="1:13" s="83" customFormat="1" x14ac:dyDescent="0.2">
      <c r="A49" s="84"/>
      <c r="B49" s="155"/>
      <c r="C49" s="87" t="s">
        <v>572</v>
      </c>
      <c r="D49" s="157"/>
      <c r="F49" s="156">
        <v>13</v>
      </c>
      <c r="I49" s="90"/>
      <c r="J49" s="91"/>
    </row>
    <row r="50" spans="1:13" s="83" customFormat="1" x14ac:dyDescent="0.2">
      <c r="A50" s="84" t="s">
        <v>117</v>
      </c>
      <c r="B50" s="250" t="s">
        <v>574</v>
      </c>
      <c r="C50" s="120">
        <v>0</v>
      </c>
      <c r="E50" s="89"/>
      <c r="I50" s="90"/>
      <c r="J50" s="91"/>
    </row>
    <row r="51" spans="1:13" s="83" customFormat="1" x14ac:dyDescent="0.2">
      <c r="A51" s="84"/>
      <c r="D51" s="90"/>
      <c r="E51" s="91"/>
      <c r="F51" s="251" t="s">
        <v>572</v>
      </c>
      <c r="I51" s="97">
        <v>2</v>
      </c>
      <c r="J51" s="91"/>
    </row>
    <row r="52" spans="1:13" s="83" customFormat="1" x14ac:dyDescent="0.2">
      <c r="A52" s="84" t="s">
        <v>116</v>
      </c>
      <c r="B52" s="83" t="s">
        <v>330</v>
      </c>
      <c r="C52" s="582">
        <v>12</v>
      </c>
      <c r="E52" s="91"/>
      <c r="F52" s="116"/>
      <c r="G52" s="155"/>
      <c r="H52" s="89"/>
      <c r="I52" s="90"/>
      <c r="J52" s="91"/>
    </row>
    <row r="53" spans="1:13" s="83" customFormat="1" x14ac:dyDescent="0.2">
      <c r="A53" s="84"/>
      <c r="B53" s="155"/>
      <c r="C53" s="95" t="s">
        <v>329</v>
      </c>
      <c r="E53" s="96"/>
      <c r="F53" s="97">
        <v>0</v>
      </c>
      <c r="G53" s="90"/>
      <c r="H53" s="91"/>
      <c r="I53" s="90"/>
      <c r="J53" s="91"/>
    </row>
    <row r="54" spans="1:13" s="83" customFormat="1" x14ac:dyDescent="0.2">
      <c r="A54" s="84" t="s">
        <v>83</v>
      </c>
      <c r="B54" s="441" t="s">
        <v>329</v>
      </c>
      <c r="C54" s="119">
        <v>13</v>
      </c>
      <c r="D54" s="155"/>
      <c r="F54" s="90"/>
      <c r="G54" s="90"/>
      <c r="H54" s="91"/>
      <c r="I54" s="90"/>
      <c r="J54" s="91"/>
    </row>
    <row r="55" spans="1:13" s="83" customFormat="1" x14ac:dyDescent="0.2">
      <c r="F55" s="90"/>
      <c r="G55" s="90"/>
      <c r="H55" s="91"/>
      <c r="I55" s="250" t="s">
        <v>568</v>
      </c>
      <c r="J55" s="96"/>
      <c r="K55" s="156">
        <v>13</v>
      </c>
    </row>
    <row r="56" spans="1:13" s="83" customFormat="1" ht="13.5" thickBot="1" x14ac:dyDescent="0.25">
      <c r="A56" s="115" t="s">
        <v>84</v>
      </c>
      <c r="B56" s="251" t="s">
        <v>568</v>
      </c>
      <c r="C56" s="156">
        <v>13</v>
      </c>
      <c r="F56" s="90"/>
      <c r="G56" s="90"/>
      <c r="H56" s="91"/>
      <c r="L56" s="423" t="s">
        <v>569</v>
      </c>
      <c r="M56" s="92"/>
    </row>
    <row r="57" spans="1:13" s="83" customFormat="1" x14ac:dyDescent="0.2">
      <c r="A57" s="84"/>
      <c r="B57" s="155"/>
      <c r="C57" s="87" t="s">
        <v>568</v>
      </c>
      <c r="D57" s="157"/>
      <c r="F57" s="97">
        <v>13</v>
      </c>
      <c r="G57" s="90"/>
      <c r="H57" s="91"/>
      <c r="L57" s="117" t="s">
        <v>87</v>
      </c>
      <c r="M57" s="90"/>
    </row>
    <row r="58" spans="1:13" s="83" customFormat="1" x14ac:dyDescent="0.2">
      <c r="A58" s="84" t="s">
        <v>465</v>
      </c>
      <c r="B58" s="250" t="s">
        <v>331</v>
      </c>
      <c r="C58" s="120">
        <v>8</v>
      </c>
      <c r="E58" s="89"/>
      <c r="F58" s="90"/>
      <c r="G58" s="90"/>
      <c r="H58" s="91"/>
    </row>
    <row r="59" spans="1:13" s="83" customFormat="1" x14ac:dyDescent="0.2">
      <c r="A59" s="84"/>
      <c r="D59" s="90"/>
      <c r="E59" s="91"/>
      <c r="F59" s="157" t="s">
        <v>568</v>
      </c>
      <c r="G59" s="157"/>
      <c r="H59" s="96"/>
      <c r="I59" s="156">
        <v>13</v>
      </c>
    </row>
    <row r="60" spans="1:13" s="83" customFormat="1" x14ac:dyDescent="0.2">
      <c r="A60" s="84" t="s">
        <v>82</v>
      </c>
      <c r="B60" s="83" t="s">
        <v>123</v>
      </c>
      <c r="C60" s="97">
        <v>13</v>
      </c>
      <c r="E60" s="91"/>
      <c r="F60" s="95"/>
      <c r="G60" s="90"/>
      <c r="H60" s="90"/>
    </row>
    <row r="61" spans="1:13" s="83" customFormat="1" x14ac:dyDescent="0.2">
      <c r="A61" s="84"/>
      <c r="B61" s="155"/>
      <c r="C61" s="95" t="s">
        <v>123</v>
      </c>
      <c r="E61" s="96"/>
      <c r="F61" s="97">
        <v>7</v>
      </c>
      <c r="I61" s="83" t="s">
        <v>576</v>
      </c>
      <c r="K61" s="97">
        <v>7</v>
      </c>
    </row>
    <row r="62" spans="1:13" s="83" customFormat="1" ht="13.5" thickBot="1" x14ac:dyDescent="0.25">
      <c r="A62" s="84"/>
      <c r="B62" s="250" t="s">
        <v>102</v>
      </c>
      <c r="C62" s="119">
        <v>0</v>
      </c>
      <c r="D62" s="155"/>
      <c r="F62" s="90"/>
      <c r="G62" s="90"/>
      <c r="H62" s="90"/>
      <c r="I62" s="155"/>
      <c r="J62" s="89"/>
      <c r="K62" s="92"/>
      <c r="L62" s="425" t="s">
        <v>572</v>
      </c>
      <c r="M62" s="92"/>
    </row>
    <row r="63" spans="1:13" s="83" customFormat="1" x14ac:dyDescent="0.2">
      <c r="H63" s="90"/>
      <c r="I63" s="157" t="s">
        <v>572</v>
      </c>
      <c r="J63" s="96"/>
      <c r="K63" s="156">
        <v>13</v>
      </c>
      <c r="L63" s="100" t="s">
        <v>90</v>
      </c>
      <c r="M63" s="90"/>
    </row>
    <row r="64" spans="1:13" s="83" customFormat="1" x14ac:dyDescent="0.2">
      <c r="H64" s="90"/>
      <c r="L64" s="90"/>
      <c r="M64" s="90"/>
    </row>
    <row r="65" spans="1:13" s="83" customFormat="1" ht="13.5" thickBot="1" x14ac:dyDescent="0.25">
      <c r="H65" s="90"/>
      <c r="I65" s="90"/>
      <c r="J65" s="90"/>
      <c r="L65" s="92" t="s">
        <v>576</v>
      </c>
      <c r="M65" s="92"/>
    </row>
    <row r="66" spans="1:13" s="83" customFormat="1" x14ac:dyDescent="0.2">
      <c r="I66" s="90"/>
      <c r="J66" s="90"/>
      <c r="L66" s="98" t="s">
        <v>91</v>
      </c>
    </row>
    <row r="67" spans="1:13" s="83" customFormat="1" x14ac:dyDescent="0.2">
      <c r="I67" s="90"/>
      <c r="J67" s="90"/>
      <c r="L67" s="98"/>
    </row>
    <row r="68" spans="1:13" s="83" customFormat="1" x14ac:dyDescent="0.2">
      <c r="A68" s="121" t="s">
        <v>119</v>
      </c>
      <c r="I68" s="90"/>
      <c r="J68" s="90"/>
      <c r="L68" s="98"/>
    </row>
    <row r="69" spans="1:13" s="83" customFormat="1" x14ac:dyDescent="0.2">
      <c r="A69" s="121"/>
      <c r="I69" s="90"/>
      <c r="J69" s="90"/>
      <c r="L69" s="98"/>
    </row>
    <row r="70" spans="1:13" s="83" customFormat="1" x14ac:dyDescent="0.2">
      <c r="F70" s="99" t="s">
        <v>573</v>
      </c>
      <c r="G70" s="156"/>
      <c r="H70" s="156"/>
      <c r="I70" s="568">
        <v>0</v>
      </c>
      <c r="J70" s="156"/>
      <c r="K70" s="156"/>
    </row>
    <row r="71" spans="1:13" s="83" customFormat="1" x14ac:dyDescent="0.2">
      <c r="F71" s="122"/>
      <c r="G71" s="122"/>
      <c r="H71" s="123"/>
      <c r="I71" s="97" t="s">
        <v>566</v>
      </c>
      <c r="J71" s="156"/>
      <c r="K71" s="156">
        <v>13</v>
      </c>
    </row>
    <row r="72" spans="1:13" s="83" customFormat="1" x14ac:dyDescent="0.2">
      <c r="F72" s="124" t="s">
        <v>566</v>
      </c>
      <c r="G72" s="124"/>
      <c r="H72" s="125"/>
      <c r="I72" s="122">
        <v>13</v>
      </c>
      <c r="J72" s="123"/>
      <c r="K72" s="156"/>
    </row>
    <row r="73" spans="1:13" s="83" customFormat="1" ht="13.5" thickBot="1" x14ac:dyDescent="0.25">
      <c r="F73" s="156"/>
      <c r="G73" s="156"/>
      <c r="H73" s="156"/>
      <c r="I73" s="97"/>
      <c r="J73" s="126"/>
      <c r="K73" s="156"/>
      <c r="L73" s="83" t="s">
        <v>566</v>
      </c>
    </row>
    <row r="74" spans="1:13" s="83" customFormat="1" x14ac:dyDescent="0.2">
      <c r="F74" s="156" t="s">
        <v>329</v>
      </c>
      <c r="G74" s="156"/>
      <c r="H74" s="156"/>
      <c r="I74" s="97">
        <v>13</v>
      </c>
      <c r="J74" s="126"/>
      <c r="K74" s="127"/>
      <c r="L74" s="117" t="s">
        <v>92</v>
      </c>
      <c r="M74" s="94"/>
    </row>
    <row r="75" spans="1:13" s="83" customFormat="1" x14ac:dyDescent="0.2">
      <c r="F75" s="122"/>
      <c r="G75" s="122"/>
      <c r="H75" s="123"/>
      <c r="I75" s="124" t="s">
        <v>329</v>
      </c>
      <c r="J75" s="125"/>
      <c r="K75" s="97">
        <v>11</v>
      </c>
    </row>
    <row r="76" spans="1:13" s="83" customFormat="1" ht="13.5" thickBot="1" x14ac:dyDescent="0.25">
      <c r="F76" s="124" t="s">
        <v>123</v>
      </c>
      <c r="G76" s="124"/>
      <c r="H76" s="125"/>
      <c r="I76" s="97">
        <v>0</v>
      </c>
      <c r="J76" s="156"/>
      <c r="K76" s="97"/>
      <c r="L76" s="90" t="s">
        <v>329</v>
      </c>
      <c r="M76" s="92"/>
    </row>
    <row r="77" spans="1:13" s="83" customFormat="1" x14ac:dyDescent="0.2">
      <c r="F77" s="156"/>
      <c r="G77" s="156"/>
      <c r="H77" s="156"/>
      <c r="I77" s="156"/>
      <c r="J77" s="156"/>
      <c r="K77" s="97"/>
      <c r="L77" s="117" t="s">
        <v>93</v>
      </c>
      <c r="M77" s="90"/>
    </row>
    <row r="78" spans="1:13" s="83" customFormat="1" x14ac:dyDescent="0.2">
      <c r="F78" s="156"/>
      <c r="G78" s="156"/>
      <c r="H78" s="97"/>
      <c r="I78" s="568" t="s">
        <v>573</v>
      </c>
      <c r="J78" s="156"/>
      <c r="K78" s="582">
        <v>13</v>
      </c>
      <c r="L78" s="90"/>
      <c r="M78" s="90"/>
    </row>
    <row r="79" spans="1:13" s="83" customFormat="1" ht="13.5" thickBot="1" x14ac:dyDescent="0.25">
      <c r="F79" s="156"/>
      <c r="G79" s="156"/>
      <c r="H79" s="97"/>
      <c r="I79" s="122"/>
      <c r="J79" s="123"/>
      <c r="K79" s="128"/>
      <c r="L79" s="92" t="s">
        <v>573</v>
      </c>
      <c r="M79" s="92"/>
    </row>
    <row r="80" spans="1:13" s="83" customFormat="1" x14ac:dyDescent="0.2">
      <c r="F80" s="156"/>
      <c r="G80" s="156"/>
      <c r="H80" s="97"/>
      <c r="I80" s="124" t="s">
        <v>123</v>
      </c>
      <c r="J80" s="125"/>
      <c r="K80" s="156">
        <v>5</v>
      </c>
      <c r="L80" s="100" t="s">
        <v>94</v>
      </c>
      <c r="M80" s="90"/>
    </row>
    <row r="81" spans="1:13" s="83" customFormat="1" x14ac:dyDescent="0.2">
      <c r="H81" s="90"/>
      <c r="L81" s="90"/>
      <c r="M81" s="90"/>
    </row>
    <row r="82" spans="1:13" s="83" customFormat="1" ht="13.5" thickBot="1" x14ac:dyDescent="0.25">
      <c r="A82" s="101">
        <v>1</v>
      </c>
      <c r="B82" s="102" t="s">
        <v>568</v>
      </c>
      <c r="F82" s="98"/>
      <c r="I82" s="90"/>
      <c r="J82" s="90"/>
      <c r="L82" s="92" t="s">
        <v>123</v>
      </c>
      <c r="M82" s="92"/>
    </row>
    <row r="83" spans="1:13" s="83" customFormat="1" x14ac:dyDescent="0.2">
      <c r="A83" s="101">
        <v>2</v>
      </c>
      <c r="B83" s="103" t="s">
        <v>569</v>
      </c>
      <c r="F83" s="98"/>
      <c r="I83" s="90"/>
      <c r="J83" s="90"/>
      <c r="L83" s="100" t="s">
        <v>95</v>
      </c>
    </row>
    <row r="84" spans="1:13" s="159" customFormat="1" x14ac:dyDescent="0.2">
      <c r="A84" s="101">
        <v>3</v>
      </c>
      <c r="B84" s="104" t="s">
        <v>572</v>
      </c>
    </row>
    <row r="85" spans="1:13" s="148" customFormat="1" x14ac:dyDescent="0.2">
      <c r="A85" s="101">
        <v>4</v>
      </c>
      <c r="B85" s="105" t="s">
        <v>576</v>
      </c>
    </row>
    <row r="86" spans="1:13" s="148" customFormat="1" x14ac:dyDescent="0.2">
      <c r="A86" s="101">
        <v>5</v>
      </c>
      <c r="B86" s="105" t="s">
        <v>566</v>
      </c>
    </row>
    <row r="87" spans="1:13" s="148" customFormat="1" x14ac:dyDescent="0.2">
      <c r="A87" s="101">
        <v>6</v>
      </c>
      <c r="B87" s="105" t="s">
        <v>329</v>
      </c>
    </row>
    <row r="88" spans="1:13" s="148" customFormat="1" x14ac:dyDescent="0.2">
      <c r="A88" s="101">
        <v>7</v>
      </c>
      <c r="B88" s="105" t="s">
        <v>573</v>
      </c>
    </row>
    <row r="89" spans="1:13" s="148" customFormat="1" x14ac:dyDescent="0.2">
      <c r="A89" s="101">
        <v>8</v>
      </c>
      <c r="B89" s="105" t="s">
        <v>123</v>
      </c>
    </row>
    <row r="90" spans="1:13" s="148" customFormat="1" x14ac:dyDescent="0.2">
      <c r="A90" s="590" t="s">
        <v>579</v>
      </c>
      <c r="B90" s="108" t="s">
        <v>97</v>
      </c>
    </row>
    <row r="91" spans="1:13" s="148" customFormat="1" x14ac:dyDescent="0.2">
      <c r="A91" s="590" t="s">
        <v>579</v>
      </c>
      <c r="B91" s="108" t="s">
        <v>113</v>
      </c>
    </row>
    <row r="92" spans="1:13" s="148" customFormat="1" x14ac:dyDescent="0.2">
      <c r="A92" s="590" t="s">
        <v>579</v>
      </c>
      <c r="B92" s="111" t="s">
        <v>111</v>
      </c>
    </row>
    <row r="93" spans="1:13" s="148" customFormat="1" x14ac:dyDescent="0.2">
      <c r="A93" s="590" t="s">
        <v>579</v>
      </c>
      <c r="B93" s="108" t="s">
        <v>574</v>
      </c>
    </row>
    <row r="94" spans="1:13" s="148" customFormat="1" x14ac:dyDescent="0.2">
      <c r="A94" s="590" t="s">
        <v>579</v>
      </c>
      <c r="B94" s="226" t="s">
        <v>330</v>
      </c>
    </row>
    <row r="95" spans="1:13" s="148" customFormat="1" x14ac:dyDescent="0.2">
      <c r="A95" s="590" t="s">
        <v>579</v>
      </c>
      <c r="B95" s="226" t="s">
        <v>331</v>
      </c>
    </row>
    <row r="96" spans="1:13" s="148" customFormat="1" x14ac:dyDescent="0.2">
      <c r="A96" s="596" t="s">
        <v>580</v>
      </c>
      <c r="B96" s="226" t="s">
        <v>578</v>
      </c>
    </row>
    <row r="97" spans="1:2" s="148" customFormat="1" x14ac:dyDescent="0.2">
      <c r="A97" s="596" t="s">
        <v>580</v>
      </c>
      <c r="B97" s="226" t="s">
        <v>332</v>
      </c>
    </row>
    <row r="98" spans="1:2" s="148" customFormat="1" x14ac:dyDescent="0.2">
      <c r="A98" s="596" t="s">
        <v>580</v>
      </c>
      <c r="B98" s="226" t="s">
        <v>570</v>
      </c>
    </row>
    <row r="99" spans="1:2" s="148" customFormat="1" x14ac:dyDescent="0.2">
      <c r="A99" s="596" t="s">
        <v>580</v>
      </c>
      <c r="B99" s="226" t="s">
        <v>112</v>
      </c>
    </row>
    <row r="100" spans="1:2" s="148" customFormat="1" x14ac:dyDescent="0.2">
      <c r="A100" s="596" t="s">
        <v>580</v>
      </c>
      <c r="B100" s="108" t="s">
        <v>326</v>
      </c>
    </row>
    <row r="101" spans="1:2" s="148" customFormat="1" x14ac:dyDescent="0.2">
      <c r="A101" s="596" t="s">
        <v>580</v>
      </c>
      <c r="B101" s="54" t="s">
        <v>575</v>
      </c>
    </row>
    <row r="102" spans="1:2" s="148" customFormat="1" x14ac:dyDescent="0.2">
      <c r="A102" s="596" t="s">
        <v>580</v>
      </c>
      <c r="B102" s="356" t="s">
        <v>577</v>
      </c>
    </row>
    <row r="103" spans="1:2" s="148" customFormat="1" x14ac:dyDescent="0.2">
      <c r="A103" s="112" t="s">
        <v>473</v>
      </c>
      <c r="B103" s="54" t="s">
        <v>567</v>
      </c>
    </row>
    <row r="104" spans="1:2" x14ac:dyDescent="0.2">
      <c r="A104" s="112" t="s">
        <v>473</v>
      </c>
      <c r="B104" s="108" t="s">
        <v>571</v>
      </c>
    </row>
  </sheetData>
  <conditionalFormatting sqref="C30:K80 K23:K29 C7:H29 K6:O22">
    <cfRule type="cellIs" dxfId="113" priority="2" operator="equal">
      <formula>13</formula>
    </cfRule>
  </conditionalFormatting>
  <pageMargins left="0.31496062992125984" right="0.31496062992125984" top="0.78740157480314965" bottom="0.31496062992125984" header="0.59055118110236227" footer="0"/>
  <pageSetup paperSize="9" fitToHeight="0" orientation="landscape" verticalDpi="1200" r:id="rId1"/>
  <headerFooter>
    <oddHeader>&amp;R&amp;"Arial,Regular"&amp;9Page &amp;P of &amp;N</oddHeader>
  </headerFooter>
  <rowBreaks count="2" manualBreakCount="2">
    <brk id="28" max="16383" man="1"/>
    <brk id="6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6"/>
  <sheetViews>
    <sheetView showGridLines="0" showRowColHeaders="0" zoomScaleNormal="100" workbookViewId="0">
      <pane ySplit="2" topLeftCell="A3" activePane="bottomLeft" state="frozen"/>
      <selection activeCell="I1" sqref="I1"/>
      <selection pane="bottomLeft" activeCell="G1" sqref="G1"/>
    </sheetView>
  </sheetViews>
  <sheetFormatPr defaultRowHeight="12.75" x14ac:dyDescent="0.2"/>
  <cols>
    <col min="1" max="1" width="3" style="148" customWidth="1"/>
    <col min="2" max="2" width="16.28515625" style="148" customWidth="1"/>
    <col min="3" max="5" width="7.28515625" style="148" customWidth="1"/>
    <col min="6" max="7" width="4" style="148" customWidth="1"/>
    <col min="8" max="10" width="7.28515625" style="148" customWidth="1"/>
    <col min="11" max="11" width="21" style="148" customWidth="1"/>
    <col min="12" max="12" width="7.42578125" style="148" bestFit="1" customWidth="1"/>
    <col min="13" max="13" width="6.7109375" style="148" bestFit="1" customWidth="1"/>
    <col min="14" max="14" width="7.28515625" style="148" bestFit="1" customWidth="1"/>
    <col min="15" max="15" width="6.85546875" style="147" bestFit="1" customWidth="1"/>
    <col min="16" max="16" width="7.5703125" style="148" bestFit="1" customWidth="1"/>
    <col min="17" max="17" width="5.7109375" style="148" bestFit="1" customWidth="1"/>
    <col min="18" max="16384" width="9.140625" style="148"/>
  </cols>
  <sheetData>
    <row r="1" spans="1:19" x14ac:dyDescent="0.2">
      <c r="A1" s="138" t="str">
        <f>UPPER((Kalend!D34)&amp;" - "&amp;(Kalend!C34)&amp;" - "&amp;(Kalend!E34))</f>
        <v>NALJA - NALJATURNIIR - LOOSIDUO</v>
      </c>
      <c r="J1" s="61" t="str">
        <f>HYPERLINK("#'Üldreiting'!T1","Reiting")</f>
        <v>Reiting</v>
      </c>
    </row>
    <row r="2" spans="1:19" x14ac:dyDescent="0.2">
      <c r="A2" s="148" t="str">
        <f>"Toimumisaeg: "&amp;(Kalend!A34)&amp;" kell "&amp;(Kalend!B34)</f>
        <v>Toimumisaeg: L, 01.04.2017 kell 10:00</v>
      </c>
    </row>
    <row r="3" spans="1:19" x14ac:dyDescent="0.2">
      <c r="A3" s="148" t="str">
        <f>"Toimumiskoht: "&amp;(Kalend!F34)</f>
        <v>Toimumiskoht: Tallinn, Algi 38</v>
      </c>
    </row>
    <row r="4" spans="1:19" x14ac:dyDescent="0.2">
      <c r="A4" s="148" t="str">
        <f>"Korraldaja: "&amp;(Kalend!G34)</f>
        <v>Korraldaja: EPKL</v>
      </c>
      <c r="K4" s="628" t="s">
        <v>685</v>
      </c>
    </row>
    <row r="5" spans="1:19" x14ac:dyDescent="0.2">
      <c r="O5" s="148"/>
    </row>
    <row r="6" spans="1:19" s="48" customFormat="1" x14ac:dyDescent="0.2">
      <c r="A6" s="616" t="s">
        <v>628</v>
      </c>
      <c r="B6" s="616"/>
      <c r="C6" s="616"/>
      <c r="D6" s="616"/>
      <c r="F6" s="147"/>
      <c r="G6" s="147"/>
      <c r="H6" s="147"/>
      <c r="I6" s="147"/>
      <c r="J6" s="147"/>
      <c r="K6" s="147"/>
      <c r="L6" s="147"/>
      <c r="M6" s="147"/>
      <c r="N6" s="147"/>
      <c r="O6" s="147"/>
      <c r="P6" s="147"/>
      <c r="Q6" s="147"/>
      <c r="R6" s="147"/>
      <c r="S6" s="147"/>
    </row>
    <row r="7" spans="1:19" s="43" customFormat="1" x14ac:dyDescent="0.2">
      <c r="A7" s="614" t="s">
        <v>633</v>
      </c>
      <c r="B7" s="615"/>
      <c r="C7" s="615"/>
      <c r="D7" s="615"/>
      <c r="E7" s="617"/>
      <c r="F7" s="609">
        <v>13</v>
      </c>
      <c r="G7" s="609">
        <v>2</v>
      </c>
      <c r="H7" s="614" t="s">
        <v>634</v>
      </c>
      <c r="I7" s="613"/>
      <c r="J7" s="613"/>
      <c r="K7" s="617"/>
      <c r="L7" s="148"/>
      <c r="M7" s="148"/>
      <c r="N7" s="148"/>
      <c r="O7" s="148"/>
      <c r="P7" s="148"/>
      <c r="Q7" s="148"/>
      <c r="R7" s="148"/>
      <c r="S7" s="148"/>
    </row>
    <row r="8" spans="1:19" s="43" customFormat="1" x14ac:dyDescent="0.2">
      <c r="A8" s="614" t="s">
        <v>635</v>
      </c>
      <c r="B8" s="615"/>
      <c r="C8" s="615"/>
      <c r="D8" s="615"/>
      <c r="E8" s="617"/>
      <c r="F8" s="609">
        <v>7</v>
      </c>
      <c r="G8" s="609">
        <v>13</v>
      </c>
      <c r="H8" s="614" t="s">
        <v>636</v>
      </c>
      <c r="I8" s="613"/>
      <c r="J8" s="613"/>
      <c r="K8" s="617"/>
      <c r="L8" s="148"/>
      <c r="M8" s="148"/>
      <c r="N8" s="148"/>
      <c r="O8" s="148"/>
      <c r="P8" s="148"/>
      <c r="Q8" s="148"/>
      <c r="R8" s="148"/>
      <c r="S8" s="148"/>
    </row>
    <row r="9" spans="1:19" s="43" customFormat="1" x14ac:dyDescent="0.2">
      <c r="A9" s="614" t="s">
        <v>637</v>
      </c>
      <c r="B9" s="615"/>
      <c r="C9" s="615"/>
      <c r="D9" s="615"/>
      <c r="E9" s="617"/>
      <c r="F9" s="609">
        <v>13</v>
      </c>
      <c r="G9" s="609">
        <v>1</v>
      </c>
      <c r="H9" s="614" t="s">
        <v>638</v>
      </c>
      <c r="I9" s="613"/>
      <c r="J9" s="613"/>
      <c r="K9" s="617"/>
      <c r="L9" s="148"/>
      <c r="M9" s="148"/>
      <c r="N9" s="148"/>
      <c r="O9" s="148"/>
      <c r="P9" s="148"/>
      <c r="Q9" s="148"/>
      <c r="R9" s="148"/>
      <c r="S9" s="148"/>
    </row>
    <row r="10" spans="1:19" s="43" customFormat="1" x14ac:dyDescent="0.2">
      <c r="A10" s="614" t="s">
        <v>639</v>
      </c>
      <c r="B10" s="615"/>
      <c r="C10" s="615"/>
      <c r="D10" s="615"/>
      <c r="E10" s="617"/>
      <c r="F10" s="609">
        <v>13</v>
      </c>
      <c r="G10" s="609">
        <v>3</v>
      </c>
      <c r="H10" s="614" t="s">
        <v>640</v>
      </c>
      <c r="I10" s="613"/>
      <c r="J10" s="613"/>
      <c r="K10" s="617"/>
      <c r="L10" s="148"/>
      <c r="M10" s="148"/>
      <c r="N10" s="148"/>
      <c r="O10" s="148"/>
      <c r="P10" s="148"/>
      <c r="Q10" s="148"/>
      <c r="R10" s="148"/>
      <c r="S10" s="148"/>
    </row>
    <row r="11" spans="1:19" s="48" customFormat="1" x14ac:dyDescent="0.2">
      <c r="A11" s="616" t="s">
        <v>629</v>
      </c>
      <c r="B11" s="616"/>
      <c r="C11" s="616"/>
      <c r="D11" s="616"/>
      <c r="F11" s="612"/>
      <c r="G11" s="612"/>
      <c r="H11" s="147"/>
      <c r="I11" s="612"/>
      <c r="J11" s="612"/>
      <c r="L11" s="147"/>
      <c r="M11" s="147"/>
      <c r="N11" s="147"/>
      <c r="O11" s="147"/>
      <c r="P11" s="147"/>
      <c r="Q11" s="147"/>
      <c r="R11" s="147"/>
      <c r="S11" s="147"/>
    </row>
    <row r="12" spans="1:19" s="43" customFormat="1" x14ac:dyDescent="0.2">
      <c r="A12" s="614" t="s">
        <v>641</v>
      </c>
      <c r="B12" s="615"/>
      <c r="C12" s="615"/>
      <c r="D12" s="615"/>
      <c r="E12" s="617"/>
      <c r="F12" s="609">
        <v>8</v>
      </c>
      <c r="G12" s="609">
        <v>13</v>
      </c>
      <c r="H12" s="614" t="s">
        <v>684</v>
      </c>
      <c r="I12" s="613"/>
      <c r="J12" s="613"/>
      <c r="K12" s="617"/>
      <c r="L12" s="148"/>
      <c r="M12" s="148"/>
      <c r="N12" s="148"/>
      <c r="O12" s="148"/>
      <c r="P12" s="148"/>
      <c r="Q12" s="148"/>
      <c r="R12" s="148"/>
      <c r="S12" s="148"/>
    </row>
    <row r="13" spans="1:19" s="43" customFormat="1" x14ac:dyDescent="0.2">
      <c r="A13" s="614" t="s">
        <v>642</v>
      </c>
      <c r="B13" s="615"/>
      <c r="C13" s="615"/>
      <c r="D13" s="615"/>
      <c r="E13" s="617"/>
      <c r="F13" s="609">
        <v>13</v>
      </c>
      <c r="G13" s="609">
        <v>7</v>
      </c>
      <c r="H13" s="614" t="s">
        <v>643</v>
      </c>
      <c r="I13" s="613"/>
      <c r="J13" s="613"/>
      <c r="K13" s="617"/>
      <c r="L13" s="148"/>
      <c r="M13" s="148"/>
      <c r="N13" s="148"/>
      <c r="O13" s="148"/>
      <c r="P13" s="148"/>
      <c r="Q13" s="148"/>
      <c r="R13" s="148"/>
      <c r="S13" s="148"/>
    </row>
    <row r="14" spans="1:19" s="43" customFormat="1" x14ac:dyDescent="0.2">
      <c r="A14" s="614" t="s">
        <v>644</v>
      </c>
      <c r="B14" s="615"/>
      <c r="C14" s="615"/>
      <c r="D14" s="615"/>
      <c r="E14" s="617"/>
      <c r="F14" s="609">
        <v>7</v>
      </c>
      <c r="G14" s="610">
        <v>11</v>
      </c>
      <c r="H14" s="614" t="s">
        <v>645</v>
      </c>
      <c r="I14" s="619"/>
      <c r="J14" s="619"/>
      <c r="K14" s="617"/>
      <c r="L14" s="148"/>
      <c r="M14" s="148"/>
      <c r="N14" s="148"/>
      <c r="O14" s="148"/>
      <c r="P14" s="148"/>
      <c r="Q14" s="148"/>
      <c r="R14" s="148"/>
      <c r="S14" s="148"/>
    </row>
    <row r="15" spans="1:19" s="43" customFormat="1" x14ac:dyDescent="0.2">
      <c r="A15" s="614" t="s">
        <v>646</v>
      </c>
      <c r="B15" s="615"/>
      <c r="C15" s="615"/>
      <c r="D15" s="615"/>
      <c r="E15" s="617"/>
      <c r="F15" s="609">
        <v>13</v>
      </c>
      <c r="G15" s="609">
        <v>12</v>
      </c>
      <c r="H15" s="614" t="s">
        <v>647</v>
      </c>
      <c r="I15" s="613"/>
      <c r="J15" s="613"/>
      <c r="K15" s="617"/>
      <c r="L15" s="148"/>
      <c r="M15" s="148"/>
      <c r="N15" s="148"/>
      <c r="O15" s="148"/>
      <c r="P15" s="148"/>
      <c r="Q15" s="148"/>
      <c r="R15" s="148"/>
      <c r="S15" s="148"/>
    </row>
    <row r="16" spans="1:19" s="48" customFormat="1" x14ac:dyDescent="0.2">
      <c r="A16" s="616" t="s">
        <v>630</v>
      </c>
      <c r="B16" s="616"/>
      <c r="C16" s="616"/>
      <c r="D16" s="616"/>
      <c r="F16" s="612"/>
      <c r="G16" s="612"/>
      <c r="H16" s="147"/>
      <c r="I16" s="612"/>
      <c r="J16" s="612"/>
      <c r="L16" s="147"/>
      <c r="M16" s="147"/>
      <c r="N16" s="147"/>
      <c r="O16" s="147"/>
      <c r="P16" s="147"/>
      <c r="Q16" s="147"/>
      <c r="R16" s="147"/>
      <c r="S16" s="147"/>
    </row>
    <row r="17" spans="1:15" x14ac:dyDescent="0.2">
      <c r="A17" s="614" t="s">
        <v>648</v>
      </c>
      <c r="B17" s="615"/>
      <c r="C17" s="615"/>
      <c r="D17" s="615"/>
      <c r="E17" s="618"/>
      <c r="F17" s="609">
        <v>13</v>
      </c>
      <c r="G17" s="609">
        <v>0</v>
      </c>
      <c r="H17" s="614" t="s">
        <v>649</v>
      </c>
      <c r="I17" s="613"/>
      <c r="J17" s="613"/>
      <c r="K17" s="618"/>
      <c r="O17" s="148"/>
    </row>
    <row r="18" spans="1:15" x14ac:dyDescent="0.2">
      <c r="A18" s="614" t="s">
        <v>650</v>
      </c>
      <c r="B18" s="615"/>
      <c r="C18" s="615"/>
      <c r="D18" s="615"/>
      <c r="E18" s="618"/>
      <c r="F18" s="609">
        <v>10</v>
      </c>
      <c r="G18" s="610">
        <v>12</v>
      </c>
      <c r="H18" s="614" t="s">
        <v>651</v>
      </c>
      <c r="I18" s="619"/>
      <c r="J18" s="619"/>
      <c r="K18" s="618"/>
      <c r="O18" s="148"/>
    </row>
    <row r="19" spans="1:15" x14ac:dyDescent="0.2">
      <c r="A19" s="614" t="s">
        <v>652</v>
      </c>
      <c r="B19" s="615"/>
      <c r="C19" s="615"/>
      <c r="D19" s="615"/>
      <c r="E19" s="618"/>
      <c r="F19" s="609">
        <v>2</v>
      </c>
      <c r="G19" s="609">
        <v>13</v>
      </c>
      <c r="H19" s="614" t="s">
        <v>653</v>
      </c>
      <c r="I19" s="613"/>
      <c r="J19" s="613"/>
      <c r="K19" s="618"/>
      <c r="O19" s="148"/>
    </row>
    <row r="20" spans="1:15" x14ac:dyDescent="0.2">
      <c r="A20" s="614" t="s">
        <v>655</v>
      </c>
      <c r="B20" s="615"/>
      <c r="C20" s="615"/>
      <c r="D20" s="615"/>
      <c r="E20" s="618"/>
      <c r="F20" s="609">
        <v>13</v>
      </c>
      <c r="G20" s="609">
        <v>10</v>
      </c>
      <c r="H20" s="614" t="s">
        <v>656</v>
      </c>
      <c r="I20" s="613"/>
      <c r="J20" s="613"/>
      <c r="K20" s="618"/>
      <c r="O20" s="148"/>
    </row>
    <row r="21" spans="1:15" s="147" customFormat="1" x14ac:dyDescent="0.2">
      <c r="A21" s="616" t="s">
        <v>631</v>
      </c>
      <c r="B21" s="616"/>
      <c r="C21" s="616"/>
      <c r="D21" s="616"/>
      <c r="F21" s="612"/>
      <c r="G21" s="612"/>
      <c r="I21" s="612"/>
      <c r="J21" s="612"/>
    </row>
    <row r="22" spans="1:15" x14ac:dyDescent="0.2">
      <c r="A22" s="614" t="s">
        <v>657</v>
      </c>
      <c r="B22" s="615"/>
      <c r="C22" s="615"/>
      <c r="D22" s="615"/>
      <c r="E22" s="618"/>
      <c r="F22" s="609">
        <v>8</v>
      </c>
      <c r="G22" s="609">
        <v>13</v>
      </c>
      <c r="H22" s="614" t="s">
        <v>658</v>
      </c>
      <c r="I22" s="613"/>
      <c r="J22" s="613"/>
      <c r="K22" s="618"/>
      <c r="O22" s="148"/>
    </row>
    <row r="23" spans="1:15" x14ac:dyDescent="0.2">
      <c r="A23" s="614" t="s">
        <v>659</v>
      </c>
      <c r="B23" s="615"/>
      <c r="C23" s="615"/>
      <c r="D23" s="615"/>
      <c r="E23" s="618"/>
      <c r="F23" s="609">
        <v>13</v>
      </c>
      <c r="G23" s="609">
        <v>5</v>
      </c>
      <c r="H23" s="614" t="s">
        <v>660</v>
      </c>
      <c r="I23" s="613"/>
      <c r="J23" s="613"/>
      <c r="K23" s="618"/>
      <c r="O23" s="148"/>
    </row>
    <row r="24" spans="1:15" x14ac:dyDescent="0.2">
      <c r="A24" s="614" t="s">
        <v>661</v>
      </c>
      <c r="B24" s="615"/>
      <c r="C24" s="615"/>
      <c r="D24" s="615"/>
      <c r="E24" s="618"/>
      <c r="F24" s="609">
        <v>13</v>
      </c>
      <c r="G24" s="609">
        <v>10</v>
      </c>
      <c r="H24" s="614" t="s">
        <v>662</v>
      </c>
      <c r="I24" s="613"/>
      <c r="J24" s="613"/>
      <c r="K24" s="618"/>
      <c r="O24" s="148"/>
    </row>
    <row r="25" spans="1:15" x14ac:dyDescent="0.2">
      <c r="A25" s="614" t="s">
        <v>647</v>
      </c>
      <c r="B25" s="615"/>
      <c r="C25" s="615"/>
      <c r="D25" s="615"/>
      <c r="E25" s="618"/>
      <c r="F25" s="610">
        <v>11</v>
      </c>
      <c r="G25" s="609">
        <v>9</v>
      </c>
      <c r="H25" s="614" t="s">
        <v>663</v>
      </c>
      <c r="I25" s="613"/>
      <c r="J25" s="613"/>
      <c r="K25" s="618"/>
      <c r="O25" s="148"/>
    </row>
    <row r="26" spans="1:15" s="147" customFormat="1" x14ac:dyDescent="0.2">
      <c r="A26" s="616" t="s">
        <v>632</v>
      </c>
      <c r="B26" s="616"/>
      <c r="C26" s="616"/>
      <c r="D26" s="616"/>
      <c r="F26" s="612"/>
      <c r="G26" s="612"/>
      <c r="I26" s="612"/>
      <c r="J26" s="612"/>
    </row>
    <row r="27" spans="1:15" x14ac:dyDescent="0.2">
      <c r="A27" s="614" t="s">
        <v>664</v>
      </c>
      <c r="B27" s="615"/>
      <c r="C27" s="615"/>
      <c r="D27" s="615"/>
      <c r="E27" s="618"/>
      <c r="F27" s="609">
        <v>9</v>
      </c>
      <c r="G27" s="609">
        <v>13</v>
      </c>
      <c r="H27" s="614" t="s">
        <v>665</v>
      </c>
      <c r="I27" s="613"/>
      <c r="J27" s="613"/>
      <c r="K27" s="618"/>
      <c r="O27" s="148"/>
    </row>
    <row r="28" spans="1:15" x14ac:dyDescent="0.2">
      <c r="A28" s="614" t="s">
        <v>666</v>
      </c>
      <c r="B28" s="615"/>
      <c r="C28" s="615"/>
      <c r="D28" s="615"/>
      <c r="E28" s="618"/>
      <c r="F28" s="609">
        <v>1</v>
      </c>
      <c r="G28" s="609">
        <v>13</v>
      </c>
      <c r="H28" s="614" t="s">
        <v>667</v>
      </c>
      <c r="I28" s="613"/>
      <c r="J28" s="613"/>
      <c r="K28" s="618"/>
      <c r="O28" s="148"/>
    </row>
    <row r="29" spans="1:15" x14ac:dyDescent="0.2">
      <c r="A29" s="614" t="s">
        <v>668</v>
      </c>
      <c r="B29" s="615"/>
      <c r="C29" s="615"/>
      <c r="D29" s="615"/>
      <c r="E29" s="618"/>
      <c r="F29" s="609">
        <v>9</v>
      </c>
      <c r="G29" s="609">
        <v>13</v>
      </c>
      <c r="H29" s="614" t="s">
        <v>669</v>
      </c>
      <c r="I29" s="613"/>
      <c r="J29" s="613"/>
      <c r="K29" s="618"/>
      <c r="O29" s="148"/>
    </row>
    <row r="30" spans="1:15" x14ac:dyDescent="0.2">
      <c r="A30" s="614" t="s">
        <v>670</v>
      </c>
      <c r="B30" s="615"/>
      <c r="C30" s="615"/>
      <c r="D30" s="615"/>
      <c r="E30" s="618"/>
      <c r="F30" s="609">
        <v>13</v>
      </c>
      <c r="G30" s="609">
        <v>0</v>
      </c>
      <c r="H30" s="614" t="s">
        <v>671</v>
      </c>
      <c r="I30" s="613"/>
      <c r="J30" s="613"/>
      <c r="K30" s="618"/>
      <c r="O30" s="148"/>
    </row>
    <row r="31" spans="1:15" x14ac:dyDescent="0.2">
      <c r="B31" s="611"/>
      <c r="C31" s="611"/>
      <c r="D31" s="611"/>
      <c r="E31" s="611"/>
      <c r="F31" s="147"/>
      <c r="G31" s="147"/>
      <c r="H31" s="147"/>
      <c r="I31" s="147"/>
      <c r="J31" s="147"/>
      <c r="K31" s="611"/>
      <c r="O31" s="148"/>
    </row>
    <row r="32" spans="1:15" x14ac:dyDescent="0.2">
      <c r="A32" s="626" t="s">
        <v>672</v>
      </c>
      <c r="O32" s="148"/>
    </row>
    <row r="34" spans="1:10" x14ac:dyDescent="0.2">
      <c r="A34" s="608"/>
      <c r="B34" s="608"/>
      <c r="C34" s="610" t="s">
        <v>628</v>
      </c>
      <c r="D34" s="610" t="s">
        <v>629</v>
      </c>
      <c r="E34" s="610" t="s">
        <v>630</v>
      </c>
      <c r="F34" s="731" t="s">
        <v>631</v>
      </c>
      <c r="G34" s="732"/>
      <c r="H34" s="610" t="s">
        <v>632</v>
      </c>
      <c r="I34" s="625" t="s">
        <v>673</v>
      </c>
      <c r="J34" s="610" t="s">
        <v>676</v>
      </c>
    </row>
    <row r="35" spans="1:10" x14ac:dyDescent="0.2">
      <c r="A35" s="608">
        <v>1</v>
      </c>
      <c r="B35" s="627" t="s">
        <v>59</v>
      </c>
      <c r="C35" s="609">
        <v>13</v>
      </c>
      <c r="D35" s="609">
        <v>13</v>
      </c>
      <c r="E35" s="609">
        <v>13</v>
      </c>
      <c r="F35" s="729">
        <v>13</v>
      </c>
      <c r="G35" s="730"/>
      <c r="H35" s="609">
        <v>13</v>
      </c>
      <c r="I35" s="625">
        <v>65</v>
      </c>
      <c r="J35" s="609">
        <v>5</v>
      </c>
    </row>
    <row r="36" spans="1:10" x14ac:dyDescent="0.2">
      <c r="A36" s="608">
        <v>2</v>
      </c>
      <c r="B36" s="620" t="s">
        <v>674</v>
      </c>
      <c r="C36" s="609">
        <v>13</v>
      </c>
      <c r="D36" s="610">
        <v>11</v>
      </c>
      <c r="E36" s="609">
        <v>13</v>
      </c>
      <c r="F36" s="729">
        <v>13</v>
      </c>
      <c r="G36" s="730"/>
      <c r="H36" s="609">
        <v>13</v>
      </c>
      <c r="I36" s="625">
        <v>63</v>
      </c>
      <c r="J36" s="609">
        <v>5</v>
      </c>
    </row>
    <row r="37" spans="1:10" x14ac:dyDescent="0.2">
      <c r="A37" s="608">
        <v>3</v>
      </c>
      <c r="B37" s="621" t="s">
        <v>45</v>
      </c>
      <c r="C37" s="609">
        <v>13</v>
      </c>
      <c r="D37" s="609">
        <v>13</v>
      </c>
      <c r="E37" s="609">
        <v>13</v>
      </c>
      <c r="F37" s="729">
        <v>9</v>
      </c>
      <c r="G37" s="730"/>
      <c r="H37" s="609">
        <v>9</v>
      </c>
      <c r="I37" s="625">
        <v>57</v>
      </c>
      <c r="J37" s="609">
        <v>3</v>
      </c>
    </row>
    <row r="38" spans="1:10" x14ac:dyDescent="0.2">
      <c r="A38" s="608">
        <v>4</v>
      </c>
      <c r="B38" s="54" t="s">
        <v>33</v>
      </c>
      <c r="C38" s="609">
        <v>3</v>
      </c>
      <c r="D38" s="610">
        <v>11</v>
      </c>
      <c r="E38" s="609">
        <v>13</v>
      </c>
      <c r="F38" s="729">
        <v>13</v>
      </c>
      <c r="G38" s="730"/>
      <c r="H38" s="609">
        <v>13</v>
      </c>
      <c r="I38" s="625">
        <v>53</v>
      </c>
      <c r="J38" s="609">
        <v>4</v>
      </c>
    </row>
    <row r="39" spans="1:10" x14ac:dyDescent="0.2">
      <c r="A39" s="608">
        <v>5</v>
      </c>
      <c r="B39" s="54" t="s">
        <v>251</v>
      </c>
      <c r="C39" s="609">
        <v>13</v>
      </c>
      <c r="D39" s="609">
        <v>7</v>
      </c>
      <c r="E39" s="610">
        <v>12</v>
      </c>
      <c r="F39" s="729">
        <v>8</v>
      </c>
      <c r="G39" s="730"/>
      <c r="H39" s="609">
        <v>13</v>
      </c>
      <c r="I39" s="625">
        <v>53</v>
      </c>
      <c r="J39" s="609">
        <v>3</v>
      </c>
    </row>
    <row r="40" spans="1:10" x14ac:dyDescent="0.2">
      <c r="A40" s="608">
        <v>6</v>
      </c>
      <c r="B40" s="54" t="s">
        <v>26</v>
      </c>
      <c r="C40" s="609">
        <v>7</v>
      </c>
      <c r="D40" s="609">
        <v>8</v>
      </c>
      <c r="E40" s="610">
        <v>12</v>
      </c>
      <c r="F40" s="729">
        <v>13</v>
      </c>
      <c r="G40" s="730"/>
      <c r="H40" s="609">
        <v>13</v>
      </c>
      <c r="I40" s="625">
        <v>53</v>
      </c>
      <c r="J40" s="609">
        <v>3</v>
      </c>
    </row>
    <row r="41" spans="1:10" x14ac:dyDescent="0.2">
      <c r="A41" s="608">
        <v>7</v>
      </c>
      <c r="B41" s="54" t="s">
        <v>30</v>
      </c>
      <c r="C41" s="609">
        <v>13</v>
      </c>
      <c r="D41" s="609">
        <v>13</v>
      </c>
      <c r="E41" s="609">
        <v>10</v>
      </c>
      <c r="F41" s="729">
        <v>8</v>
      </c>
      <c r="G41" s="730"/>
      <c r="H41" s="609">
        <v>9</v>
      </c>
      <c r="I41" s="625">
        <v>53</v>
      </c>
      <c r="J41" s="609">
        <v>2</v>
      </c>
    </row>
    <row r="42" spans="1:10" x14ac:dyDescent="0.2">
      <c r="A42" s="608">
        <v>8</v>
      </c>
      <c r="B42" s="54" t="s">
        <v>38</v>
      </c>
      <c r="C42" s="609">
        <v>13</v>
      </c>
      <c r="D42" s="610">
        <v>11</v>
      </c>
      <c r="E42" s="609">
        <v>13</v>
      </c>
      <c r="F42" s="729">
        <v>13</v>
      </c>
      <c r="G42" s="730"/>
      <c r="H42" s="609">
        <v>1</v>
      </c>
      <c r="I42" s="625">
        <v>51</v>
      </c>
      <c r="J42" s="609">
        <v>4</v>
      </c>
    </row>
    <row r="43" spans="1:10" x14ac:dyDescent="0.2">
      <c r="A43" s="608">
        <v>9</v>
      </c>
      <c r="B43" s="54" t="s">
        <v>250</v>
      </c>
      <c r="C43" s="609">
        <v>7</v>
      </c>
      <c r="D43" s="609">
        <v>13</v>
      </c>
      <c r="E43" s="609">
        <v>2</v>
      </c>
      <c r="F43" s="729">
        <v>13</v>
      </c>
      <c r="G43" s="730"/>
      <c r="H43" s="609">
        <v>13</v>
      </c>
      <c r="I43" s="625">
        <v>48</v>
      </c>
      <c r="J43" s="609">
        <v>3</v>
      </c>
    </row>
    <row r="44" spans="1:10" x14ac:dyDescent="0.2">
      <c r="A44" s="608">
        <v>10</v>
      </c>
      <c r="B44" s="54" t="s">
        <v>559</v>
      </c>
      <c r="C44" s="609">
        <v>1</v>
      </c>
      <c r="D44" s="609">
        <v>13</v>
      </c>
      <c r="E44" s="609">
        <v>10</v>
      </c>
      <c r="F44" s="729">
        <v>10</v>
      </c>
      <c r="G44" s="730"/>
      <c r="H44" s="609">
        <v>13</v>
      </c>
      <c r="I44" s="625">
        <v>47</v>
      </c>
      <c r="J44" s="609">
        <v>2</v>
      </c>
    </row>
    <row r="45" spans="1:10" x14ac:dyDescent="0.2">
      <c r="A45" s="608">
        <v>11</v>
      </c>
      <c r="B45" s="54" t="s">
        <v>41</v>
      </c>
      <c r="C45" s="609">
        <v>13</v>
      </c>
      <c r="D45" s="609">
        <v>12</v>
      </c>
      <c r="E45" s="609">
        <v>2</v>
      </c>
      <c r="F45" s="729">
        <v>11</v>
      </c>
      <c r="G45" s="730"/>
      <c r="H45" s="609">
        <v>9</v>
      </c>
      <c r="I45" s="625">
        <v>47</v>
      </c>
      <c r="J45" s="609">
        <v>1</v>
      </c>
    </row>
    <row r="46" spans="1:10" x14ac:dyDescent="0.2">
      <c r="A46" s="608">
        <v>12</v>
      </c>
      <c r="B46" s="54" t="s">
        <v>177</v>
      </c>
      <c r="C46" s="609">
        <v>7</v>
      </c>
      <c r="D46" s="609">
        <v>7</v>
      </c>
      <c r="E46" s="609">
        <v>10</v>
      </c>
      <c r="F46" s="729">
        <v>13</v>
      </c>
      <c r="G46" s="730"/>
      <c r="H46" s="609">
        <v>9</v>
      </c>
      <c r="I46" s="625">
        <v>46</v>
      </c>
      <c r="J46" s="609">
        <v>1</v>
      </c>
    </row>
    <row r="47" spans="1:10" x14ac:dyDescent="0.2">
      <c r="A47" s="608">
        <v>13</v>
      </c>
      <c r="B47" s="54" t="s">
        <v>257</v>
      </c>
      <c r="C47" s="609">
        <v>13</v>
      </c>
      <c r="D47" s="609">
        <v>8</v>
      </c>
      <c r="E47" s="609">
        <v>10</v>
      </c>
      <c r="F47" s="729">
        <v>13</v>
      </c>
      <c r="G47" s="730"/>
      <c r="H47" s="609">
        <v>1</v>
      </c>
      <c r="I47" s="625">
        <v>45</v>
      </c>
      <c r="J47" s="609">
        <v>2</v>
      </c>
    </row>
    <row r="48" spans="1:10" x14ac:dyDescent="0.2">
      <c r="A48" s="608">
        <v>14</v>
      </c>
      <c r="B48" s="54" t="s">
        <v>51</v>
      </c>
      <c r="C48" s="609">
        <v>2</v>
      </c>
      <c r="D48" s="609">
        <v>7</v>
      </c>
      <c r="E48" s="609">
        <v>13</v>
      </c>
      <c r="F48" s="729">
        <v>9</v>
      </c>
      <c r="G48" s="730"/>
      <c r="H48" s="609">
        <v>13</v>
      </c>
      <c r="I48" s="625">
        <v>44</v>
      </c>
      <c r="J48" s="609">
        <v>2</v>
      </c>
    </row>
    <row r="49" spans="1:10" x14ac:dyDescent="0.2">
      <c r="A49" s="608">
        <v>15</v>
      </c>
      <c r="B49" s="54" t="s">
        <v>256</v>
      </c>
      <c r="C49" s="609">
        <v>13</v>
      </c>
      <c r="D49" s="609">
        <v>7</v>
      </c>
      <c r="E49" s="609">
        <v>0</v>
      </c>
      <c r="F49" s="729">
        <v>10</v>
      </c>
      <c r="G49" s="730"/>
      <c r="H49" s="609">
        <v>13</v>
      </c>
      <c r="I49" s="625">
        <v>43</v>
      </c>
      <c r="J49" s="609">
        <v>2</v>
      </c>
    </row>
    <row r="50" spans="1:10" x14ac:dyDescent="0.2">
      <c r="A50" s="608">
        <v>16</v>
      </c>
      <c r="B50" s="54" t="s">
        <v>255</v>
      </c>
      <c r="C50" s="609">
        <v>13</v>
      </c>
      <c r="D50" s="609">
        <v>7</v>
      </c>
      <c r="E50" s="609">
        <v>0</v>
      </c>
      <c r="F50" s="729">
        <v>13</v>
      </c>
      <c r="G50" s="730"/>
      <c r="H50" s="609">
        <v>9</v>
      </c>
      <c r="I50" s="625">
        <v>42</v>
      </c>
      <c r="J50" s="609">
        <v>2</v>
      </c>
    </row>
    <row r="51" spans="1:10" x14ac:dyDescent="0.2">
      <c r="A51" s="608">
        <v>17</v>
      </c>
      <c r="B51" s="54" t="s">
        <v>654</v>
      </c>
      <c r="C51" s="609">
        <v>1</v>
      </c>
      <c r="D51" s="609">
        <v>13</v>
      </c>
      <c r="E51" s="609">
        <v>13</v>
      </c>
      <c r="F51" s="729">
        <v>5</v>
      </c>
      <c r="G51" s="730"/>
      <c r="H51" s="609">
        <v>9</v>
      </c>
      <c r="I51" s="625">
        <v>41</v>
      </c>
      <c r="J51" s="609">
        <v>2</v>
      </c>
    </row>
    <row r="52" spans="1:10" x14ac:dyDescent="0.2">
      <c r="A52" s="608">
        <v>18</v>
      </c>
      <c r="B52" s="54" t="s">
        <v>39</v>
      </c>
      <c r="C52" s="609">
        <v>3</v>
      </c>
      <c r="D52" s="609">
        <v>12</v>
      </c>
      <c r="E52" s="609">
        <v>2</v>
      </c>
      <c r="F52" s="729">
        <v>11</v>
      </c>
      <c r="G52" s="730"/>
      <c r="H52" s="609">
        <v>13</v>
      </c>
      <c r="I52" s="625">
        <v>41</v>
      </c>
      <c r="J52" s="609">
        <v>1</v>
      </c>
    </row>
    <row r="53" spans="1:10" x14ac:dyDescent="0.2">
      <c r="A53" s="608">
        <v>19</v>
      </c>
      <c r="B53" s="54" t="s">
        <v>40</v>
      </c>
      <c r="C53" s="609">
        <v>13</v>
      </c>
      <c r="D53" s="609">
        <v>8</v>
      </c>
      <c r="E53" s="609">
        <v>0</v>
      </c>
      <c r="F53" s="729">
        <v>5</v>
      </c>
      <c r="G53" s="730"/>
      <c r="H53" s="609">
        <v>13</v>
      </c>
      <c r="I53" s="625">
        <v>39</v>
      </c>
      <c r="J53" s="609">
        <v>2</v>
      </c>
    </row>
    <row r="54" spans="1:10" x14ac:dyDescent="0.2">
      <c r="A54" s="608">
        <v>20</v>
      </c>
      <c r="B54" s="54" t="s">
        <v>44</v>
      </c>
      <c r="C54" s="609">
        <v>2</v>
      </c>
      <c r="D54" s="609">
        <v>13</v>
      </c>
      <c r="E54" s="609">
        <v>13</v>
      </c>
      <c r="F54" s="729">
        <v>10</v>
      </c>
      <c r="G54" s="730"/>
      <c r="H54" s="609">
        <v>0</v>
      </c>
      <c r="I54" s="625">
        <v>38</v>
      </c>
      <c r="J54" s="609">
        <v>2</v>
      </c>
    </row>
    <row r="55" spans="1:10" x14ac:dyDescent="0.2">
      <c r="A55" s="608">
        <v>21</v>
      </c>
      <c r="B55" s="54" t="s">
        <v>35</v>
      </c>
      <c r="C55" s="609">
        <v>1</v>
      </c>
      <c r="D55" s="609">
        <v>13</v>
      </c>
      <c r="E55" s="610">
        <v>12</v>
      </c>
      <c r="F55" s="729">
        <v>8</v>
      </c>
      <c r="G55" s="730"/>
      <c r="H55" s="609">
        <v>1</v>
      </c>
      <c r="I55" s="625">
        <v>35</v>
      </c>
      <c r="J55" s="609">
        <v>2</v>
      </c>
    </row>
    <row r="56" spans="1:10" x14ac:dyDescent="0.2">
      <c r="A56" s="608">
        <v>22</v>
      </c>
      <c r="B56" s="54" t="s">
        <v>675</v>
      </c>
      <c r="C56" s="609">
        <v>2</v>
      </c>
      <c r="D56" s="609">
        <v>7</v>
      </c>
      <c r="E56" s="609">
        <v>10</v>
      </c>
      <c r="F56" s="729">
        <v>5</v>
      </c>
      <c r="G56" s="730"/>
      <c r="H56" s="609">
        <v>0</v>
      </c>
      <c r="I56" s="625">
        <v>24</v>
      </c>
      <c r="J56" s="609">
        <v>0</v>
      </c>
    </row>
  </sheetData>
  <mergeCells count="23">
    <mergeCell ref="F56:G56"/>
    <mergeCell ref="F34:G34"/>
    <mergeCell ref="F50:G50"/>
    <mergeCell ref="F51:G51"/>
    <mergeCell ref="F52:G52"/>
    <mergeCell ref="F53:G53"/>
    <mergeCell ref="F54:G54"/>
    <mergeCell ref="F55:G55"/>
    <mergeCell ref="F44:G44"/>
    <mergeCell ref="F45:G45"/>
    <mergeCell ref="F46:G46"/>
    <mergeCell ref="F47:G47"/>
    <mergeCell ref="F48:G48"/>
    <mergeCell ref="F49:G49"/>
    <mergeCell ref="F35:G35"/>
    <mergeCell ref="F36:G36"/>
    <mergeCell ref="F42:G42"/>
    <mergeCell ref="F43:G43"/>
    <mergeCell ref="F37:G37"/>
    <mergeCell ref="F38:G38"/>
    <mergeCell ref="F39:G39"/>
    <mergeCell ref="F40:G40"/>
    <mergeCell ref="F41:G41"/>
  </mergeCells>
  <conditionalFormatting sqref="C7:H33 C35:H56 C34:F34 H34">
    <cfRule type="cellIs" dxfId="112" priority="2" operator="equal">
      <formula>13</formula>
    </cfRule>
  </conditionalFormatting>
  <conditionalFormatting sqref="J35:J56">
    <cfRule type="top10" dxfId="111" priority="1" rank="1"/>
  </conditionalFormatting>
  <pageMargins left="0.78740157480314965" right="0.39370078740157483" top="0.78740157480314965" bottom="0.39370078740157483" header="0.59055118110236227" footer="0"/>
  <pageSetup paperSize="9" fitToHeight="0" orientation="portrait" verticalDpi="1200" r:id="rId1"/>
  <headerFooter>
    <oddHeader>&amp;R&amp;"Arial,Regular"&amp;9Page &amp;P of &amp;N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59"/>
  <sheetViews>
    <sheetView showGridLines="0" showRowColHeaders="0" zoomScaleNormal="100" workbookViewId="0">
      <pane ySplit="2" topLeftCell="A3" activePane="bottomLeft" state="frozen"/>
      <selection activeCell="I1" sqref="I1"/>
      <selection pane="bottomLeft" activeCell="F1" sqref="F1"/>
    </sheetView>
  </sheetViews>
  <sheetFormatPr defaultRowHeight="12.75" x14ac:dyDescent="0.2"/>
  <cols>
    <col min="1" max="1" width="3" style="40" customWidth="1"/>
    <col min="2" max="2" width="48.5703125" style="40" bestFit="1" customWidth="1"/>
    <col min="3" max="3" width="7.28515625" style="40" bestFit="1" customWidth="1"/>
    <col min="4" max="4" width="7.42578125" style="40" bestFit="1" customWidth="1"/>
    <col min="5" max="5" width="9.140625" style="40"/>
    <col min="6" max="6" width="6.7109375" style="40" bestFit="1" customWidth="1"/>
    <col min="7" max="7" width="5.140625" style="40" bestFit="1" customWidth="1"/>
    <col min="8" max="8" width="8.7109375" style="40" customWidth="1"/>
    <col min="9" max="9" width="7.7109375" style="40" customWidth="1"/>
    <col min="10" max="10" width="5.7109375" style="40" customWidth="1"/>
    <col min="11" max="16384" width="9.140625" style="40"/>
  </cols>
  <sheetData>
    <row r="1" spans="1:8" x14ac:dyDescent="0.2">
      <c r="A1" s="138" t="str">
        <f>UPPER((Kalend!D35)&amp;" - "&amp;(Kalend!C35)&amp;" - "&amp;(Kalend!E35))</f>
        <v>11 - EESTI REITINGUVÕISTLUS - TRIO</v>
      </c>
      <c r="D1" s="61" t="str">
        <f>HYPERLINK("#'Üldreiting'!T1","Reiting")</f>
        <v>Reiting</v>
      </c>
    </row>
    <row r="2" spans="1:8" x14ac:dyDescent="0.2">
      <c r="A2" s="148" t="str">
        <f>"Toimumisaeg: "&amp;(Kalend!A35)&amp;" kell "&amp;(Kalend!B35)</f>
        <v>Toimumisaeg: P, 09.04.2017 kell 10:00</v>
      </c>
    </row>
    <row r="3" spans="1:8" x14ac:dyDescent="0.2">
      <c r="A3" s="148" t="str">
        <f>"Toimumiskoht: "&amp;(Kalend!F35)</f>
        <v>Toimumiskoht: Tallinn, Algi 38</v>
      </c>
    </row>
    <row r="4" spans="1:8" x14ac:dyDescent="0.2">
      <c r="A4" s="148" t="str">
        <f>"Korraldaja: "&amp;(Kalend!G35)</f>
        <v>Korraldaja: EPKL</v>
      </c>
      <c r="G4" s="628" t="s">
        <v>686</v>
      </c>
    </row>
    <row r="5" spans="1:8" s="148" customFormat="1" x14ac:dyDescent="0.2"/>
    <row r="6" spans="1:8" s="148" customFormat="1" x14ac:dyDescent="0.2">
      <c r="A6" s="41" t="s">
        <v>69</v>
      </c>
      <c r="B6" s="41"/>
      <c r="C6" s="42" t="s">
        <v>70</v>
      </c>
      <c r="D6" s="42" t="s">
        <v>71</v>
      </c>
      <c r="E6" s="42" t="s">
        <v>72</v>
      </c>
      <c r="F6" s="42" t="s">
        <v>73</v>
      </c>
      <c r="G6" s="42" t="s">
        <v>19</v>
      </c>
      <c r="H6" s="43"/>
    </row>
    <row r="7" spans="1:8" s="148" customFormat="1" x14ac:dyDescent="0.2">
      <c r="A7" s="41">
        <v>1</v>
      </c>
      <c r="B7" s="355" t="s">
        <v>678</v>
      </c>
      <c r="C7" s="45">
        <v>13</v>
      </c>
      <c r="D7" s="45">
        <v>13</v>
      </c>
      <c r="E7" s="45"/>
      <c r="F7" s="45"/>
      <c r="G7" s="232" t="s">
        <v>74</v>
      </c>
      <c r="H7" s="43"/>
    </row>
    <row r="8" spans="1:8" s="148" customFormat="1" x14ac:dyDescent="0.2">
      <c r="A8" s="41">
        <v>2</v>
      </c>
      <c r="B8" s="355" t="s">
        <v>689</v>
      </c>
      <c r="C8" s="45">
        <v>13</v>
      </c>
      <c r="D8" s="45">
        <v>4</v>
      </c>
      <c r="E8" s="45"/>
      <c r="F8" s="45">
        <v>13</v>
      </c>
      <c r="G8" s="232" t="s">
        <v>75</v>
      </c>
      <c r="H8" s="43"/>
    </row>
    <row r="9" spans="1:8" s="148" customFormat="1" x14ac:dyDescent="0.2">
      <c r="A9" s="41">
        <v>3</v>
      </c>
      <c r="B9" s="355" t="s">
        <v>360</v>
      </c>
      <c r="C9" s="45">
        <v>3</v>
      </c>
      <c r="D9" s="45"/>
      <c r="E9" s="45">
        <v>6</v>
      </c>
      <c r="F9" s="45"/>
      <c r="G9" s="232" t="s">
        <v>98</v>
      </c>
      <c r="H9" s="43"/>
    </row>
    <row r="10" spans="1:8" s="148" customFormat="1" x14ac:dyDescent="0.2">
      <c r="A10" s="41">
        <v>4</v>
      </c>
      <c r="B10" s="354" t="s">
        <v>679</v>
      </c>
      <c r="C10" s="45">
        <v>7</v>
      </c>
      <c r="D10" s="45"/>
      <c r="E10" s="45">
        <v>13</v>
      </c>
      <c r="F10" s="45">
        <v>12</v>
      </c>
      <c r="G10" s="232" t="s">
        <v>76</v>
      </c>
      <c r="H10" s="43"/>
    </row>
    <row r="11" spans="1:8" s="148" customFormat="1" x14ac:dyDescent="0.2">
      <c r="A11" s="47"/>
      <c r="B11" s="48"/>
      <c r="C11" s="49"/>
      <c r="D11" s="49"/>
      <c r="E11" s="49"/>
      <c r="F11" s="50"/>
      <c r="G11" s="51"/>
      <c r="H11" s="43"/>
    </row>
    <row r="12" spans="1:8" s="148" customFormat="1" x14ac:dyDescent="0.2">
      <c r="A12" s="41" t="s">
        <v>77</v>
      </c>
      <c r="B12" s="41"/>
      <c r="C12" s="42" t="s">
        <v>70</v>
      </c>
      <c r="D12" s="42" t="s">
        <v>71</v>
      </c>
      <c r="E12" s="42" t="s">
        <v>72</v>
      </c>
      <c r="F12" s="42" t="s">
        <v>73</v>
      </c>
      <c r="G12" s="42" t="s">
        <v>19</v>
      </c>
      <c r="H12" s="43"/>
    </row>
    <row r="13" spans="1:8" s="148" customFormat="1" x14ac:dyDescent="0.2">
      <c r="A13" s="41">
        <v>1</v>
      </c>
      <c r="B13" s="355" t="s">
        <v>680</v>
      </c>
      <c r="C13" s="45">
        <v>13</v>
      </c>
      <c r="D13" s="45">
        <v>13</v>
      </c>
      <c r="E13" s="45"/>
      <c r="F13" s="45"/>
      <c r="G13" s="232" t="s">
        <v>74</v>
      </c>
      <c r="H13" s="43"/>
    </row>
    <row r="14" spans="1:8" s="148" customFormat="1" x14ac:dyDescent="0.2">
      <c r="A14" s="41">
        <v>2</v>
      </c>
      <c r="B14" s="355" t="s">
        <v>681</v>
      </c>
      <c r="C14" s="45">
        <v>10</v>
      </c>
      <c r="D14" s="45"/>
      <c r="E14" s="45">
        <v>4</v>
      </c>
      <c r="F14" s="45"/>
      <c r="G14" s="232" t="s">
        <v>98</v>
      </c>
      <c r="H14" s="43"/>
    </row>
    <row r="15" spans="1:8" s="148" customFormat="1" x14ac:dyDescent="0.2">
      <c r="A15" s="41">
        <v>3</v>
      </c>
      <c r="B15" s="355" t="s">
        <v>682</v>
      </c>
      <c r="C15" s="45">
        <v>13</v>
      </c>
      <c r="D15" s="45">
        <v>8</v>
      </c>
      <c r="E15" s="45"/>
      <c r="F15" s="45">
        <v>9</v>
      </c>
      <c r="G15" s="232" t="s">
        <v>76</v>
      </c>
      <c r="H15" s="43"/>
    </row>
    <row r="16" spans="1:8" s="148" customFormat="1" x14ac:dyDescent="0.2">
      <c r="A16" s="41">
        <v>4</v>
      </c>
      <c r="B16" s="354" t="s">
        <v>683</v>
      </c>
      <c r="C16" s="45">
        <v>10</v>
      </c>
      <c r="D16" s="45"/>
      <c r="E16" s="45">
        <v>13</v>
      </c>
      <c r="F16" s="45">
        <v>13</v>
      </c>
      <c r="G16" s="232" t="s">
        <v>75</v>
      </c>
      <c r="H16" s="43"/>
    </row>
    <row r="17" spans="1:8" x14ac:dyDescent="0.2">
      <c r="A17" s="47"/>
      <c r="B17" s="52"/>
      <c r="C17" s="50"/>
      <c r="D17" s="50"/>
      <c r="E17" s="50"/>
      <c r="F17" s="50"/>
      <c r="G17" s="53"/>
      <c r="H17" s="43"/>
    </row>
    <row r="18" spans="1:8" x14ac:dyDescent="0.2">
      <c r="A18" s="62" t="s">
        <v>114</v>
      </c>
      <c r="B18" s="159"/>
      <c r="C18" s="159"/>
      <c r="D18" s="159"/>
      <c r="E18" s="159"/>
      <c r="F18" s="159"/>
      <c r="G18" s="159"/>
      <c r="H18" s="159"/>
    </row>
    <row r="19" spans="1:8" x14ac:dyDescent="0.2">
      <c r="A19" s="62"/>
      <c r="B19" s="159"/>
      <c r="C19" s="159"/>
      <c r="D19" s="159"/>
      <c r="E19" s="159"/>
      <c r="F19" s="159"/>
      <c r="G19" s="159"/>
      <c r="H19" s="159"/>
    </row>
    <row r="20" spans="1:8" s="148" customFormat="1" x14ac:dyDescent="0.2">
      <c r="A20" s="64" t="s">
        <v>82</v>
      </c>
      <c r="B20" s="159" t="s">
        <v>678</v>
      </c>
      <c r="C20" s="69">
        <v>13</v>
      </c>
      <c r="D20" s="159"/>
      <c r="E20" s="159"/>
      <c r="F20" s="159"/>
      <c r="G20" s="64"/>
      <c r="H20" s="159"/>
    </row>
    <row r="21" spans="1:8" s="148" customFormat="1" x14ac:dyDescent="0.2">
      <c r="A21" s="64"/>
      <c r="B21" s="66"/>
      <c r="C21" s="629" t="s">
        <v>678</v>
      </c>
      <c r="D21" s="160"/>
      <c r="E21" s="69">
        <v>12</v>
      </c>
      <c r="F21" s="159"/>
      <c r="G21" s="159"/>
    </row>
    <row r="22" spans="1:8" s="148" customFormat="1" x14ac:dyDescent="0.2">
      <c r="A22" s="64" t="s">
        <v>81</v>
      </c>
      <c r="B22" s="75" t="s">
        <v>683</v>
      </c>
      <c r="C22" s="70">
        <v>12</v>
      </c>
      <c r="D22" s="72"/>
      <c r="E22" s="159"/>
      <c r="F22" s="159"/>
      <c r="G22" s="159"/>
    </row>
    <row r="23" spans="1:8" s="148" customFormat="1" ht="13.5" thickBot="1" x14ac:dyDescent="0.25">
      <c r="A23" s="64"/>
      <c r="B23" s="159"/>
      <c r="C23" s="162"/>
      <c r="D23" s="72"/>
      <c r="E23" s="159"/>
      <c r="F23" s="253" t="s">
        <v>689</v>
      </c>
      <c r="G23" s="159"/>
    </row>
    <row r="24" spans="1:8" s="148" customFormat="1" x14ac:dyDescent="0.2">
      <c r="A24" s="64" t="s">
        <v>84</v>
      </c>
      <c r="B24" s="159" t="s">
        <v>680</v>
      </c>
      <c r="C24" s="149">
        <v>8</v>
      </c>
      <c r="D24" s="72"/>
      <c r="E24" s="76"/>
      <c r="F24" s="77" t="s">
        <v>85</v>
      </c>
      <c r="G24" s="78"/>
    </row>
    <row r="25" spans="1:8" s="148" customFormat="1" x14ac:dyDescent="0.2">
      <c r="A25" s="64"/>
      <c r="B25" s="66"/>
      <c r="C25" s="74" t="s">
        <v>689</v>
      </c>
      <c r="D25" s="75"/>
      <c r="E25" s="149">
        <v>13</v>
      </c>
      <c r="F25" s="159"/>
      <c r="G25" s="159"/>
    </row>
    <row r="26" spans="1:8" s="148" customFormat="1" ht="13.5" thickBot="1" x14ac:dyDescent="0.25">
      <c r="A26" s="64" t="s">
        <v>89</v>
      </c>
      <c r="B26" s="75" t="s">
        <v>689</v>
      </c>
      <c r="C26" s="82">
        <v>13</v>
      </c>
      <c r="D26" s="159"/>
      <c r="E26" s="162"/>
      <c r="F26" s="253" t="s">
        <v>678</v>
      </c>
      <c r="G26" s="161"/>
    </row>
    <row r="27" spans="1:8" s="148" customFormat="1" x14ac:dyDescent="0.2">
      <c r="A27" s="159"/>
      <c r="B27" s="159"/>
      <c r="C27" s="159"/>
      <c r="D27" s="159"/>
      <c r="E27" s="162"/>
      <c r="F27" s="77" t="s">
        <v>87</v>
      </c>
      <c r="G27" s="162"/>
    </row>
    <row r="28" spans="1:8" s="148" customFormat="1" x14ac:dyDescent="0.2">
      <c r="A28" s="159"/>
      <c r="B28" s="159"/>
      <c r="C28" s="159" t="s">
        <v>683</v>
      </c>
      <c r="D28" s="159"/>
      <c r="E28" s="149">
        <v>13</v>
      </c>
      <c r="F28" s="162"/>
      <c r="G28" s="162"/>
    </row>
    <row r="29" spans="1:8" s="148" customFormat="1" ht="13.5" thickBot="1" x14ac:dyDescent="0.25">
      <c r="A29" s="159"/>
      <c r="B29" s="159"/>
      <c r="C29" s="65"/>
      <c r="D29" s="66"/>
      <c r="E29" s="161"/>
      <c r="F29" s="624" t="s">
        <v>683</v>
      </c>
      <c r="G29" s="161"/>
    </row>
    <row r="30" spans="1:8" s="148" customFormat="1" x14ac:dyDescent="0.2">
      <c r="A30" s="159"/>
      <c r="B30" s="159"/>
      <c r="C30" s="160" t="s">
        <v>680</v>
      </c>
      <c r="D30" s="75"/>
      <c r="E30" s="69">
        <v>5</v>
      </c>
      <c r="F30" s="81" t="s">
        <v>90</v>
      </c>
      <c r="G30" s="162"/>
    </row>
    <row r="31" spans="1:8" s="148" customFormat="1" x14ac:dyDescent="0.2">
      <c r="A31" s="159"/>
      <c r="B31" s="159"/>
      <c r="C31" s="159"/>
      <c r="D31" s="159"/>
      <c r="E31" s="159"/>
      <c r="F31" s="162"/>
      <c r="G31" s="162"/>
    </row>
    <row r="32" spans="1:8" s="148" customFormat="1" ht="13.5" thickBot="1" x14ac:dyDescent="0.25">
      <c r="A32" s="159"/>
      <c r="B32" s="159"/>
      <c r="C32" s="159"/>
      <c r="D32" s="162"/>
      <c r="E32" s="159"/>
      <c r="F32" s="161" t="s">
        <v>680</v>
      </c>
      <c r="G32" s="161"/>
    </row>
    <row r="33" spans="1:8" s="148" customFormat="1" x14ac:dyDescent="0.2">
      <c r="A33" s="159"/>
      <c r="B33" s="159"/>
      <c r="C33" s="159"/>
      <c r="D33" s="162"/>
      <c r="E33" s="159"/>
      <c r="F33" s="64" t="s">
        <v>91</v>
      </c>
      <c r="G33" s="159"/>
    </row>
    <row r="34" spans="1:8" s="148" customFormat="1" x14ac:dyDescent="0.2">
      <c r="A34" s="159"/>
      <c r="B34" s="159"/>
      <c r="C34" s="159"/>
      <c r="D34" s="162"/>
      <c r="E34" s="159"/>
      <c r="F34" s="64"/>
      <c r="G34" s="159"/>
    </row>
    <row r="35" spans="1:8" s="148" customFormat="1" x14ac:dyDescent="0.2">
      <c r="A35" s="62" t="s">
        <v>119</v>
      </c>
      <c r="B35" s="159"/>
      <c r="C35" s="159"/>
      <c r="D35" s="159"/>
      <c r="E35" s="159"/>
      <c r="F35" s="159"/>
      <c r="G35" s="159"/>
      <c r="H35" s="159"/>
    </row>
    <row r="36" spans="1:8" s="148" customFormat="1" x14ac:dyDescent="0.2">
      <c r="A36" s="62"/>
      <c r="B36" s="159"/>
      <c r="C36" s="159"/>
      <c r="D36" s="159"/>
      <c r="E36" s="159"/>
      <c r="F36" s="159"/>
      <c r="G36" s="159"/>
      <c r="H36" s="159"/>
    </row>
    <row r="37" spans="1:8" s="148" customFormat="1" x14ac:dyDescent="0.2">
      <c r="A37" s="64" t="s">
        <v>103</v>
      </c>
      <c r="B37" s="159" t="s">
        <v>679</v>
      </c>
      <c r="C37" s="69">
        <v>6</v>
      </c>
      <c r="D37" s="159"/>
      <c r="E37" s="159"/>
      <c r="F37" s="64"/>
      <c r="G37" s="159"/>
      <c r="H37" s="159"/>
    </row>
    <row r="38" spans="1:8" s="148" customFormat="1" x14ac:dyDescent="0.2">
      <c r="A38" s="64"/>
      <c r="B38" s="66"/>
      <c r="C38" s="67" t="s">
        <v>681</v>
      </c>
      <c r="D38" s="160"/>
      <c r="E38" s="69">
        <v>13</v>
      </c>
      <c r="F38" s="159"/>
      <c r="G38" s="159"/>
    </row>
    <row r="39" spans="1:8" x14ac:dyDescent="0.2">
      <c r="A39" s="64" t="s">
        <v>688</v>
      </c>
      <c r="B39" s="75" t="s">
        <v>681</v>
      </c>
      <c r="C39" s="70">
        <v>13</v>
      </c>
      <c r="D39" s="72"/>
      <c r="E39" s="159"/>
      <c r="F39" s="159"/>
      <c r="G39" s="159"/>
    </row>
    <row r="40" spans="1:8" ht="13.5" thickBot="1" x14ac:dyDescent="0.25">
      <c r="A40" s="64"/>
      <c r="B40" s="159"/>
      <c r="C40" s="162"/>
      <c r="D40" s="72"/>
      <c r="E40" s="159"/>
      <c r="F40" s="159" t="s">
        <v>681</v>
      </c>
      <c r="G40" s="159"/>
    </row>
    <row r="41" spans="1:8" x14ac:dyDescent="0.2">
      <c r="A41" s="64" t="s">
        <v>105</v>
      </c>
      <c r="B41" s="159" t="s">
        <v>682</v>
      </c>
      <c r="C41" s="149">
        <v>2</v>
      </c>
      <c r="D41" s="72"/>
      <c r="E41" s="76"/>
      <c r="F41" s="77" t="s">
        <v>92</v>
      </c>
      <c r="G41" s="78"/>
    </row>
    <row r="42" spans="1:8" x14ac:dyDescent="0.2">
      <c r="A42" s="64"/>
      <c r="B42" s="66"/>
      <c r="C42" s="74" t="s">
        <v>360</v>
      </c>
      <c r="D42" s="75"/>
      <c r="E42" s="149">
        <v>12</v>
      </c>
      <c r="F42" s="159"/>
      <c r="G42" s="159"/>
    </row>
    <row r="43" spans="1:8" ht="13.5" thickBot="1" x14ac:dyDescent="0.25">
      <c r="A43" s="64" t="s">
        <v>104</v>
      </c>
      <c r="B43" s="75" t="s">
        <v>360</v>
      </c>
      <c r="C43" s="82">
        <v>13</v>
      </c>
      <c r="D43" s="159"/>
      <c r="E43" s="162"/>
      <c r="F43" s="162" t="s">
        <v>360</v>
      </c>
      <c r="G43" s="161"/>
    </row>
    <row r="44" spans="1:8" x14ac:dyDescent="0.2">
      <c r="A44" s="159"/>
      <c r="B44" s="159"/>
      <c r="C44" s="159"/>
      <c r="D44" s="159"/>
      <c r="E44" s="162"/>
      <c r="F44" s="77" t="s">
        <v>93</v>
      </c>
      <c r="G44" s="162"/>
    </row>
    <row r="45" spans="1:8" x14ac:dyDescent="0.2">
      <c r="A45" s="159"/>
      <c r="B45" s="159"/>
      <c r="C45" s="159" t="s">
        <v>679</v>
      </c>
      <c r="D45" s="159"/>
      <c r="E45" s="149">
        <v>13</v>
      </c>
      <c r="F45" s="162"/>
      <c r="G45" s="162"/>
    </row>
    <row r="46" spans="1:8" ht="13.5" thickBot="1" x14ac:dyDescent="0.25">
      <c r="A46" s="159"/>
      <c r="B46" s="159"/>
      <c r="C46" s="65"/>
      <c r="D46" s="66"/>
      <c r="E46" s="161"/>
      <c r="F46" s="161" t="s">
        <v>679</v>
      </c>
      <c r="G46" s="161"/>
    </row>
    <row r="47" spans="1:8" x14ac:dyDescent="0.2">
      <c r="A47" s="159"/>
      <c r="B47" s="159"/>
      <c r="C47" s="160" t="s">
        <v>682</v>
      </c>
      <c r="D47" s="75"/>
      <c r="E47" s="69">
        <v>12</v>
      </c>
      <c r="F47" s="81" t="s">
        <v>94</v>
      </c>
      <c r="G47" s="162"/>
    </row>
    <row r="48" spans="1:8" x14ac:dyDescent="0.2">
      <c r="A48" s="159"/>
      <c r="B48" s="159"/>
      <c r="C48" s="159"/>
      <c r="D48" s="159"/>
      <c r="E48" s="159"/>
      <c r="F48" s="162"/>
      <c r="G48" s="162"/>
    </row>
    <row r="49" spans="1:8" ht="13.5" thickBot="1" x14ac:dyDescent="0.25">
      <c r="A49" s="159"/>
      <c r="B49" s="159"/>
      <c r="C49" s="159"/>
      <c r="D49" s="162"/>
      <c r="E49" s="159"/>
      <c r="F49" s="161" t="s">
        <v>682</v>
      </c>
      <c r="G49" s="161"/>
    </row>
    <row r="50" spans="1:8" x14ac:dyDescent="0.2">
      <c r="A50" s="159"/>
      <c r="B50" s="159"/>
      <c r="C50" s="159"/>
      <c r="D50" s="162"/>
      <c r="E50" s="159"/>
      <c r="F50" s="64" t="s">
        <v>95</v>
      </c>
      <c r="G50" s="159"/>
    </row>
    <row r="51" spans="1:8" x14ac:dyDescent="0.2">
      <c r="A51" s="159"/>
      <c r="B51" s="159"/>
      <c r="C51" s="159"/>
      <c r="D51" s="159"/>
      <c r="E51" s="159"/>
      <c r="F51" s="159"/>
      <c r="G51" s="159"/>
      <c r="H51" s="159"/>
    </row>
    <row r="52" spans="1:8" x14ac:dyDescent="0.2">
      <c r="A52" s="101">
        <v>1</v>
      </c>
      <c r="B52" s="102" t="s">
        <v>689</v>
      </c>
      <c r="C52" s="148"/>
      <c r="D52" s="148"/>
      <c r="E52" s="148"/>
      <c r="F52" s="148"/>
      <c r="G52" s="148"/>
      <c r="H52" s="148"/>
    </row>
    <row r="53" spans="1:8" x14ac:dyDescent="0.2">
      <c r="A53" s="101">
        <v>2</v>
      </c>
      <c r="B53" s="103" t="s">
        <v>678</v>
      </c>
      <c r="C53" s="148"/>
      <c r="D53" s="148"/>
      <c r="E53" s="148"/>
      <c r="F53" s="148"/>
      <c r="G53" s="148"/>
      <c r="H53" s="148"/>
    </row>
    <row r="54" spans="1:8" x14ac:dyDescent="0.2">
      <c r="A54" s="101">
        <v>3</v>
      </c>
      <c r="B54" s="104" t="s">
        <v>683</v>
      </c>
      <c r="C54" s="148"/>
      <c r="D54" s="148"/>
      <c r="E54" s="148"/>
      <c r="F54" s="148"/>
      <c r="G54" s="148"/>
      <c r="H54" s="148"/>
    </row>
    <row r="55" spans="1:8" x14ac:dyDescent="0.2">
      <c r="A55" s="101">
        <v>4</v>
      </c>
      <c r="B55" s="105" t="s">
        <v>680</v>
      </c>
      <c r="C55" s="148"/>
      <c r="D55" s="148"/>
      <c r="E55" s="148"/>
      <c r="F55" s="148"/>
      <c r="G55" s="148"/>
      <c r="H55" s="148"/>
    </row>
    <row r="56" spans="1:8" x14ac:dyDescent="0.2">
      <c r="A56" s="101">
        <v>5</v>
      </c>
      <c r="B56" s="105" t="s">
        <v>681</v>
      </c>
      <c r="C56" s="148"/>
      <c r="D56" s="148"/>
      <c r="E56" s="148"/>
      <c r="F56" s="148"/>
      <c r="G56" s="148"/>
      <c r="H56" s="148"/>
    </row>
    <row r="57" spans="1:8" x14ac:dyDescent="0.2">
      <c r="A57" s="101">
        <v>6</v>
      </c>
      <c r="B57" s="105" t="s">
        <v>360</v>
      </c>
      <c r="C57" s="148"/>
      <c r="D57" s="148"/>
      <c r="E57" s="148"/>
      <c r="F57" s="148"/>
      <c r="G57" s="148"/>
      <c r="H57" s="148"/>
    </row>
    <row r="58" spans="1:8" x14ac:dyDescent="0.2">
      <c r="A58" s="101">
        <v>7</v>
      </c>
      <c r="B58" s="105" t="s">
        <v>679</v>
      </c>
      <c r="C58" s="148"/>
      <c r="D58" s="148"/>
      <c r="E58" s="148"/>
      <c r="F58" s="148"/>
      <c r="G58" s="148"/>
      <c r="H58" s="148"/>
    </row>
    <row r="59" spans="1:8" x14ac:dyDescent="0.2">
      <c r="A59" s="101">
        <v>8</v>
      </c>
      <c r="B59" s="105" t="s">
        <v>682</v>
      </c>
      <c r="C59" s="148"/>
      <c r="D59" s="148"/>
      <c r="E59" s="148"/>
      <c r="F59" s="148"/>
      <c r="G59" s="148"/>
      <c r="H59" s="148"/>
    </row>
  </sheetData>
  <conditionalFormatting sqref="C7:H19 H37 B37:E47">
    <cfRule type="cellIs" dxfId="110" priority="4" operator="equal">
      <formula>13</formula>
    </cfRule>
  </conditionalFormatting>
  <conditionalFormatting sqref="B20:F20 B21:E30">
    <cfRule type="cellIs" dxfId="109" priority="3" operator="equal">
      <formula>13</formula>
    </cfRule>
  </conditionalFormatting>
  <conditionalFormatting sqref="C35:H36">
    <cfRule type="cellIs" dxfId="108" priority="2" operator="equal">
      <formula>13</formula>
    </cfRule>
  </conditionalFormatting>
  <pageMargins left="0.39370078740157483" right="0.39370078740157483" top="0.78740157480314965" bottom="0.39370078740157483" header="0.59055118110236227" footer="0"/>
  <pageSetup paperSize="9" fitToHeight="0" orientation="landscape" verticalDpi="1200" r:id="rId1"/>
  <headerFooter>
    <oddHeader>&amp;R&amp;"Arial,Regular"&amp;9Page &amp;P of &amp;N</oddHeader>
  </headerFooter>
  <rowBreaks count="1" manualBreakCount="1">
    <brk id="3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14"/>
  <sheetViews>
    <sheetView showGridLines="0" showRowColHeaders="0" zoomScaleNormal="100" workbookViewId="0">
      <pane ySplit="2" topLeftCell="A3" activePane="bottomLeft" state="frozen"/>
      <selection activeCell="G1" sqref="G1"/>
      <selection pane="bottomLeft" activeCell="F1" sqref="F1"/>
    </sheetView>
  </sheetViews>
  <sheetFormatPr defaultRowHeight="12.75" x14ac:dyDescent="0.2"/>
  <cols>
    <col min="1" max="1" width="5.5703125" style="148" customWidth="1"/>
    <col min="2" max="2" width="47.5703125" style="148" customWidth="1"/>
    <col min="3" max="3" width="7.28515625" style="148" customWidth="1"/>
    <col min="4" max="4" width="7.42578125" style="148" bestFit="1" customWidth="1"/>
    <col min="5" max="5" width="9.140625" style="148" bestFit="1" customWidth="1"/>
    <col min="6" max="6" width="6.7109375" style="148" customWidth="1"/>
    <col min="7" max="7" width="5.140625" style="148" bestFit="1" customWidth="1"/>
    <col min="8" max="8" width="4.7109375" style="148" customWidth="1"/>
    <col min="9" max="9" width="3.7109375" style="148" customWidth="1"/>
    <col min="10" max="13" width="9.140625" style="148" customWidth="1"/>
    <col min="14" max="16384" width="9.140625" style="148"/>
  </cols>
  <sheetData>
    <row r="1" spans="1:7" x14ac:dyDescent="0.2">
      <c r="A1" s="138" t="str">
        <f>UPPER((Kalend!D38)&amp;" - "&amp;(Kalend!C38)&amp;" - "&amp;(Kalend!E38))</f>
        <v>12 - EESTI SISE-MV - TRIO</v>
      </c>
      <c r="D1" s="61" t="str">
        <f>HYPERLINK("#Üldreiting!K1","Reiting")</f>
        <v>Reiting</v>
      </c>
    </row>
    <row r="2" spans="1:7" x14ac:dyDescent="0.2">
      <c r="A2" s="148" t="str">
        <f>"Toimumisaeg: "&amp;(Kalend!A38)&amp;" kell "&amp;(Kalend!B38)</f>
        <v xml:space="preserve">Toimumisaeg: P, 23.04.2017 kell </v>
      </c>
    </row>
    <row r="3" spans="1:7" x14ac:dyDescent="0.2">
      <c r="A3" s="148" t="str">
        <f>"Toimumiskoht: "&amp;(Kalend!F38)</f>
        <v>Toimumiskoht: Tallinn, Algi 38</v>
      </c>
    </row>
    <row r="4" spans="1:7" x14ac:dyDescent="0.2">
      <c r="A4" s="148" t="str">
        <f>"Korraldaja: "&amp;(Kalend!G38)</f>
        <v>Korraldaja: EPKL</v>
      </c>
      <c r="G4" s="628" t="s">
        <v>686</v>
      </c>
    </row>
    <row r="6" spans="1:7" s="43" customFormat="1" x14ac:dyDescent="0.2">
      <c r="A6" s="283" t="s">
        <v>69</v>
      </c>
      <c r="B6" s="633"/>
      <c r="C6" s="44" t="s">
        <v>706</v>
      </c>
      <c r="D6" s="634" t="s">
        <v>71</v>
      </c>
      <c r="E6" s="634" t="s">
        <v>72</v>
      </c>
      <c r="F6" s="44" t="s">
        <v>73</v>
      </c>
      <c r="G6" s="44" t="s">
        <v>19</v>
      </c>
    </row>
    <row r="7" spans="1:7" s="43" customFormat="1" x14ac:dyDescent="0.2">
      <c r="A7" s="41">
        <v>1</v>
      </c>
      <c r="B7" s="355" t="s">
        <v>707</v>
      </c>
      <c r="C7" s="45">
        <v>13</v>
      </c>
      <c r="D7" s="45">
        <v>13</v>
      </c>
      <c r="E7" s="45"/>
      <c r="F7" s="45"/>
      <c r="G7" s="45" t="str">
        <f>IF(AND(COUNTIF(C7:F7,13)=0,COUNT(C7:F7)=2),"IV",IF(AND(COUNTIF(C7:F7,13)=1,COUNT(C7:F7)=3),"III",IF(AND(COUNTIF(C7:F7,13)=2,COUNT(C7:F7)=3),"II",IF(AND(COUNTIF(C7:F7,13)=2,COUNT(C7:F7)=2),"I"))))</f>
        <v>I</v>
      </c>
    </row>
    <row r="8" spans="1:7" s="43" customFormat="1" x14ac:dyDescent="0.2">
      <c r="A8" s="41">
        <v>2</v>
      </c>
      <c r="B8" s="226" t="s">
        <v>349</v>
      </c>
      <c r="C8" s="45">
        <v>13</v>
      </c>
      <c r="D8" s="45">
        <v>10</v>
      </c>
      <c r="E8" s="45"/>
      <c r="F8" s="45">
        <v>13</v>
      </c>
      <c r="G8" s="45" t="str">
        <f t="shared" ref="G8:G9" si="0">IF(AND(COUNTIF(C8:F8,13)=0,COUNT(C8:F8)=2),"IV",IF(AND(COUNTIF(C8:F8,13)=1,COUNT(C8:F8)=3),"III",IF(AND(COUNTIF(C8:F8,13)=2,COUNT(C8:F8)=3),"II",IF(AND(COUNTIF(C8:F8,13)=2,COUNT(C8:F8)=2),"I"))))</f>
        <v>II</v>
      </c>
    </row>
    <row r="9" spans="1:7" s="43" customFormat="1" x14ac:dyDescent="0.2">
      <c r="A9" s="41">
        <v>3</v>
      </c>
      <c r="B9" s="226" t="s">
        <v>708</v>
      </c>
      <c r="C9" s="45">
        <v>4</v>
      </c>
      <c r="D9" s="45"/>
      <c r="E9" s="45">
        <v>13</v>
      </c>
      <c r="F9" s="45">
        <v>9</v>
      </c>
      <c r="G9" s="45" t="str">
        <f t="shared" si="0"/>
        <v>III</v>
      </c>
    </row>
    <row r="10" spans="1:7" s="43" customFormat="1" x14ac:dyDescent="0.2">
      <c r="A10" s="41"/>
      <c r="B10" s="228"/>
      <c r="C10" s="45">
        <f>IF(ISBLANK(B10),0)</f>
        <v>0</v>
      </c>
      <c r="D10" s="45"/>
      <c r="E10" s="45">
        <f>IF(ISBLANK(B10),0)</f>
        <v>0</v>
      </c>
      <c r="F10" s="45"/>
      <c r="G10" s="45"/>
    </row>
    <row r="11" spans="1:7" s="43" customFormat="1" x14ac:dyDescent="0.2">
      <c r="A11" s="47"/>
      <c r="B11" s="110"/>
      <c r="C11" s="49"/>
      <c r="D11" s="49"/>
      <c r="E11" s="49"/>
      <c r="F11" s="50"/>
      <c r="G11" s="51"/>
    </row>
    <row r="12" spans="1:7" s="43" customFormat="1" x14ac:dyDescent="0.2">
      <c r="A12" s="283" t="s">
        <v>77</v>
      </c>
      <c r="B12" s="284"/>
      <c r="C12" s="44" t="s">
        <v>706</v>
      </c>
      <c r="D12" s="42" t="s">
        <v>71</v>
      </c>
      <c r="E12" s="42" t="s">
        <v>72</v>
      </c>
      <c r="F12" s="42" t="s">
        <v>73</v>
      </c>
      <c r="G12" s="42" t="s">
        <v>19</v>
      </c>
    </row>
    <row r="13" spans="1:7" s="43" customFormat="1" x14ac:dyDescent="0.2">
      <c r="A13" s="41">
        <v>1</v>
      </c>
      <c r="B13" s="355" t="s">
        <v>709</v>
      </c>
      <c r="C13" s="45">
        <v>13</v>
      </c>
      <c r="D13" s="45">
        <v>4</v>
      </c>
      <c r="E13" s="45"/>
      <c r="F13" s="45">
        <v>9</v>
      </c>
      <c r="G13" s="45" t="str">
        <f>IF(AND(COUNTIF(C13:F13,13)=0,COUNT(C13:F13)=2),"IV",IF(AND(COUNTIF(C13:F13,13)=1,COUNT(C13:F13)=3),"III",IF(AND(COUNTIF(C13:F13,13)=2,COUNT(C13:F13)=3),"II",IF(AND(COUNTIF(C13:F13,13)=2,COUNT(C13:F13)=2),"I"))))</f>
        <v>III</v>
      </c>
    </row>
    <row r="14" spans="1:7" s="43" customFormat="1" x14ac:dyDescent="0.2">
      <c r="A14" s="41">
        <v>2</v>
      </c>
      <c r="B14" s="226" t="s">
        <v>710</v>
      </c>
      <c r="C14" s="45">
        <v>13</v>
      </c>
      <c r="D14" s="45">
        <v>13</v>
      </c>
      <c r="E14" s="45"/>
      <c r="F14" s="45"/>
      <c r="G14" s="45" t="str">
        <f t="shared" ref="G14:G15" si="1">IF(AND(COUNTIF(C14:F14,13)=0,COUNT(C14:F14)=2),"IV",IF(AND(COUNTIF(C14:F14,13)=1,COUNT(C14:F14)=3),"III",IF(AND(COUNTIF(C14:F14,13)=2,COUNT(C14:F14)=3),"II",IF(AND(COUNTIF(C14:F14,13)=2,COUNT(C14:F14)=2),"I"))))</f>
        <v>I</v>
      </c>
    </row>
    <row r="15" spans="1:7" s="43" customFormat="1" x14ac:dyDescent="0.2">
      <c r="A15" s="41">
        <v>3</v>
      </c>
      <c r="B15" s="226" t="s">
        <v>719</v>
      </c>
      <c r="C15" s="45">
        <v>3</v>
      </c>
      <c r="D15" s="45"/>
      <c r="E15" s="45">
        <v>13</v>
      </c>
      <c r="F15" s="45">
        <v>13</v>
      </c>
      <c r="G15" s="45" t="str">
        <f t="shared" si="1"/>
        <v>II</v>
      </c>
    </row>
    <row r="16" spans="1:7" s="43" customFormat="1" x14ac:dyDescent="0.2">
      <c r="A16" s="41"/>
      <c r="B16" s="228"/>
      <c r="C16" s="45">
        <f>IF(ISBLANK(B16),0)</f>
        <v>0</v>
      </c>
      <c r="D16" s="45"/>
      <c r="E16" s="45">
        <f>IF(ISBLANK(B16),0)</f>
        <v>0</v>
      </c>
      <c r="F16" s="45"/>
      <c r="G16" s="45"/>
    </row>
    <row r="17" spans="1:7" s="43" customFormat="1" x14ac:dyDescent="0.2">
      <c r="A17" s="47"/>
      <c r="B17" s="110"/>
      <c r="C17" s="49"/>
      <c r="D17" s="49"/>
      <c r="E17" s="49"/>
      <c r="F17" s="50"/>
      <c r="G17" s="51"/>
    </row>
    <row r="18" spans="1:7" s="43" customFormat="1" x14ac:dyDescent="0.2">
      <c r="A18" s="283" t="s">
        <v>78</v>
      </c>
      <c r="B18" s="284"/>
      <c r="C18" s="44" t="s">
        <v>706</v>
      </c>
      <c r="D18" s="42" t="s">
        <v>71</v>
      </c>
      <c r="E18" s="42" t="s">
        <v>72</v>
      </c>
      <c r="F18" s="42" t="s">
        <v>73</v>
      </c>
      <c r="G18" s="42" t="s">
        <v>19</v>
      </c>
    </row>
    <row r="19" spans="1:7" s="43" customFormat="1" x14ac:dyDescent="0.2">
      <c r="A19" s="41">
        <v>1</v>
      </c>
      <c r="B19" s="355" t="s">
        <v>711</v>
      </c>
      <c r="C19" s="45">
        <v>13</v>
      </c>
      <c r="D19" s="45">
        <v>13</v>
      </c>
      <c r="E19" s="45"/>
      <c r="F19" s="45"/>
      <c r="G19" s="45" t="str">
        <f>IF(AND(COUNTIF(C19:F19,13)=0,COUNT(C19:F19)=2),"IV",IF(AND(COUNTIF(C19:F19,13)=1,COUNT(C19:F19)=3),"III",IF(AND(COUNTIF(C19:F19,13)=2,COUNT(C19:F19)=3),"II",IF(AND(COUNTIF(C19:F19,13)=2,COUNT(C19:F19)=2),"I"))))</f>
        <v>I</v>
      </c>
    </row>
    <row r="20" spans="1:7" s="43" customFormat="1" x14ac:dyDescent="0.2">
      <c r="A20" s="41">
        <v>2</v>
      </c>
      <c r="B20" s="226" t="s">
        <v>550</v>
      </c>
      <c r="C20" s="45">
        <v>11</v>
      </c>
      <c r="D20" s="45"/>
      <c r="E20" s="45">
        <v>13</v>
      </c>
      <c r="F20" s="45">
        <v>9</v>
      </c>
      <c r="G20" s="45" t="str">
        <f t="shared" ref="G20" si="2">IF(AND(COUNTIF(C20:F20,13)=0,COUNT(C20:F20)=2),"IV",IF(AND(COUNTIF(C20:F20,13)=1,COUNT(C20:F20)=3),"III",IF(AND(COUNTIF(C20:F20,13)=2,COUNT(C20:F20)=3),"II",IF(AND(COUNTIF(C20:F20,13)=2,COUNT(C20:F20)=2),"I"))))</f>
        <v>III</v>
      </c>
    </row>
    <row r="21" spans="1:7" s="43" customFormat="1" x14ac:dyDescent="0.2">
      <c r="A21" s="41">
        <v>3</v>
      </c>
      <c r="B21" s="226" t="s">
        <v>712</v>
      </c>
      <c r="C21" s="44">
        <v>12</v>
      </c>
      <c r="D21" s="45">
        <v>4</v>
      </c>
      <c r="E21" s="45"/>
      <c r="F21" s="45">
        <v>13</v>
      </c>
      <c r="G21" s="231" t="s">
        <v>75</v>
      </c>
    </row>
    <row r="22" spans="1:7" s="43" customFormat="1" x14ac:dyDescent="0.2">
      <c r="A22" s="41"/>
      <c r="B22" s="228"/>
      <c r="C22" s="45">
        <f>IF(ISBLANK(B22),0)</f>
        <v>0</v>
      </c>
      <c r="D22" s="45"/>
      <c r="E22" s="45">
        <f>IF(ISBLANK(B22),0)</f>
        <v>0</v>
      </c>
      <c r="F22" s="45"/>
      <c r="G22" s="45"/>
    </row>
    <row r="23" spans="1:7" s="43" customFormat="1" x14ac:dyDescent="0.2">
      <c r="A23" s="47"/>
      <c r="B23" s="110"/>
      <c r="C23" s="49"/>
      <c r="D23" s="49"/>
      <c r="E23" s="49"/>
      <c r="F23" s="50"/>
      <c r="G23" s="51"/>
    </row>
    <row r="24" spans="1:7" s="43" customFormat="1" x14ac:dyDescent="0.2">
      <c r="A24" s="283" t="s">
        <v>703</v>
      </c>
      <c r="B24" s="284"/>
      <c r="C24" s="44" t="s">
        <v>706</v>
      </c>
      <c r="D24" s="42" t="s">
        <v>71</v>
      </c>
      <c r="E24" s="42" t="s">
        <v>72</v>
      </c>
      <c r="F24" s="42" t="s">
        <v>73</v>
      </c>
      <c r="G24" s="42" t="s">
        <v>19</v>
      </c>
    </row>
    <row r="25" spans="1:7" s="43" customFormat="1" x14ac:dyDescent="0.2">
      <c r="A25" s="41">
        <v>1</v>
      </c>
      <c r="B25" s="355" t="s">
        <v>713</v>
      </c>
      <c r="C25" s="45">
        <v>13</v>
      </c>
      <c r="D25" s="45">
        <v>9</v>
      </c>
      <c r="E25" s="45"/>
      <c r="F25" s="45">
        <v>3</v>
      </c>
      <c r="G25" s="45" t="str">
        <f>IF(AND(COUNTIF(C25:F25,13)=0,COUNT(C25:F25)=2),"IV",IF(AND(COUNTIF(C25:F25,13)=1,COUNT(C25:F25)=3),"III",IF(AND(COUNTIF(C25:F25,13)=2,COUNT(C25:F25)=3),"II",IF(AND(COUNTIF(C25:F25,13)=2,COUNT(C25:F25)=2),"I"))))</f>
        <v>III</v>
      </c>
    </row>
    <row r="26" spans="1:7" s="43" customFormat="1" x14ac:dyDescent="0.2">
      <c r="A26" s="41">
        <v>2</v>
      </c>
      <c r="B26" s="226" t="s">
        <v>714</v>
      </c>
      <c r="C26" s="45">
        <v>5</v>
      </c>
      <c r="D26" s="45"/>
      <c r="E26" s="45">
        <v>13</v>
      </c>
      <c r="F26" s="45">
        <v>13</v>
      </c>
      <c r="G26" s="45" t="str">
        <f t="shared" ref="G26" si="3">IF(AND(COUNTIF(C26:F26,13)=0,COUNT(C26:F26)=2),"IV",IF(AND(COUNTIF(C26:F26,13)=1,COUNT(C26:F26)=3),"III",IF(AND(COUNTIF(C26:F26,13)=2,COUNT(C26:F26)=3),"II",IF(AND(COUNTIF(C26:F26,13)=2,COUNT(C26:F26)=2),"I"))))</f>
        <v>II</v>
      </c>
    </row>
    <row r="27" spans="1:7" s="43" customFormat="1" x14ac:dyDescent="0.2">
      <c r="A27" s="41">
        <v>3</v>
      </c>
      <c r="B27" s="226" t="s">
        <v>715</v>
      </c>
      <c r="C27" s="44">
        <v>11</v>
      </c>
      <c r="D27" s="44">
        <v>10</v>
      </c>
      <c r="E27" s="45"/>
      <c r="F27" s="45"/>
      <c r="G27" s="231" t="s">
        <v>74</v>
      </c>
    </row>
    <row r="28" spans="1:7" s="43" customFormat="1" x14ac:dyDescent="0.2">
      <c r="A28" s="41"/>
      <c r="B28" s="228"/>
      <c r="C28" s="45">
        <f>IF(ISBLANK(B28),0)</f>
        <v>0</v>
      </c>
      <c r="D28" s="45"/>
      <c r="E28" s="45">
        <f>IF(ISBLANK(B28),0)</f>
        <v>0</v>
      </c>
      <c r="F28" s="45"/>
      <c r="G28" s="45"/>
    </row>
    <row r="29" spans="1:7" s="43" customFormat="1" x14ac:dyDescent="0.2">
      <c r="A29" s="47"/>
      <c r="B29" s="110"/>
      <c r="C29" s="49"/>
      <c r="D29" s="49"/>
      <c r="E29" s="49"/>
      <c r="F29" s="50"/>
      <c r="G29" s="51"/>
    </row>
    <row r="30" spans="1:7" s="43" customFormat="1" x14ac:dyDescent="0.2">
      <c r="A30" s="283" t="s">
        <v>704</v>
      </c>
      <c r="B30" s="284"/>
      <c r="C30" s="44" t="s">
        <v>706</v>
      </c>
      <c r="D30" s="42" t="s">
        <v>71</v>
      </c>
      <c r="E30" s="42" t="s">
        <v>72</v>
      </c>
      <c r="F30" s="42" t="s">
        <v>73</v>
      </c>
      <c r="G30" s="42" t="s">
        <v>19</v>
      </c>
    </row>
    <row r="31" spans="1:7" s="43" customFormat="1" x14ac:dyDescent="0.2">
      <c r="A31" s="41">
        <v>1</v>
      </c>
      <c r="B31" s="355" t="s">
        <v>716</v>
      </c>
      <c r="C31" s="45">
        <v>13</v>
      </c>
      <c r="D31" s="45">
        <v>13</v>
      </c>
      <c r="E31" s="45"/>
      <c r="F31" s="45"/>
      <c r="G31" s="45" t="str">
        <f>IF(AND(COUNTIF(C31:F31,13)=0,COUNT(C31:F31)=2),"IV",IF(AND(COUNTIF(C31:F31,13)=1,COUNT(C31:F31)=3),"III",IF(AND(COUNTIF(C31:F31,13)=2,COUNT(C31:F31)=3),"II",IF(AND(COUNTIF(C31:F31,13)=2,COUNT(C31:F31)=2),"I"))))</f>
        <v>I</v>
      </c>
    </row>
    <row r="32" spans="1:7" s="43" customFormat="1" x14ac:dyDescent="0.2">
      <c r="A32" s="41">
        <v>2</v>
      </c>
      <c r="B32" s="226" t="s">
        <v>717</v>
      </c>
      <c r="C32" s="45">
        <v>10</v>
      </c>
      <c r="D32" s="45"/>
      <c r="E32" s="45">
        <v>13</v>
      </c>
      <c r="F32" s="45">
        <v>13</v>
      </c>
      <c r="G32" s="45" t="str">
        <f t="shared" ref="G32:G33" si="4">IF(AND(COUNTIF(C32:F32,13)=0,COUNT(C32:F32)=2),"IV",IF(AND(COUNTIF(C32:F32,13)=1,COUNT(C32:F32)=3),"III",IF(AND(COUNTIF(C32:F32,13)=2,COUNT(C32:F32)=3),"II",IF(AND(COUNTIF(C32:F32,13)=2,COUNT(C32:F32)=2),"I"))))</f>
        <v>II</v>
      </c>
    </row>
    <row r="33" spans="1:7" s="43" customFormat="1" x14ac:dyDescent="0.2">
      <c r="A33" s="41">
        <v>3</v>
      </c>
      <c r="B33" s="226" t="s">
        <v>718</v>
      </c>
      <c r="C33" s="45">
        <v>13</v>
      </c>
      <c r="D33" s="45">
        <v>3</v>
      </c>
      <c r="E33" s="45"/>
      <c r="F33" s="45">
        <v>12</v>
      </c>
      <c r="G33" s="45" t="str">
        <f t="shared" si="4"/>
        <v>III</v>
      </c>
    </row>
    <row r="34" spans="1:7" s="43" customFormat="1" x14ac:dyDescent="0.2">
      <c r="A34" s="41"/>
      <c r="B34" s="228"/>
      <c r="C34" s="45">
        <f>IF(ISBLANK(B34),0)</f>
        <v>0</v>
      </c>
      <c r="D34" s="45"/>
      <c r="E34" s="45">
        <f>IF(ISBLANK(B34),0)</f>
        <v>0</v>
      </c>
      <c r="F34" s="45"/>
      <c r="G34" s="45"/>
    </row>
    <row r="35" spans="1:7" s="43" customFormat="1" x14ac:dyDescent="0.2">
      <c r="A35" s="47"/>
      <c r="B35" s="110"/>
      <c r="C35" s="49"/>
      <c r="D35" s="49"/>
      <c r="E35" s="49"/>
      <c r="F35" s="50"/>
      <c r="G35" s="51"/>
    </row>
    <row r="36" spans="1:7" s="43" customFormat="1" x14ac:dyDescent="0.2">
      <c r="A36" s="283" t="s">
        <v>705</v>
      </c>
      <c r="B36" s="284"/>
      <c r="C36" s="44" t="s">
        <v>706</v>
      </c>
      <c r="D36" s="42" t="s">
        <v>71</v>
      </c>
      <c r="E36" s="42" t="s">
        <v>72</v>
      </c>
      <c r="F36" s="42" t="s">
        <v>73</v>
      </c>
      <c r="G36" s="42" t="s">
        <v>19</v>
      </c>
    </row>
    <row r="37" spans="1:7" s="43" customFormat="1" x14ac:dyDescent="0.2">
      <c r="A37" s="41">
        <v>1</v>
      </c>
      <c r="B37" s="355" t="s">
        <v>555</v>
      </c>
      <c r="C37" s="45">
        <v>13</v>
      </c>
      <c r="D37" s="45">
        <v>2</v>
      </c>
      <c r="E37" s="45"/>
      <c r="F37" s="45">
        <v>13</v>
      </c>
      <c r="G37" s="45" t="str">
        <f>IF(AND(COUNTIF(C37:F37,13)=0,COUNT(C37:F37)=2),"IV",IF(AND(COUNTIF(C37:F37,13)=1,COUNT(C37:F37)=3),"III",IF(AND(COUNTIF(C37:F37,13)=2,COUNT(C37:F37)=3),"II",IF(AND(COUNTIF(C37:F37,13)=2,COUNT(C37:F37)=2),"I"))))</f>
        <v>II</v>
      </c>
    </row>
    <row r="38" spans="1:7" s="43" customFormat="1" x14ac:dyDescent="0.2">
      <c r="A38" s="41">
        <v>2</v>
      </c>
      <c r="B38" s="226" t="s">
        <v>720</v>
      </c>
      <c r="C38" s="45">
        <v>5</v>
      </c>
      <c r="D38" s="45"/>
      <c r="E38" s="45">
        <v>13</v>
      </c>
      <c r="F38" s="45">
        <v>9</v>
      </c>
      <c r="G38" s="45" t="str">
        <f t="shared" ref="G38:G39" si="5">IF(AND(COUNTIF(C38:F38,13)=0,COUNT(C38:F38)=2),"IV",IF(AND(COUNTIF(C38:F38,13)=1,COUNT(C38:F38)=3),"III",IF(AND(COUNTIF(C38:F38,13)=2,COUNT(C38:F38)=3),"II",IF(AND(COUNTIF(C38:F38,13)=2,COUNT(C38:F38)=2),"I"))))</f>
        <v>III</v>
      </c>
    </row>
    <row r="39" spans="1:7" s="43" customFormat="1" x14ac:dyDescent="0.2">
      <c r="A39" s="41">
        <v>3</v>
      </c>
      <c r="B39" s="226" t="s">
        <v>721</v>
      </c>
      <c r="C39" s="45">
        <v>13</v>
      </c>
      <c r="D39" s="45">
        <v>13</v>
      </c>
      <c r="E39" s="45"/>
      <c r="F39" s="45"/>
      <c r="G39" s="45" t="str">
        <f t="shared" si="5"/>
        <v>I</v>
      </c>
    </row>
    <row r="40" spans="1:7" s="43" customFormat="1" x14ac:dyDescent="0.2">
      <c r="A40" s="41"/>
      <c r="B40" s="228"/>
      <c r="C40" s="45">
        <f>IF(ISBLANK(B40),0)</f>
        <v>0</v>
      </c>
      <c r="D40" s="45"/>
      <c r="E40" s="45">
        <f>IF(ISBLANK(B40),0)</f>
        <v>0</v>
      </c>
      <c r="F40" s="45"/>
      <c r="G40" s="45"/>
    </row>
    <row r="41" spans="1:7" s="43" customFormat="1" x14ac:dyDescent="0.2">
      <c r="A41" s="47"/>
      <c r="B41" s="52"/>
      <c r="C41" s="50"/>
      <c r="D41" s="50"/>
      <c r="E41" s="50"/>
      <c r="F41" s="50"/>
      <c r="G41" s="53"/>
    </row>
    <row r="42" spans="1:7" s="83" customFormat="1" x14ac:dyDescent="0.2">
      <c r="A42" s="114" t="s">
        <v>114</v>
      </c>
      <c r="B42" s="90"/>
      <c r="C42" s="49"/>
      <c r="D42" s="49"/>
      <c r="E42" s="49"/>
      <c r="F42" s="50"/>
      <c r="G42" s="51"/>
    </row>
    <row r="43" spans="1:7" s="83" customFormat="1" x14ac:dyDescent="0.2"/>
    <row r="44" spans="1:7" s="83" customFormat="1" x14ac:dyDescent="0.2">
      <c r="A44" s="115" t="s">
        <v>82</v>
      </c>
      <c r="B44" s="83" t="s">
        <v>707</v>
      </c>
      <c r="C44" s="156">
        <v>13</v>
      </c>
    </row>
    <row r="45" spans="1:7" s="83" customFormat="1" x14ac:dyDescent="0.2">
      <c r="A45" s="84"/>
      <c r="B45" s="155"/>
      <c r="C45" s="248" t="s">
        <v>707</v>
      </c>
      <c r="E45" s="156">
        <v>13</v>
      </c>
    </row>
    <row r="46" spans="1:7" s="83" customFormat="1" x14ac:dyDescent="0.2">
      <c r="A46" s="84"/>
      <c r="B46" s="250" t="s">
        <v>102</v>
      </c>
      <c r="C46" s="120">
        <v>0</v>
      </c>
      <c r="D46" s="89"/>
    </row>
    <row r="47" spans="1:7" s="83" customFormat="1" x14ac:dyDescent="0.2">
      <c r="A47" s="84"/>
      <c r="D47" s="91"/>
      <c r="E47" s="95" t="s">
        <v>707</v>
      </c>
      <c r="G47" s="156">
        <v>6</v>
      </c>
    </row>
    <row r="48" spans="1:7" s="83" customFormat="1" x14ac:dyDescent="0.2">
      <c r="A48" s="84" t="s">
        <v>89</v>
      </c>
      <c r="B48" s="83" t="s">
        <v>349</v>
      </c>
      <c r="C48" s="97">
        <v>13</v>
      </c>
      <c r="D48" s="91"/>
      <c r="E48" s="116"/>
      <c r="F48" s="89"/>
    </row>
    <row r="49" spans="1:11" s="83" customFormat="1" x14ac:dyDescent="0.2">
      <c r="A49" s="84"/>
      <c r="B49" s="155"/>
      <c r="C49" s="249" t="s">
        <v>349</v>
      </c>
      <c r="D49" s="96"/>
      <c r="E49" s="97">
        <v>1</v>
      </c>
      <c r="F49" s="91"/>
    </row>
    <row r="50" spans="1:11" s="83" customFormat="1" x14ac:dyDescent="0.2">
      <c r="A50" s="84" t="s">
        <v>117</v>
      </c>
      <c r="B50" s="157" t="s">
        <v>717</v>
      </c>
      <c r="C50" s="131">
        <v>5</v>
      </c>
      <c r="E50" s="90"/>
      <c r="F50" s="91"/>
    </row>
    <row r="51" spans="1:11" s="83" customFormat="1" x14ac:dyDescent="0.2">
      <c r="A51" s="98"/>
      <c r="E51" s="90"/>
      <c r="F51" s="91"/>
      <c r="G51" s="95" t="s">
        <v>711</v>
      </c>
      <c r="I51" s="156">
        <v>13</v>
      </c>
    </row>
    <row r="52" spans="1:11" s="83" customFormat="1" x14ac:dyDescent="0.2">
      <c r="A52" s="115" t="s">
        <v>88</v>
      </c>
      <c r="B52" s="83" t="s">
        <v>711</v>
      </c>
      <c r="C52" s="156">
        <v>13</v>
      </c>
      <c r="E52" s="90"/>
      <c r="F52" s="91"/>
      <c r="G52" s="155"/>
      <c r="H52" s="89"/>
    </row>
    <row r="53" spans="1:11" s="83" customFormat="1" x14ac:dyDescent="0.2">
      <c r="A53" s="84"/>
      <c r="B53" s="155"/>
      <c r="C53" s="87" t="s">
        <v>711</v>
      </c>
      <c r="E53" s="97">
        <v>13</v>
      </c>
      <c r="F53" s="91"/>
      <c r="G53" s="90"/>
      <c r="H53" s="91"/>
    </row>
    <row r="54" spans="1:11" s="83" customFormat="1" x14ac:dyDescent="0.2">
      <c r="A54" s="84" t="s">
        <v>86</v>
      </c>
      <c r="B54" s="250" t="s">
        <v>714</v>
      </c>
      <c r="C54" s="120">
        <v>8</v>
      </c>
      <c r="D54" s="89"/>
      <c r="E54" s="90"/>
      <c r="F54" s="91"/>
      <c r="G54" s="90"/>
      <c r="H54" s="91"/>
    </row>
    <row r="55" spans="1:11" s="83" customFormat="1" x14ac:dyDescent="0.2">
      <c r="A55" s="84"/>
      <c r="D55" s="91"/>
      <c r="E55" s="157" t="s">
        <v>711</v>
      </c>
      <c r="F55" s="96"/>
      <c r="G55" s="97">
        <v>13</v>
      </c>
      <c r="H55" s="91"/>
    </row>
    <row r="56" spans="1:11" s="83" customFormat="1" x14ac:dyDescent="0.2">
      <c r="A56" s="84" t="s">
        <v>84</v>
      </c>
      <c r="B56" s="83" t="s">
        <v>710</v>
      </c>
      <c r="C56" s="97">
        <v>13</v>
      </c>
      <c r="D56" s="91"/>
      <c r="E56" s="95"/>
      <c r="F56" s="90"/>
      <c r="G56" s="90"/>
      <c r="H56" s="91"/>
    </row>
    <row r="57" spans="1:11" s="83" customFormat="1" x14ac:dyDescent="0.2">
      <c r="A57" s="84"/>
      <c r="B57" s="155"/>
      <c r="C57" s="249" t="s">
        <v>710</v>
      </c>
      <c r="D57" s="96"/>
      <c r="E57" s="97">
        <v>4</v>
      </c>
      <c r="G57" s="90"/>
      <c r="H57" s="91"/>
    </row>
    <row r="58" spans="1:11" s="83" customFormat="1" x14ac:dyDescent="0.2">
      <c r="A58" s="84"/>
      <c r="B58" s="250" t="s">
        <v>102</v>
      </c>
      <c r="C58" s="119">
        <v>0</v>
      </c>
      <c r="E58" s="90"/>
      <c r="F58" s="90"/>
      <c r="G58" s="90"/>
      <c r="H58" s="91"/>
    </row>
    <row r="59" spans="1:11" s="83" customFormat="1" ht="13.5" thickBot="1" x14ac:dyDescent="0.25">
      <c r="A59" s="98"/>
      <c r="G59" s="90"/>
      <c r="H59" s="91"/>
      <c r="J59" s="83" t="s">
        <v>711</v>
      </c>
    </row>
    <row r="60" spans="1:11" s="83" customFormat="1" x14ac:dyDescent="0.2">
      <c r="A60" s="115" t="s">
        <v>115</v>
      </c>
      <c r="B60" s="83" t="s">
        <v>716</v>
      </c>
      <c r="C60" s="156">
        <v>13</v>
      </c>
      <c r="G60" s="90"/>
      <c r="H60" s="91"/>
      <c r="I60" s="93"/>
      <c r="J60" s="117" t="s">
        <v>85</v>
      </c>
      <c r="K60" s="94"/>
    </row>
    <row r="61" spans="1:11" s="83" customFormat="1" x14ac:dyDescent="0.2">
      <c r="A61" s="84"/>
      <c r="B61" s="155"/>
      <c r="C61" s="248" t="s">
        <v>716</v>
      </c>
      <c r="E61" s="156">
        <v>6</v>
      </c>
      <c r="G61" s="90"/>
      <c r="H61" s="91"/>
    </row>
    <row r="62" spans="1:11" s="83" customFormat="1" x14ac:dyDescent="0.2">
      <c r="A62" s="84"/>
      <c r="B62" s="250" t="s">
        <v>102</v>
      </c>
      <c r="C62" s="120">
        <v>0</v>
      </c>
      <c r="D62" s="89"/>
      <c r="G62" s="90"/>
      <c r="H62" s="91"/>
    </row>
    <row r="63" spans="1:11" s="83" customFormat="1" x14ac:dyDescent="0.2">
      <c r="A63" s="84"/>
      <c r="D63" s="91"/>
      <c r="E63" s="83" t="s">
        <v>715</v>
      </c>
      <c r="G63" s="97">
        <v>12</v>
      </c>
      <c r="H63" s="91"/>
    </row>
    <row r="64" spans="1:11" s="83" customFormat="1" x14ac:dyDescent="0.2">
      <c r="A64" s="84" t="s">
        <v>80</v>
      </c>
      <c r="B64" s="83" t="s">
        <v>715</v>
      </c>
      <c r="C64" s="97">
        <v>13</v>
      </c>
      <c r="D64" s="91"/>
      <c r="E64" s="116"/>
      <c r="F64" s="89"/>
      <c r="G64" s="90"/>
      <c r="H64" s="91"/>
    </row>
    <row r="65" spans="1:11" s="83" customFormat="1" x14ac:dyDescent="0.2">
      <c r="A65" s="84"/>
      <c r="B65" s="155"/>
      <c r="C65" s="249" t="s">
        <v>715</v>
      </c>
      <c r="D65" s="96"/>
      <c r="E65" s="97">
        <v>13</v>
      </c>
      <c r="F65" s="91"/>
      <c r="G65" s="90"/>
      <c r="H65" s="91"/>
    </row>
    <row r="66" spans="1:11" s="83" customFormat="1" x14ac:dyDescent="0.2">
      <c r="A66" s="84"/>
      <c r="B66" s="441" t="s">
        <v>102</v>
      </c>
      <c r="C66" s="119">
        <v>0</v>
      </c>
      <c r="E66" s="90"/>
      <c r="F66" s="91"/>
      <c r="G66" s="90"/>
      <c r="H66" s="91"/>
    </row>
    <row r="67" spans="1:11" s="83" customFormat="1" x14ac:dyDescent="0.2">
      <c r="A67" s="98"/>
      <c r="E67" s="90"/>
      <c r="F67" s="91"/>
      <c r="G67" s="157" t="s">
        <v>721</v>
      </c>
      <c r="H67" s="96"/>
      <c r="I67" s="156">
        <v>8</v>
      </c>
    </row>
    <row r="68" spans="1:11" s="83" customFormat="1" ht="13.5" thickBot="1" x14ac:dyDescent="0.25">
      <c r="A68" s="115" t="s">
        <v>118</v>
      </c>
      <c r="B68" s="83" t="s">
        <v>555</v>
      </c>
      <c r="C68" s="156">
        <v>13</v>
      </c>
      <c r="E68" s="90"/>
      <c r="F68" s="91"/>
      <c r="J68" s="90" t="s">
        <v>721</v>
      </c>
      <c r="K68" s="92"/>
    </row>
    <row r="69" spans="1:11" s="83" customFormat="1" x14ac:dyDescent="0.2">
      <c r="A69" s="84"/>
      <c r="B69" s="155"/>
      <c r="C69" s="87" t="s">
        <v>555</v>
      </c>
      <c r="E69" s="97">
        <v>10</v>
      </c>
      <c r="F69" s="91"/>
      <c r="J69" s="117" t="s">
        <v>87</v>
      </c>
      <c r="K69" s="90"/>
    </row>
    <row r="70" spans="1:11" s="83" customFormat="1" x14ac:dyDescent="0.2">
      <c r="A70" s="84" t="s">
        <v>81</v>
      </c>
      <c r="B70" s="250" t="s">
        <v>719</v>
      </c>
      <c r="C70" s="120">
        <v>2</v>
      </c>
      <c r="D70" s="89"/>
      <c r="E70" s="90"/>
      <c r="F70" s="91"/>
    </row>
    <row r="71" spans="1:11" s="83" customFormat="1" x14ac:dyDescent="0.2">
      <c r="A71" s="84"/>
      <c r="D71" s="91"/>
      <c r="E71" s="157" t="s">
        <v>721</v>
      </c>
      <c r="F71" s="96"/>
      <c r="G71" s="156">
        <v>13</v>
      </c>
    </row>
    <row r="72" spans="1:11" s="83" customFormat="1" x14ac:dyDescent="0.2">
      <c r="A72" s="84" t="s">
        <v>116</v>
      </c>
      <c r="B72" s="83" t="s">
        <v>721</v>
      </c>
      <c r="C72" s="97">
        <v>13</v>
      </c>
      <c r="D72" s="91"/>
      <c r="E72" s="95"/>
      <c r="F72" s="90"/>
    </row>
    <row r="73" spans="1:11" s="83" customFormat="1" x14ac:dyDescent="0.2">
      <c r="A73" s="84"/>
      <c r="B73" s="155"/>
      <c r="C73" s="249" t="s">
        <v>721</v>
      </c>
      <c r="D73" s="96"/>
      <c r="E73" s="97">
        <v>13</v>
      </c>
      <c r="G73" s="83" t="s">
        <v>707</v>
      </c>
      <c r="I73" s="97">
        <v>13</v>
      </c>
    </row>
    <row r="74" spans="1:11" s="83" customFormat="1" ht="13.5" thickBot="1" x14ac:dyDescent="0.25">
      <c r="A74" s="84" t="s">
        <v>83</v>
      </c>
      <c r="B74" s="157" t="s">
        <v>712</v>
      </c>
      <c r="C74" s="119">
        <v>2</v>
      </c>
      <c r="E74" s="90"/>
      <c r="F74" s="90"/>
      <c r="G74" s="155"/>
      <c r="H74" s="89"/>
      <c r="I74" s="92"/>
      <c r="J74" s="92" t="s">
        <v>707</v>
      </c>
      <c r="K74" s="92"/>
    </row>
    <row r="75" spans="1:11" s="83" customFormat="1" x14ac:dyDescent="0.2">
      <c r="F75" s="90"/>
      <c r="G75" s="157" t="s">
        <v>715</v>
      </c>
      <c r="H75" s="96"/>
      <c r="I75" s="156">
        <v>10</v>
      </c>
      <c r="J75" s="100" t="s">
        <v>90</v>
      </c>
      <c r="K75" s="90"/>
    </row>
    <row r="76" spans="1:11" s="83" customFormat="1" x14ac:dyDescent="0.2">
      <c r="F76" s="90"/>
      <c r="J76" s="90"/>
      <c r="K76" s="90"/>
    </row>
    <row r="77" spans="1:11" s="83" customFormat="1" ht="13.5" thickBot="1" x14ac:dyDescent="0.25">
      <c r="F77" s="90"/>
      <c r="G77" s="90"/>
      <c r="H77" s="90"/>
      <c r="J77" s="92" t="s">
        <v>715</v>
      </c>
      <c r="K77" s="92"/>
    </row>
    <row r="78" spans="1:11" s="83" customFormat="1" x14ac:dyDescent="0.2">
      <c r="G78" s="90"/>
      <c r="H78" s="90"/>
      <c r="J78" s="98" t="s">
        <v>91</v>
      </c>
    </row>
    <row r="79" spans="1:11" s="83" customFormat="1" x14ac:dyDescent="0.2">
      <c r="G79" s="90"/>
      <c r="H79" s="90"/>
      <c r="J79" s="98"/>
    </row>
    <row r="80" spans="1:11" s="83" customFormat="1" x14ac:dyDescent="0.2">
      <c r="A80" s="121" t="s">
        <v>119</v>
      </c>
      <c r="G80" s="90"/>
      <c r="H80" s="90"/>
      <c r="J80" s="98"/>
    </row>
    <row r="81" spans="1:11" s="83" customFormat="1" x14ac:dyDescent="0.2">
      <c r="A81" s="237"/>
      <c r="G81" s="90"/>
      <c r="H81" s="90"/>
      <c r="J81" s="98"/>
    </row>
    <row r="82" spans="1:11" s="83" customFormat="1" x14ac:dyDescent="0.2">
      <c r="E82" s="99" t="s">
        <v>349</v>
      </c>
      <c r="F82" s="156"/>
      <c r="G82" s="156">
        <v>1</v>
      </c>
      <c r="H82" s="156"/>
      <c r="I82" s="156"/>
    </row>
    <row r="83" spans="1:11" s="83" customFormat="1" x14ac:dyDescent="0.2">
      <c r="E83" s="122"/>
      <c r="F83" s="123"/>
      <c r="G83" s="97" t="s">
        <v>710</v>
      </c>
      <c r="H83" s="156"/>
      <c r="I83" s="156">
        <v>13</v>
      </c>
    </row>
    <row r="84" spans="1:11" s="83" customFormat="1" x14ac:dyDescent="0.2">
      <c r="E84" s="124" t="s">
        <v>710</v>
      </c>
      <c r="F84" s="125"/>
      <c r="G84" s="122">
        <v>13</v>
      </c>
      <c r="H84" s="123"/>
      <c r="I84" s="156"/>
    </row>
    <row r="85" spans="1:11" s="83" customFormat="1" ht="13.5" thickBot="1" x14ac:dyDescent="0.25">
      <c r="E85" s="156"/>
      <c r="F85" s="156"/>
      <c r="G85" s="97"/>
      <c r="H85" s="126"/>
      <c r="I85" s="156"/>
      <c r="J85" s="251" t="s">
        <v>710</v>
      </c>
    </row>
    <row r="86" spans="1:11" s="83" customFormat="1" x14ac:dyDescent="0.2">
      <c r="E86" s="156" t="s">
        <v>716</v>
      </c>
      <c r="F86" s="156"/>
      <c r="G86" s="97">
        <v>3</v>
      </c>
      <c r="H86" s="126"/>
      <c r="I86" s="127"/>
      <c r="J86" s="117" t="s">
        <v>92</v>
      </c>
      <c r="K86" s="94"/>
    </row>
    <row r="87" spans="1:11" s="83" customFormat="1" x14ac:dyDescent="0.2">
      <c r="E87" s="122"/>
      <c r="F87" s="123"/>
      <c r="G87" s="124" t="s">
        <v>555</v>
      </c>
      <c r="H87" s="125"/>
      <c r="I87" s="97">
        <v>3</v>
      </c>
    </row>
    <row r="88" spans="1:11" s="83" customFormat="1" ht="13.5" thickBot="1" x14ac:dyDescent="0.25">
      <c r="E88" s="124" t="s">
        <v>555</v>
      </c>
      <c r="F88" s="125"/>
      <c r="G88" s="97">
        <v>13</v>
      </c>
      <c r="H88" s="156"/>
      <c r="I88" s="97"/>
      <c r="J88" s="90" t="s">
        <v>555</v>
      </c>
      <c r="K88" s="92"/>
    </row>
    <row r="89" spans="1:11" s="83" customFormat="1" x14ac:dyDescent="0.2">
      <c r="E89" s="156"/>
      <c r="F89" s="156"/>
      <c r="G89" s="156"/>
      <c r="H89" s="156"/>
      <c r="I89" s="97"/>
      <c r="J89" s="117" t="s">
        <v>93</v>
      </c>
      <c r="K89" s="90"/>
    </row>
    <row r="90" spans="1:11" s="83" customFormat="1" x14ac:dyDescent="0.2">
      <c r="E90" s="156"/>
      <c r="F90" s="97"/>
      <c r="G90" s="156" t="s">
        <v>349</v>
      </c>
      <c r="H90" s="156"/>
      <c r="I90" s="97">
        <v>13</v>
      </c>
      <c r="J90" s="90"/>
      <c r="K90" s="90"/>
    </row>
    <row r="91" spans="1:11" s="83" customFormat="1" ht="13.5" thickBot="1" x14ac:dyDescent="0.25">
      <c r="E91" s="156"/>
      <c r="F91" s="97"/>
      <c r="G91" s="122"/>
      <c r="H91" s="123"/>
      <c r="I91" s="128"/>
      <c r="J91" s="92" t="s">
        <v>349</v>
      </c>
      <c r="K91" s="92"/>
    </row>
    <row r="92" spans="1:11" s="83" customFormat="1" x14ac:dyDescent="0.2">
      <c r="E92" s="156"/>
      <c r="F92" s="97"/>
      <c r="G92" s="124" t="s">
        <v>716</v>
      </c>
      <c r="H92" s="125"/>
      <c r="I92" s="156">
        <v>11</v>
      </c>
      <c r="J92" s="100" t="s">
        <v>94</v>
      </c>
      <c r="K92" s="90"/>
    </row>
    <row r="93" spans="1:11" s="83" customFormat="1" x14ac:dyDescent="0.2">
      <c r="F93" s="90"/>
      <c r="J93" s="90"/>
      <c r="K93" s="90"/>
    </row>
    <row r="94" spans="1:11" s="83" customFormat="1" ht="13.5" thickBot="1" x14ac:dyDescent="0.25">
      <c r="G94" s="90"/>
      <c r="H94" s="90"/>
      <c r="J94" s="92" t="s">
        <v>716</v>
      </c>
      <c r="K94" s="92"/>
    </row>
    <row r="95" spans="1:11" s="83" customFormat="1" x14ac:dyDescent="0.2">
      <c r="G95" s="90"/>
      <c r="H95" s="90"/>
      <c r="J95" s="100" t="s">
        <v>95</v>
      </c>
    </row>
    <row r="96" spans="1:11" s="56" customFormat="1" x14ac:dyDescent="0.2">
      <c r="G96" s="59"/>
      <c r="H96" s="59"/>
      <c r="J96" s="57"/>
    </row>
    <row r="97" spans="1:14" s="56" customFormat="1" x14ac:dyDescent="0.2">
      <c r="A97" s="101">
        <v>1</v>
      </c>
      <c r="B97" s="286" t="s">
        <v>711</v>
      </c>
      <c r="D97" s="233"/>
      <c r="E97" s="159" t="s">
        <v>717</v>
      </c>
      <c r="F97" s="159"/>
      <c r="G97" s="159"/>
      <c r="H97" s="235" t="s">
        <v>5</v>
      </c>
      <c r="I97" s="159"/>
      <c r="J97" s="159"/>
      <c r="K97" s="159"/>
      <c r="L97" s="59"/>
      <c r="M97" s="159"/>
    </row>
    <row r="98" spans="1:14" s="56" customFormat="1" x14ac:dyDescent="0.2">
      <c r="A98" s="101">
        <v>2</v>
      </c>
      <c r="B98" s="103" t="s">
        <v>721</v>
      </c>
      <c r="D98" s="233"/>
      <c r="E98" s="65"/>
      <c r="F98" s="65"/>
      <c r="G98" s="66"/>
      <c r="H98" s="67" t="s">
        <v>717</v>
      </c>
      <c r="I98" s="160"/>
      <c r="J98" s="160"/>
      <c r="K98" s="235" t="s">
        <v>5</v>
      </c>
      <c r="L98" s="159"/>
      <c r="M98" s="159"/>
    </row>
    <row r="99" spans="1:14" s="56" customFormat="1" x14ac:dyDescent="0.2">
      <c r="A99" s="101">
        <v>3</v>
      </c>
      <c r="B99" s="104" t="s">
        <v>707</v>
      </c>
      <c r="D99" s="233"/>
      <c r="E99" s="160" t="s">
        <v>714</v>
      </c>
      <c r="F99" s="160"/>
      <c r="G99" s="75"/>
      <c r="H99" s="635" t="s">
        <v>5</v>
      </c>
      <c r="I99" s="159"/>
      <c r="J99" s="72"/>
      <c r="K99" s="159"/>
      <c r="L99" s="159"/>
      <c r="M99" s="159"/>
    </row>
    <row r="100" spans="1:14" s="56" customFormat="1" ht="13.5" thickBot="1" x14ac:dyDescent="0.25">
      <c r="A100" s="101">
        <v>4</v>
      </c>
      <c r="B100" s="105" t="s">
        <v>715</v>
      </c>
      <c r="D100" s="233"/>
      <c r="E100" s="159"/>
      <c r="F100" s="159"/>
      <c r="G100" s="159"/>
      <c r="H100" s="162"/>
      <c r="I100" s="159"/>
      <c r="J100" s="72"/>
      <c r="K100" s="159"/>
      <c r="L100" s="159" t="s">
        <v>719</v>
      </c>
      <c r="M100" s="159"/>
      <c r="N100" s="272" t="s">
        <v>5</v>
      </c>
    </row>
    <row r="101" spans="1:14" s="56" customFormat="1" x14ac:dyDescent="0.2">
      <c r="A101" s="101">
        <v>5</v>
      </c>
      <c r="B101" s="105" t="s">
        <v>710</v>
      </c>
      <c r="D101" s="233"/>
      <c r="E101" s="159" t="s">
        <v>719</v>
      </c>
      <c r="F101" s="159"/>
      <c r="G101" s="159"/>
      <c r="H101" s="234">
        <v>13</v>
      </c>
      <c r="I101" s="159"/>
      <c r="J101" s="72"/>
      <c r="K101" s="76"/>
      <c r="L101" s="77" t="s">
        <v>107</v>
      </c>
      <c r="M101" s="78"/>
    </row>
    <row r="102" spans="1:14" s="56" customFormat="1" x14ac:dyDescent="0.2">
      <c r="A102" s="101">
        <v>6</v>
      </c>
      <c r="B102" s="105" t="s">
        <v>555</v>
      </c>
      <c r="D102" s="233"/>
      <c r="E102" s="65"/>
      <c r="F102" s="65"/>
      <c r="G102" s="66"/>
      <c r="H102" s="74" t="s">
        <v>719</v>
      </c>
      <c r="I102" s="159"/>
      <c r="J102" s="75"/>
      <c r="K102" s="234" t="s">
        <v>5</v>
      </c>
      <c r="L102" s="159"/>
      <c r="M102" s="159"/>
    </row>
    <row r="103" spans="1:14" s="56" customFormat="1" ht="13.5" thickBot="1" x14ac:dyDescent="0.25">
      <c r="A103" s="101">
        <v>7</v>
      </c>
      <c r="B103" s="352" t="s">
        <v>349</v>
      </c>
      <c r="D103" s="233"/>
      <c r="E103" s="160" t="s">
        <v>712</v>
      </c>
      <c r="F103" s="160"/>
      <c r="G103" s="75"/>
      <c r="H103" s="236">
        <v>12</v>
      </c>
      <c r="I103" s="65"/>
      <c r="J103" s="159"/>
      <c r="K103" s="162"/>
      <c r="L103" s="162" t="s">
        <v>717</v>
      </c>
      <c r="M103" s="161"/>
      <c r="N103" s="272" t="s">
        <v>5</v>
      </c>
    </row>
    <row r="104" spans="1:14" s="56" customFormat="1" x14ac:dyDescent="0.2">
      <c r="A104" s="101">
        <v>8</v>
      </c>
      <c r="B104" s="105" t="s">
        <v>716</v>
      </c>
      <c r="E104" s="159"/>
      <c r="F104" s="159"/>
      <c r="G104" s="159"/>
      <c r="H104" s="159"/>
      <c r="I104" s="159"/>
      <c r="J104" s="159"/>
      <c r="K104" s="162"/>
      <c r="L104" s="77" t="s">
        <v>108</v>
      </c>
      <c r="M104" s="162"/>
    </row>
    <row r="105" spans="1:14" s="56" customFormat="1" x14ac:dyDescent="0.2">
      <c r="A105" s="112" t="s">
        <v>120</v>
      </c>
      <c r="B105" s="226" t="s">
        <v>719</v>
      </c>
      <c r="E105" s="159"/>
      <c r="F105" s="159"/>
      <c r="G105" s="159"/>
      <c r="H105" s="159" t="s">
        <v>714</v>
      </c>
      <c r="I105" s="159"/>
      <c r="J105" s="159"/>
      <c r="K105" s="234" t="s">
        <v>5</v>
      </c>
      <c r="L105" s="162"/>
      <c r="M105" s="162"/>
    </row>
    <row r="106" spans="1:14" s="56" customFormat="1" ht="13.5" thickBot="1" x14ac:dyDescent="0.25">
      <c r="A106" s="112" t="s">
        <v>120</v>
      </c>
      <c r="B106" s="226" t="s">
        <v>717</v>
      </c>
      <c r="E106" s="159"/>
      <c r="F106" s="159"/>
      <c r="G106" s="159"/>
      <c r="H106" s="65"/>
      <c r="I106" s="65"/>
      <c r="J106" s="66"/>
      <c r="K106" s="161"/>
      <c r="L106" s="161" t="s">
        <v>712</v>
      </c>
      <c r="M106" s="161"/>
      <c r="N106" s="272" t="s">
        <v>5</v>
      </c>
    </row>
    <row r="107" spans="1:14" s="56" customFormat="1" x14ac:dyDescent="0.2">
      <c r="A107" s="112" t="s">
        <v>120</v>
      </c>
      <c r="B107" s="226" t="s">
        <v>712</v>
      </c>
      <c r="E107" s="159"/>
      <c r="F107" s="159"/>
      <c r="G107" s="159"/>
      <c r="H107" s="160" t="s">
        <v>712</v>
      </c>
      <c r="I107" s="160"/>
      <c r="J107" s="75"/>
      <c r="K107" s="235" t="s">
        <v>5</v>
      </c>
      <c r="L107" s="81" t="s">
        <v>109</v>
      </c>
      <c r="M107" s="162"/>
    </row>
    <row r="108" spans="1:14" s="56" customFormat="1" x14ac:dyDescent="0.2">
      <c r="A108" s="112" t="s">
        <v>120</v>
      </c>
      <c r="B108" s="226" t="s">
        <v>714</v>
      </c>
      <c r="E108" s="159"/>
      <c r="F108" s="159"/>
      <c r="G108" s="159"/>
      <c r="H108" s="159"/>
      <c r="I108" s="159"/>
      <c r="J108" s="159"/>
      <c r="K108" s="159"/>
      <c r="L108" s="162"/>
      <c r="M108" s="162"/>
    </row>
    <row r="109" spans="1:14" s="56" customFormat="1" ht="13.5" thickBot="1" x14ac:dyDescent="0.25">
      <c r="A109" s="112" t="s">
        <v>121</v>
      </c>
      <c r="B109" s="226" t="s">
        <v>720</v>
      </c>
      <c r="E109" s="159"/>
      <c r="F109" s="159"/>
      <c r="G109" s="159"/>
      <c r="H109" s="159"/>
      <c r="I109" s="162"/>
      <c r="J109" s="162"/>
      <c r="K109" s="159"/>
      <c r="L109" s="161" t="s">
        <v>714</v>
      </c>
      <c r="M109" s="161"/>
      <c r="N109" s="272" t="s">
        <v>5</v>
      </c>
    </row>
    <row r="110" spans="1:14" s="56" customFormat="1" x14ac:dyDescent="0.2">
      <c r="A110" s="112" t="s">
        <v>121</v>
      </c>
      <c r="B110" s="226" t="s">
        <v>708</v>
      </c>
      <c r="E110" s="159"/>
      <c r="F110" s="159"/>
      <c r="G110" s="159"/>
      <c r="H110" s="159"/>
      <c r="I110" s="162"/>
      <c r="J110" s="162"/>
      <c r="K110" s="159"/>
      <c r="L110" s="64" t="s">
        <v>127</v>
      </c>
      <c r="M110" s="159"/>
    </row>
    <row r="111" spans="1:14" s="159" customFormat="1" x14ac:dyDescent="0.2">
      <c r="A111" s="112" t="s">
        <v>121</v>
      </c>
      <c r="B111" s="356" t="s">
        <v>718</v>
      </c>
    </row>
    <row r="112" spans="1:14" x14ac:dyDescent="0.2">
      <c r="A112" s="112" t="s">
        <v>121</v>
      </c>
      <c r="B112" s="226" t="s">
        <v>709</v>
      </c>
    </row>
    <row r="113" spans="1:2" x14ac:dyDescent="0.2">
      <c r="A113" s="112" t="s">
        <v>121</v>
      </c>
      <c r="B113" s="226" t="s">
        <v>713</v>
      </c>
    </row>
    <row r="114" spans="1:2" x14ac:dyDescent="0.2">
      <c r="A114" s="112" t="s">
        <v>121</v>
      </c>
      <c r="B114" s="226" t="s">
        <v>550</v>
      </c>
    </row>
  </sheetData>
  <sortState ref="B111:B116">
    <sortCondition ref="B111"/>
  </sortState>
  <conditionalFormatting sqref="C7:F10 C96:K107">
    <cfRule type="cellIs" dxfId="107" priority="53" operator="equal">
      <formula>13</formula>
    </cfRule>
  </conditionalFormatting>
  <conditionalFormatting sqref="G7:G10">
    <cfRule type="duplicateValues" dxfId="106" priority="51"/>
    <cfRule type="cellIs" dxfId="105" priority="52" operator="equal">
      <formula>13</formula>
    </cfRule>
  </conditionalFormatting>
  <conditionalFormatting sqref="C7:F10">
    <cfRule type="cellIs" dxfId="104" priority="50" operator="greaterThan">
      <formula>13</formula>
    </cfRule>
  </conditionalFormatting>
  <conditionalFormatting sqref="B7:B10">
    <cfRule type="duplicateValues" dxfId="103" priority="49"/>
  </conditionalFormatting>
  <conditionalFormatting sqref="C13:F15 D16 F16">
    <cfRule type="cellIs" dxfId="102" priority="48" operator="equal">
      <formula>13</formula>
    </cfRule>
  </conditionalFormatting>
  <conditionalFormatting sqref="G13:G16">
    <cfRule type="duplicateValues" dxfId="101" priority="46"/>
    <cfRule type="cellIs" dxfId="100" priority="47" operator="equal">
      <formula>13</formula>
    </cfRule>
  </conditionalFormatting>
  <conditionalFormatting sqref="C13:F15 D16 F16">
    <cfRule type="cellIs" dxfId="99" priority="45" operator="greaterThan">
      <formula>13</formula>
    </cfRule>
  </conditionalFormatting>
  <conditionalFormatting sqref="B13:B16">
    <cfRule type="duplicateValues" dxfId="98" priority="44"/>
  </conditionalFormatting>
  <conditionalFormatting sqref="C19:F21 D22 F22">
    <cfRule type="cellIs" dxfId="97" priority="43" operator="equal">
      <formula>13</formula>
    </cfRule>
  </conditionalFormatting>
  <conditionalFormatting sqref="G19:G22">
    <cfRule type="duplicateValues" dxfId="96" priority="41"/>
    <cfRule type="cellIs" dxfId="95" priority="42" operator="equal">
      <formula>13</formula>
    </cfRule>
  </conditionalFormatting>
  <conditionalFormatting sqref="C19:F21 D22 F22">
    <cfRule type="cellIs" dxfId="94" priority="40" operator="greaterThan">
      <formula>13</formula>
    </cfRule>
  </conditionalFormatting>
  <conditionalFormatting sqref="B19:B22">
    <cfRule type="duplicateValues" dxfId="93" priority="39"/>
  </conditionalFormatting>
  <conditionalFormatting sqref="C25:F27 D28 F28">
    <cfRule type="cellIs" dxfId="92" priority="38" operator="equal">
      <formula>13</formula>
    </cfRule>
  </conditionalFormatting>
  <conditionalFormatting sqref="G25:G28">
    <cfRule type="duplicateValues" dxfId="91" priority="36"/>
    <cfRule type="cellIs" dxfId="90" priority="37" operator="equal">
      <formula>13</formula>
    </cfRule>
  </conditionalFormatting>
  <conditionalFormatting sqref="C25:F27 D28 F28">
    <cfRule type="cellIs" dxfId="89" priority="35" operator="greaterThan">
      <formula>13</formula>
    </cfRule>
  </conditionalFormatting>
  <conditionalFormatting sqref="B25:B28">
    <cfRule type="duplicateValues" dxfId="88" priority="34"/>
  </conditionalFormatting>
  <conditionalFormatting sqref="C31:F33 D34 F34">
    <cfRule type="cellIs" dxfId="87" priority="33" operator="equal">
      <formula>13</formula>
    </cfRule>
  </conditionalFormatting>
  <conditionalFormatting sqref="G31:G34">
    <cfRule type="duplicateValues" dxfId="86" priority="31"/>
    <cfRule type="cellIs" dxfId="85" priority="32" operator="equal">
      <formula>13</formula>
    </cfRule>
  </conditionalFormatting>
  <conditionalFormatting sqref="C31:F33 D34 F34">
    <cfRule type="cellIs" dxfId="84" priority="30" operator="greaterThan">
      <formula>13</formula>
    </cfRule>
  </conditionalFormatting>
  <conditionalFormatting sqref="B31:B34">
    <cfRule type="duplicateValues" dxfId="83" priority="29"/>
  </conditionalFormatting>
  <conditionalFormatting sqref="C37:F39 D40 F40">
    <cfRule type="cellIs" dxfId="82" priority="28" operator="equal">
      <formula>13</formula>
    </cfRule>
  </conditionalFormatting>
  <conditionalFormatting sqref="G37:G40">
    <cfRule type="duplicateValues" dxfId="81" priority="26"/>
    <cfRule type="cellIs" dxfId="80" priority="27" operator="equal">
      <formula>13</formula>
    </cfRule>
  </conditionalFormatting>
  <conditionalFormatting sqref="C37:F39 D40 F40">
    <cfRule type="cellIs" dxfId="79" priority="25" operator="greaterThan">
      <formula>13</formula>
    </cfRule>
  </conditionalFormatting>
  <conditionalFormatting sqref="B37:B40">
    <cfRule type="duplicateValues" dxfId="78" priority="24"/>
  </conditionalFormatting>
  <conditionalFormatting sqref="C44:K44 C45:I95">
    <cfRule type="cellIs" dxfId="77" priority="22" operator="equal">
      <formula>13</formula>
    </cfRule>
  </conditionalFormatting>
  <conditionalFormatting sqref="C16">
    <cfRule type="cellIs" dxfId="76" priority="21" operator="equal">
      <formula>13</formula>
    </cfRule>
  </conditionalFormatting>
  <conditionalFormatting sqref="C16">
    <cfRule type="cellIs" dxfId="75" priority="20" operator="greaterThan">
      <formula>13</formula>
    </cfRule>
  </conditionalFormatting>
  <conditionalFormatting sqref="C22">
    <cfRule type="cellIs" dxfId="74" priority="19" operator="equal">
      <formula>13</formula>
    </cfRule>
  </conditionalFormatting>
  <conditionalFormatting sqref="C22">
    <cfRule type="cellIs" dxfId="73" priority="18" operator="greaterThan">
      <formula>13</formula>
    </cfRule>
  </conditionalFormatting>
  <conditionalFormatting sqref="C28">
    <cfRule type="cellIs" dxfId="72" priority="17" operator="equal">
      <formula>13</formula>
    </cfRule>
  </conditionalFormatting>
  <conditionalFormatting sqref="C28">
    <cfRule type="cellIs" dxfId="71" priority="16" operator="greaterThan">
      <formula>13</formula>
    </cfRule>
  </conditionalFormatting>
  <conditionalFormatting sqref="C34">
    <cfRule type="cellIs" dxfId="70" priority="15" operator="equal">
      <formula>13</formula>
    </cfRule>
  </conditionalFormatting>
  <conditionalFormatting sqref="C34">
    <cfRule type="cellIs" dxfId="69" priority="14" operator="greaterThan">
      <formula>13</formula>
    </cfRule>
  </conditionalFormatting>
  <conditionalFormatting sqref="C40">
    <cfRule type="cellIs" dxfId="68" priority="13" operator="equal">
      <formula>13</formula>
    </cfRule>
  </conditionalFormatting>
  <conditionalFormatting sqref="C40">
    <cfRule type="cellIs" dxfId="67" priority="12" operator="greaterThan">
      <formula>13</formula>
    </cfRule>
  </conditionalFormatting>
  <conditionalFormatting sqref="E16">
    <cfRule type="cellIs" dxfId="66" priority="11" operator="equal">
      <formula>13</formula>
    </cfRule>
  </conditionalFormatting>
  <conditionalFormatting sqref="E16">
    <cfRule type="cellIs" dxfId="65" priority="10" operator="greaterThan">
      <formula>13</formula>
    </cfRule>
  </conditionalFormatting>
  <conditionalFormatting sqref="E22">
    <cfRule type="cellIs" dxfId="64" priority="9" operator="equal">
      <formula>13</formula>
    </cfRule>
  </conditionalFormatting>
  <conditionalFormatting sqref="E22">
    <cfRule type="cellIs" dxfId="63" priority="8" operator="greaterThan">
      <formula>13</formula>
    </cfRule>
  </conditionalFormatting>
  <conditionalFormatting sqref="E28">
    <cfRule type="cellIs" dxfId="62" priority="7" operator="equal">
      <formula>13</formula>
    </cfRule>
  </conditionalFormatting>
  <conditionalFormatting sqref="E28">
    <cfRule type="cellIs" dxfId="61" priority="6" operator="greaterThan">
      <formula>13</formula>
    </cfRule>
  </conditionalFormatting>
  <conditionalFormatting sqref="E34">
    <cfRule type="cellIs" dxfId="60" priority="5" operator="equal">
      <formula>13</formula>
    </cfRule>
  </conditionalFormatting>
  <conditionalFormatting sqref="E34">
    <cfRule type="cellIs" dxfId="59" priority="4" operator="greaterThan">
      <formula>13</formula>
    </cfRule>
  </conditionalFormatting>
  <conditionalFormatting sqref="E40">
    <cfRule type="cellIs" dxfId="58" priority="3" operator="equal">
      <formula>13</formula>
    </cfRule>
  </conditionalFormatting>
  <conditionalFormatting sqref="E40">
    <cfRule type="cellIs" dxfId="57" priority="2" operator="greaterThan">
      <formula>13</formula>
    </cfRule>
  </conditionalFormatting>
  <pageMargins left="0.39370078740157483" right="0.31496062992125984" top="0.70866141732283472" bottom="0.31496062992125984" header="0.59055118110236227" footer="0"/>
  <pageSetup paperSize="9" fitToHeight="0" orientation="landscape" verticalDpi="1200" r:id="rId1"/>
  <headerFooter>
    <oddHeader>&amp;R&amp;"Arial,Regular"&amp;9Page &amp;P of &amp;N</oddHeader>
  </headerFooter>
  <rowBreaks count="2" manualBreakCount="2">
    <brk id="40" max="16383" man="1"/>
    <brk id="7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74"/>
  <sheetViews>
    <sheetView showGridLines="0" showRowColHeaders="0" workbookViewId="0">
      <pane ySplit="2" topLeftCell="A3" activePane="bottomLeft" state="frozen"/>
      <selection pane="bottomLeft" activeCell="B1" sqref="B1"/>
    </sheetView>
  </sheetViews>
  <sheetFormatPr defaultColWidth="9.140625" defaultRowHeight="12.75" x14ac:dyDescent="0.2"/>
  <cols>
    <col min="1" max="1" width="88.85546875" style="167" customWidth="1"/>
    <col min="2" max="16384" width="9.140625" style="167"/>
  </cols>
  <sheetData>
    <row r="1" spans="1:1" x14ac:dyDescent="0.2">
      <c r="A1" s="166" t="s">
        <v>186</v>
      </c>
    </row>
    <row r="2" spans="1:1" x14ac:dyDescent="0.2">
      <c r="A2" s="358" t="s">
        <v>592</v>
      </c>
    </row>
    <row r="3" spans="1:1" x14ac:dyDescent="0.2">
      <c r="A3" s="168"/>
    </row>
    <row r="4" spans="1:1" x14ac:dyDescent="0.2">
      <c r="A4" s="168" t="s">
        <v>135</v>
      </c>
    </row>
    <row r="5" spans="1:1" x14ac:dyDescent="0.2">
      <c r="A5" s="168" t="s">
        <v>136</v>
      </c>
    </row>
    <row r="6" spans="1:1" x14ac:dyDescent="0.2">
      <c r="A6" s="168" t="s">
        <v>137</v>
      </c>
    </row>
    <row r="7" spans="1:1" x14ac:dyDescent="0.2">
      <c r="A7" s="168" t="s">
        <v>138</v>
      </c>
    </row>
    <row r="8" spans="1:1" x14ac:dyDescent="0.2">
      <c r="A8" s="168"/>
    </row>
    <row r="9" spans="1:1" x14ac:dyDescent="0.2">
      <c r="A9" s="168" t="s">
        <v>139</v>
      </c>
    </row>
    <row r="10" spans="1:1" x14ac:dyDescent="0.2">
      <c r="A10" s="168" t="s">
        <v>187</v>
      </c>
    </row>
    <row r="11" spans="1:1" ht="25.5" x14ac:dyDescent="0.2">
      <c r="A11" s="168" t="s">
        <v>140</v>
      </c>
    </row>
    <row r="12" spans="1:1" ht="38.25" x14ac:dyDescent="0.2">
      <c r="A12" s="168" t="s">
        <v>141</v>
      </c>
    </row>
    <row r="13" spans="1:1" x14ac:dyDescent="0.2">
      <c r="A13" s="168"/>
    </row>
    <row r="14" spans="1:1" x14ac:dyDescent="0.2">
      <c r="A14" s="168" t="s">
        <v>142</v>
      </c>
    </row>
    <row r="15" spans="1:1" ht="38.25" x14ac:dyDescent="0.2">
      <c r="A15" s="358" t="s">
        <v>582</v>
      </c>
    </row>
    <row r="16" spans="1:1" ht="38.25" x14ac:dyDescent="0.2">
      <c r="A16" s="165" t="s">
        <v>188</v>
      </c>
    </row>
    <row r="17" spans="1:1" x14ac:dyDescent="0.2">
      <c r="A17" s="168"/>
    </row>
    <row r="18" spans="1:1" x14ac:dyDescent="0.2">
      <c r="A18" s="168" t="s">
        <v>143</v>
      </c>
    </row>
    <row r="19" spans="1:1" x14ac:dyDescent="0.2">
      <c r="A19" s="168"/>
    </row>
    <row r="20" spans="1:1" x14ac:dyDescent="0.2">
      <c r="A20" s="168" t="s">
        <v>144</v>
      </c>
    </row>
    <row r="21" spans="1:1" ht="25.5" x14ac:dyDescent="0.2">
      <c r="A21" s="168" t="s">
        <v>145</v>
      </c>
    </row>
    <row r="22" spans="1:1" x14ac:dyDescent="0.2">
      <c r="A22" s="168" t="s">
        <v>146</v>
      </c>
    </row>
    <row r="23" spans="1:1" x14ac:dyDescent="0.2">
      <c r="A23" s="168"/>
    </row>
    <row r="24" spans="1:1" x14ac:dyDescent="0.2">
      <c r="A24" s="168" t="s">
        <v>147</v>
      </c>
    </row>
    <row r="25" spans="1:1" x14ac:dyDescent="0.2">
      <c r="A25" s="168" t="s">
        <v>148</v>
      </c>
    </row>
    <row r="26" spans="1:1" x14ac:dyDescent="0.2">
      <c r="A26" s="168"/>
    </row>
    <row r="27" spans="1:1" x14ac:dyDescent="0.2">
      <c r="A27" s="168" t="s">
        <v>149</v>
      </c>
    </row>
    <row r="28" spans="1:1" x14ac:dyDescent="0.2">
      <c r="A28" s="168" t="s">
        <v>189</v>
      </c>
    </row>
    <row r="29" spans="1:1" x14ac:dyDescent="0.2">
      <c r="A29" s="168"/>
    </row>
    <row r="30" spans="1:1" x14ac:dyDescent="0.2">
      <c r="A30" s="168" t="s">
        <v>150</v>
      </c>
    </row>
    <row r="31" spans="1:1" ht="25.5" x14ac:dyDescent="0.2">
      <c r="A31" s="168" t="s">
        <v>190</v>
      </c>
    </row>
    <row r="32" spans="1:1" x14ac:dyDescent="0.2">
      <c r="A32" s="168"/>
    </row>
    <row r="33" spans="1:1" x14ac:dyDescent="0.2">
      <c r="A33" s="168" t="s">
        <v>151</v>
      </c>
    </row>
    <row r="34" spans="1:1" x14ac:dyDescent="0.2">
      <c r="A34" s="168" t="s">
        <v>152</v>
      </c>
    </row>
    <row r="35" spans="1:1" x14ac:dyDescent="0.2">
      <c r="A35" s="168" t="s">
        <v>153</v>
      </c>
    </row>
    <row r="36" spans="1:1" x14ac:dyDescent="0.2">
      <c r="A36" s="168"/>
    </row>
    <row r="37" spans="1:1" x14ac:dyDescent="0.2">
      <c r="A37" s="168" t="s">
        <v>154</v>
      </c>
    </row>
    <row r="38" spans="1:1" ht="25.5" x14ac:dyDescent="0.2">
      <c r="A38" s="358" t="s">
        <v>583</v>
      </c>
    </row>
    <row r="39" spans="1:1" x14ac:dyDescent="0.2">
      <c r="A39" s="168"/>
    </row>
    <row r="40" spans="1:1" x14ac:dyDescent="0.2">
      <c r="A40" s="168" t="s">
        <v>155</v>
      </c>
    </row>
    <row r="41" spans="1:1" ht="51" x14ac:dyDescent="0.2">
      <c r="A41" s="168" t="s">
        <v>191</v>
      </c>
    </row>
    <row r="42" spans="1:1" x14ac:dyDescent="0.2">
      <c r="A42" s="168"/>
    </row>
    <row r="43" spans="1:1" x14ac:dyDescent="0.2">
      <c r="A43" s="168" t="s">
        <v>156</v>
      </c>
    </row>
    <row r="44" spans="1:1" x14ac:dyDescent="0.2">
      <c r="A44" s="168" t="s">
        <v>157</v>
      </c>
    </row>
    <row r="45" spans="1:1" x14ac:dyDescent="0.2">
      <c r="A45" s="168"/>
    </row>
    <row r="46" spans="1:1" x14ac:dyDescent="0.2">
      <c r="A46" s="168" t="s">
        <v>158</v>
      </c>
    </row>
    <row r="47" spans="1:1" x14ac:dyDescent="0.2">
      <c r="A47" s="168" t="s">
        <v>159</v>
      </c>
    </row>
    <row r="48" spans="1:1" x14ac:dyDescent="0.2">
      <c r="A48" s="168" t="s">
        <v>160</v>
      </c>
    </row>
    <row r="49" spans="1:1" x14ac:dyDescent="0.2">
      <c r="A49" s="168"/>
    </row>
    <row r="50" spans="1:1" x14ac:dyDescent="0.2">
      <c r="A50" s="168" t="s">
        <v>161</v>
      </c>
    </row>
    <row r="51" spans="1:1" x14ac:dyDescent="0.2">
      <c r="A51" s="168" t="s">
        <v>162</v>
      </c>
    </row>
    <row r="52" spans="1:1" x14ac:dyDescent="0.2">
      <c r="A52" s="168" t="s">
        <v>163</v>
      </c>
    </row>
    <row r="53" spans="1:1" ht="38.25" x14ac:dyDescent="0.2">
      <c r="A53" s="168" t="s">
        <v>192</v>
      </c>
    </row>
    <row r="54" spans="1:1" x14ac:dyDescent="0.2">
      <c r="A54" s="168" t="s">
        <v>164</v>
      </c>
    </row>
    <row r="55" spans="1:1" ht="25.5" x14ac:dyDescent="0.2">
      <c r="A55" s="358" t="s">
        <v>584</v>
      </c>
    </row>
    <row r="56" spans="1:1" s="605" customFormat="1" ht="38.25" x14ac:dyDescent="0.2">
      <c r="A56" s="168" t="s">
        <v>165</v>
      </c>
    </row>
    <row r="57" spans="1:1" x14ac:dyDescent="0.2">
      <c r="A57" s="358" t="s">
        <v>585</v>
      </c>
    </row>
    <row r="58" spans="1:1" ht="25.5" x14ac:dyDescent="0.2">
      <c r="A58" s="168" t="s">
        <v>166</v>
      </c>
    </row>
    <row r="59" spans="1:1" ht="25.5" x14ac:dyDescent="0.2">
      <c r="A59" s="168" t="s">
        <v>167</v>
      </c>
    </row>
    <row r="60" spans="1:1" x14ac:dyDescent="0.2">
      <c r="A60" s="168" t="s">
        <v>168</v>
      </c>
    </row>
    <row r="61" spans="1:1" x14ac:dyDescent="0.2">
      <c r="A61" s="358" t="s">
        <v>586</v>
      </c>
    </row>
    <row r="62" spans="1:1" x14ac:dyDescent="0.2">
      <c r="A62" s="358" t="s">
        <v>587</v>
      </c>
    </row>
    <row r="63" spans="1:1" x14ac:dyDescent="0.2">
      <c r="A63" s="358" t="s">
        <v>588</v>
      </c>
    </row>
    <row r="64" spans="1:1" x14ac:dyDescent="0.2">
      <c r="A64" s="358" t="s">
        <v>395</v>
      </c>
    </row>
    <row r="65" spans="1:1" ht="25.5" x14ac:dyDescent="0.2">
      <c r="A65" s="358" t="s">
        <v>589</v>
      </c>
    </row>
    <row r="66" spans="1:1" x14ac:dyDescent="0.2">
      <c r="A66" s="358" t="s">
        <v>590</v>
      </c>
    </row>
    <row r="67" spans="1:1" ht="25.5" x14ac:dyDescent="0.2">
      <c r="A67" s="358" t="s">
        <v>591</v>
      </c>
    </row>
    <row r="68" spans="1:1" x14ac:dyDescent="0.2">
      <c r="A68" s="168" t="s">
        <v>193</v>
      </c>
    </row>
    <row r="69" spans="1:1" x14ac:dyDescent="0.2">
      <c r="A69" s="168"/>
    </row>
    <row r="70" spans="1:1" x14ac:dyDescent="0.2">
      <c r="A70" s="168" t="s">
        <v>169</v>
      </c>
    </row>
    <row r="71" spans="1:1" ht="38.25" x14ac:dyDescent="0.2">
      <c r="A71" s="168" t="s">
        <v>170</v>
      </c>
    </row>
    <row r="72" spans="1:1" x14ac:dyDescent="0.2">
      <c r="A72" s="168" t="s">
        <v>171</v>
      </c>
    </row>
    <row r="73" spans="1:1" ht="25.5" x14ac:dyDescent="0.2">
      <c r="A73" s="358" t="s">
        <v>172</v>
      </c>
    </row>
    <row r="74" spans="1:1" ht="25.5" x14ac:dyDescent="0.2">
      <c r="A74" s="168" t="s">
        <v>173</v>
      </c>
    </row>
  </sheetData>
  <pageMargins left="0.78740157480314965" right="0.59055118110236227" top="0.78740157480314965" bottom="0.39370078740157483" header="0.59055118110236227" footer="0"/>
  <pageSetup paperSize="9" fitToHeight="0" orientation="portrait" r:id="rId1"/>
  <headerFooter>
    <oddHeader>&amp;R&amp;9Page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D49"/>
  <sheetViews>
    <sheetView showGridLines="0" showRowColHeaders="0" zoomScaleNormal="100" workbookViewId="0">
      <pane ySplit="1" topLeftCell="A2" activePane="bottomLeft" state="frozen"/>
      <selection activeCell="B1" sqref="B1"/>
      <selection pane="bottomLeft" activeCell="H1" sqref="H1"/>
    </sheetView>
  </sheetViews>
  <sheetFormatPr defaultRowHeight="12.75" x14ac:dyDescent="0.2"/>
  <cols>
    <col min="1" max="2" width="9.140625" style="132"/>
    <col min="3" max="3" width="15.5703125" style="132" bestFit="1" customWidth="1"/>
    <col min="4" max="4" width="16.5703125" style="132" bestFit="1" customWidth="1"/>
    <col min="5" max="16384" width="9.140625" style="132"/>
  </cols>
  <sheetData>
    <row r="1" spans="1:4" x14ac:dyDescent="0.2">
      <c r="A1" s="141" t="s">
        <v>593</v>
      </c>
      <c r="B1" s="40"/>
      <c r="C1" s="40"/>
      <c r="D1" s="40"/>
    </row>
    <row r="2" spans="1:4" x14ac:dyDescent="0.2">
      <c r="A2" s="141"/>
      <c r="B2" s="148"/>
      <c r="C2" s="148"/>
      <c r="D2" s="148"/>
    </row>
    <row r="3" spans="1:4" x14ac:dyDescent="0.2">
      <c r="A3" s="132" t="s">
        <v>194</v>
      </c>
    </row>
    <row r="4" spans="1:4" x14ac:dyDescent="0.2">
      <c r="A4" s="132" t="s">
        <v>195</v>
      </c>
    </row>
    <row r="5" spans="1:4" x14ac:dyDescent="0.2">
      <c r="A5" s="132" t="s">
        <v>196</v>
      </c>
    </row>
    <row r="7" spans="1:4" x14ac:dyDescent="0.2">
      <c r="A7" s="132" t="s">
        <v>129</v>
      </c>
    </row>
    <row r="8" spans="1:4" x14ac:dyDescent="0.2">
      <c r="B8" s="592" t="s">
        <v>594</v>
      </c>
    </row>
    <row r="9" spans="1:4" x14ac:dyDescent="0.2">
      <c r="B9" s="592" t="s">
        <v>595</v>
      </c>
    </row>
    <row r="10" spans="1:4" x14ac:dyDescent="0.2">
      <c r="B10" s="592" t="s">
        <v>596</v>
      </c>
    </row>
    <row r="11" spans="1:4" x14ac:dyDescent="0.2">
      <c r="B11" s="592" t="s">
        <v>597</v>
      </c>
    </row>
    <row r="12" spans="1:4" x14ac:dyDescent="0.2">
      <c r="B12" s="592" t="s">
        <v>598</v>
      </c>
    </row>
    <row r="13" spans="1:4" x14ac:dyDescent="0.2">
      <c r="B13" s="592" t="s">
        <v>599</v>
      </c>
    </row>
    <row r="15" spans="1:4" x14ac:dyDescent="0.2">
      <c r="A15" s="132" t="s">
        <v>130</v>
      </c>
    </row>
    <row r="16" spans="1:4" x14ac:dyDescent="0.2">
      <c r="B16" s="592" t="s">
        <v>601</v>
      </c>
    </row>
    <row r="17" spans="1:4" x14ac:dyDescent="0.2">
      <c r="B17" s="592" t="s">
        <v>602</v>
      </c>
    </row>
    <row r="18" spans="1:4" x14ac:dyDescent="0.2">
      <c r="B18" s="592" t="s">
        <v>603</v>
      </c>
    </row>
    <row r="19" spans="1:4" x14ac:dyDescent="0.2">
      <c r="B19" s="592" t="s">
        <v>604</v>
      </c>
    </row>
    <row r="20" spans="1:4" x14ac:dyDescent="0.2">
      <c r="B20" s="592" t="s">
        <v>605</v>
      </c>
    </row>
    <row r="21" spans="1:4" x14ac:dyDescent="0.2">
      <c r="B21" s="592" t="s">
        <v>600</v>
      </c>
    </row>
    <row r="23" spans="1:4" x14ac:dyDescent="0.2">
      <c r="A23" s="132" t="s">
        <v>197</v>
      </c>
    </row>
    <row r="25" spans="1:4" x14ac:dyDescent="0.2">
      <c r="B25" s="606" t="s">
        <v>19</v>
      </c>
      <c r="C25" s="606" t="s">
        <v>606</v>
      </c>
      <c r="D25" s="606" t="s">
        <v>607</v>
      </c>
    </row>
    <row r="26" spans="1:4" x14ac:dyDescent="0.2">
      <c r="B26" s="169" t="s">
        <v>74</v>
      </c>
      <c r="C26" s="169">
        <v>25</v>
      </c>
      <c r="D26" s="169">
        <v>20</v>
      </c>
    </row>
    <row r="27" spans="1:4" x14ac:dyDescent="0.2">
      <c r="B27" s="169" t="s">
        <v>75</v>
      </c>
      <c r="C27" s="169">
        <v>20</v>
      </c>
      <c r="D27" s="169">
        <v>16</v>
      </c>
    </row>
    <row r="28" spans="1:4" x14ac:dyDescent="0.2">
      <c r="B28" s="169" t="s">
        <v>76</v>
      </c>
      <c r="C28" s="169">
        <v>16</v>
      </c>
      <c r="D28" s="169">
        <v>12</v>
      </c>
    </row>
    <row r="29" spans="1:4" x14ac:dyDescent="0.2">
      <c r="B29" s="169" t="s">
        <v>198</v>
      </c>
      <c r="C29" s="169">
        <v>12</v>
      </c>
      <c r="D29" s="169">
        <v>9</v>
      </c>
    </row>
    <row r="30" spans="1:4" x14ac:dyDescent="0.2">
      <c r="B30" s="169" t="s">
        <v>199</v>
      </c>
      <c r="C30" s="169">
        <v>9</v>
      </c>
      <c r="D30" s="169">
        <v>7</v>
      </c>
    </row>
    <row r="31" spans="1:4" x14ac:dyDescent="0.2">
      <c r="B31" s="169" t="s">
        <v>200</v>
      </c>
      <c r="C31" s="169">
        <v>7</v>
      </c>
      <c r="D31" s="169">
        <v>5</v>
      </c>
    </row>
    <row r="32" spans="1:4" x14ac:dyDescent="0.2">
      <c r="B32" s="169" t="s">
        <v>183</v>
      </c>
      <c r="C32" s="169">
        <v>5</v>
      </c>
      <c r="D32" s="169">
        <v>4</v>
      </c>
    </row>
    <row r="33" spans="1:4" x14ac:dyDescent="0.2">
      <c r="B33" s="169" t="s">
        <v>184</v>
      </c>
      <c r="C33" s="169">
        <v>4</v>
      </c>
      <c r="D33" s="169">
        <v>3</v>
      </c>
    </row>
    <row r="34" spans="1:4" x14ac:dyDescent="0.2">
      <c r="B34" s="606" t="s">
        <v>608</v>
      </c>
      <c r="C34" s="169">
        <v>2</v>
      </c>
      <c r="D34" s="169">
        <v>1</v>
      </c>
    </row>
    <row r="36" spans="1:4" x14ac:dyDescent="0.2">
      <c r="A36" s="132" t="s">
        <v>131</v>
      </c>
    </row>
    <row r="37" spans="1:4" x14ac:dyDescent="0.2">
      <c r="A37" s="132" t="s">
        <v>132</v>
      </c>
    </row>
    <row r="39" spans="1:4" x14ac:dyDescent="0.2">
      <c r="A39" s="132" t="s">
        <v>133</v>
      </c>
    </row>
    <row r="40" spans="1:4" x14ac:dyDescent="0.2">
      <c r="A40" s="132" t="s">
        <v>134</v>
      </c>
    </row>
    <row r="41" spans="1:4" x14ac:dyDescent="0.2">
      <c r="A41" s="592" t="s">
        <v>558</v>
      </c>
    </row>
    <row r="43" spans="1:4" x14ac:dyDescent="0.2">
      <c r="A43" s="132" t="s">
        <v>201</v>
      </c>
    </row>
    <row r="45" spans="1:4" x14ac:dyDescent="0.2">
      <c r="B45" s="132" t="s">
        <v>202</v>
      </c>
    </row>
    <row r="46" spans="1:4" x14ac:dyDescent="0.2">
      <c r="B46" s="132" t="s">
        <v>203</v>
      </c>
    </row>
    <row r="47" spans="1:4" x14ac:dyDescent="0.2">
      <c r="B47" s="132" t="s">
        <v>204</v>
      </c>
    </row>
    <row r="49" spans="1:1" x14ac:dyDescent="0.2">
      <c r="A49" s="132" t="s">
        <v>205</v>
      </c>
    </row>
  </sheetData>
  <pageMargins left="0.78740157480314965" right="0.39370078740157483" top="0.78740157480314965" bottom="0.39370078740157483" header="0.59055118110236227" footer="0"/>
  <pageSetup paperSize="9" fitToHeight="0" orientation="portrait" r:id="rId1"/>
  <headerFooter>
    <oddHeader>&amp;R&amp;9Page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E12"/>
  <sheetViews>
    <sheetView showGridLines="0" showRowColHeaders="0" workbookViewId="0">
      <pane ySplit="1" topLeftCell="A2" activePane="bottomLeft" state="frozen"/>
      <selection pane="bottomLeft" activeCell="J1" sqref="J1"/>
    </sheetView>
  </sheetViews>
  <sheetFormatPr defaultRowHeight="12.75" x14ac:dyDescent="0.2"/>
  <cols>
    <col min="1" max="1" width="9.140625" style="40"/>
    <col min="2" max="2" width="15.5703125" style="40" bestFit="1" customWidth="1"/>
    <col min="3" max="3" width="16.5703125" style="40" bestFit="1" customWidth="1"/>
    <col min="4" max="4" width="0.28515625" style="40" customWidth="1"/>
    <col min="5" max="16384" width="9.140625" style="40"/>
  </cols>
  <sheetData>
    <row r="1" spans="1:5" x14ac:dyDescent="0.2">
      <c r="A1" s="138" t="s">
        <v>609</v>
      </c>
      <c r="B1" s="134"/>
      <c r="C1" s="132"/>
      <c r="D1" s="132"/>
    </row>
    <row r="2" spans="1:5" x14ac:dyDescent="0.2">
      <c r="A2" s="39"/>
      <c r="B2" s="134"/>
      <c r="C2" s="132"/>
      <c r="D2" s="132"/>
    </row>
    <row r="3" spans="1:5" x14ac:dyDescent="0.2">
      <c r="A3" s="606" t="s">
        <v>19</v>
      </c>
      <c r="B3" s="606" t="s">
        <v>606</v>
      </c>
      <c r="C3" s="606" t="s">
        <v>607</v>
      </c>
      <c r="D3" s="135" t="s">
        <v>174</v>
      </c>
      <c r="E3" s="136" t="s">
        <v>5</v>
      </c>
    </row>
    <row r="4" spans="1:5" x14ac:dyDescent="0.2">
      <c r="A4" s="133" t="s">
        <v>74</v>
      </c>
      <c r="B4" s="133">
        <v>25</v>
      </c>
      <c r="C4" s="133">
        <v>20</v>
      </c>
      <c r="D4" s="133">
        <v>13</v>
      </c>
    </row>
    <row r="5" spans="1:5" x14ac:dyDescent="0.2">
      <c r="A5" s="133" t="s">
        <v>75</v>
      </c>
      <c r="B5" s="133">
        <v>20</v>
      </c>
      <c r="C5" s="133">
        <v>16</v>
      </c>
      <c r="D5" s="133">
        <v>10</v>
      </c>
    </row>
    <row r="6" spans="1:5" x14ac:dyDescent="0.2">
      <c r="A6" s="133" t="s">
        <v>76</v>
      </c>
      <c r="B6" s="133">
        <v>16</v>
      </c>
      <c r="C6" s="133">
        <v>12</v>
      </c>
      <c r="D6" s="133">
        <v>8</v>
      </c>
    </row>
    <row r="7" spans="1:5" x14ac:dyDescent="0.2">
      <c r="A7" s="133">
        <v>4</v>
      </c>
      <c r="B7" s="133">
        <v>12</v>
      </c>
      <c r="C7" s="133">
        <v>9</v>
      </c>
      <c r="D7" s="133">
        <v>6</v>
      </c>
    </row>
    <row r="8" spans="1:5" x14ac:dyDescent="0.2">
      <c r="A8" s="133">
        <v>5</v>
      </c>
      <c r="B8" s="133">
        <v>9</v>
      </c>
      <c r="C8" s="133">
        <v>7</v>
      </c>
      <c r="D8" s="133">
        <v>5</v>
      </c>
    </row>
    <row r="9" spans="1:5" x14ac:dyDescent="0.2">
      <c r="A9" s="133">
        <v>6</v>
      </c>
      <c r="B9" s="133">
        <v>7</v>
      </c>
      <c r="C9" s="133">
        <v>5</v>
      </c>
      <c r="D9" s="133">
        <v>4</v>
      </c>
    </row>
    <row r="10" spans="1:5" x14ac:dyDescent="0.2">
      <c r="A10" s="133">
        <v>7</v>
      </c>
      <c r="B10" s="133">
        <v>5</v>
      </c>
      <c r="C10" s="133">
        <v>4</v>
      </c>
      <c r="D10" s="133">
        <v>3</v>
      </c>
    </row>
    <row r="11" spans="1:5" x14ac:dyDescent="0.2">
      <c r="A11" s="133">
        <v>8</v>
      </c>
      <c r="B11" s="133">
        <v>4</v>
      </c>
      <c r="C11" s="133">
        <v>3</v>
      </c>
      <c r="D11" s="133">
        <v>2</v>
      </c>
    </row>
    <row r="12" spans="1:5" x14ac:dyDescent="0.2">
      <c r="A12" s="607" t="s">
        <v>610</v>
      </c>
      <c r="B12" s="133">
        <v>2</v>
      </c>
      <c r="C12" s="133">
        <v>1</v>
      </c>
      <c r="D12" s="133">
        <v>1</v>
      </c>
    </row>
  </sheetData>
  <pageMargins left="0.78740157480314965" right="0.39370078740157483" top="0.78740157480314965" bottom="0.39370078740157483" header="0.59055118110236227" footer="0"/>
  <pageSetup paperSize="9" fitToHeight="0" orientation="portrait" r:id="rId1"/>
  <headerFooter>
    <oddHeader>&amp;R&amp;9Page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69"/>
  <sheetViews>
    <sheetView showGridLines="0" showRowColHeaders="0" zoomScaleNormal="100" workbookViewId="0">
      <pane ySplit="2" topLeftCell="A3" activePane="bottomLeft" state="frozen"/>
      <selection activeCell="B1" sqref="B1"/>
      <selection pane="bottomLeft" activeCell="B1" sqref="B1"/>
    </sheetView>
  </sheetViews>
  <sheetFormatPr defaultRowHeight="12.75" x14ac:dyDescent="0.2"/>
  <cols>
    <col min="1" max="1" width="86.7109375" style="171" customWidth="1"/>
    <col min="2" max="16384" width="9.140625" style="171"/>
  </cols>
  <sheetData>
    <row r="1" spans="1:1" x14ac:dyDescent="0.2">
      <c r="A1" s="170" t="s">
        <v>611</v>
      </c>
    </row>
    <row r="2" spans="1:1" x14ac:dyDescent="0.2">
      <c r="A2" s="171" t="s">
        <v>612</v>
      </c>
    </row>
    <row r="4" spans="1:1" x14ac:dyDescent="0.2">
      <c r="A4" s="171" t="s">
        <v>206</v>
      </c>
    </row>
    <row r="5" spans="1:1" ht="25.5" x14ac:dyDescent="0.2">
      <c r="A5" s="171" t="s">
        <v>207</v>
      </c>
    </row>
    <row r="7" spans="1:1" x14ac:dyDescent="0.2">
      <c r="A7" s="171" t="s">
        <v>208</v>
      </c>
    </row>
    <row r="8" spans="1:1" x14ac:dyDescent="0.2">
      <c r="A8" s="171" t="s">
        <v>209</v>
      </c>
    </row>
    <row r="10" spans="1:1" x14ac:dyDescent="0.2">
      <c r="A10" s="171" t="s">
        <v>243</v>
      </c>
    </row>
    <row r="11" spans="1:1" ht="38.25" x14ac:dyDescent="0.2">
      <c r="A11" s="171" t="s">
        <v>613</v>
      </c>
    </row>
    <row r="13" spans="1:1" x14ac:dyDescent="0.2">
      <c r="A13" s="171" t="s">
        <v>210</v>
      </c>
    </row>
    <row r="14" spans="1:1" ht="25.5" x14ac:dyDescent="0.2">
      <c r="A14" s="171" t="s">
        <v>211</v>
      </c>
    </row>
    <row r="16" spans="1:1" x14ac:dyDescent="0.2">
      <c r="A16" s="171" t="s">
        <v>212</v>
      </c>
    </row>
    <row r="17" spans="1:1" x14ac:dyDescent="0.2">
      <c r="A17" s="171" t="s">
        <v>614</v>
      </c>
    </row>
    <row r="18" spans="1:1" x14ac:dyDescent="0.2">
      <c r="A18" s="171" t="s">
        <v>213</v>
      </c>
    </row>
    <row r="19" spans="1:1" x14ac:dyDescent="0.2">
      <c r="A19" s="171" t="s">
        <v>214</v>
      </c>
    </row>
    <row r="20" spans="1:1" x14ac:dyDescent="0.2">
      <c r="A20" s="171" t="s">
        <v>215</v>
      </c>
    </row>
    <row r="22" spans="1:1" x14ac:dyDescent="0.2">
      <c r="A22" s="171" t="s">
        <v>216</v>
      </c>
    </row>
    <row r="23" spans="1:1" x14ac:dyDescent="0.2">
      <c r="A23" s="171" t="s">
        <v>217</v>
      </c>
    </row>
    <row r="24" spans="1:1" x14ac:dyDescent="0.2">
      <c r="A24" s="171" t="s">
        <v>267</v>
      </c>
    </row>
    <row r="25" spans="1:1" x14ac:dyDescent="0.2">
      <c r="A25" s="171" t="s">
        <v>266</v>
      </c>
    </row>
    <row r="26" spans="1:1" x14ac:dyDescent="0.2">
      <c r="A26" s="171" t="s">
        <v>218</v>
      </c>
    </row>
    <row r="28" spans="1:1" x14ac:dyDescent="0.2">
      <c r="A28" s="171" t="s">
        <v>219</v>
      </c>
    </row>
    <row r="30" spans="1:1" x14ac:dyDescent="0.2">
      <c r="A30" s="171" t="s">
        <v>220</v>
      </c>
    </row>
    <row r="31" spans="1:1" x14ac:dyDescent="0.2">
      <c r="A31" s="171" t="s">
        <v>615</v>
      </c>
    </row>
    <row r="32" spans="1:1" x14ac:dyDescent="0.2">
      <c r="A32" s="171" t="s">
        <v>616</v>
      </c>
    </row>
    <row r="33" spans="1:1" ht="25.5" x14ac:dyDescent="0.2">
      <c r="A33" s="171" t="s">
        <v>617</v>
      </c>
    </row>
    <row r="34" spans="1:1" ht="38.25" x14ac:dyDescent="0.2">
      <c r="A34" s="171" t="s">
        <v>618</v>
      </c>
    </row>
    <row r="35" spans="1:1" ht="25.5" x14ac:dyDescent="0.2">
      <c r="A35" s="171" t="s">
        <v>221</v>
      </c>
    </row>
    <row r="37" spans="1:1" ht="25.5" x14ac:dyDescent="0.2">
      <c r="A37" s="171" t="s">
        <v>222</v>
      </c>
    </row>
    <row r="39" spans="1:1" x14ac:dyDescent="0.2">
      <c r="A39" s="171" t="s">
        <v>245</v>
      </c>
    </row>
    <row r="40" spans="1:1" x14ac:dyDescent="0.2">
      <c r="A40" s="171" t="s">
        <v>223</v>
      </c>
    </row>
    <row r="41" spans="1:1" x14ac:dyDescent="0.2">
      <c r="A41" s="171" t="s">
        <v>224</v>
      </c>
    </row>
    <row r="42" spans="1:1" x14ac:dyDescent="0.2">
      <c r="A42" s="171" t="s">
        <v>244</v>
      </c>
    </row>
    <row r="44" spans="1:1" ht="38.25" x14ac:dyDescent="0.2">
      <c r="A44" s="171" t="s">
        <v>225</v>
      </c>
    </row>
    <row r="46" spans="1:1" x14ac:dyDescent="0.2">
      <c r="A46" s="171" t="s">
        <v>226</v>
      </c>
    </row>
    <row r="47" spans="1:1" x14ac:dyDescent="0.2">
      <c r="A47" s="171" t="s">
        <v>227</v>
      </c>
    </row>
    <row r="48" spans="1:1" x14ac:dyDescent="0.2">
      <c r="A48" s="171" t="s">
        <v>228</v>
      </c>
    </row>
    <row r="49" spans="1:1" x14ac:dyDescent="0.2">
      <c r="A49" s="171" t="s">
        <v>229</v>
      </c>
    </row>
    <row r="50" spans="1:1" x14ac:dyDescent="0.2">
      <c r="A50" s="171" t="s">
        <v>230</v>
      </c>
    </row>
    <row r="52" spans="1:1" x14ac:dyDescent="0.2">
      <c r="A52" s="171" t="s">
        <v>231</v>
      </c>
    </row>
    <row r="53" spans="1:1" x14ac:dyDescent="0.2">
      <c r="A53" s="171" t="s">
        <v>232</v>
      </c>
    </row>
    <row r="54" spans="1:1" x14ac:dyDescent="0.2">
      <c r="A54" s="171" t="s">
        <v>619</v>
      </c>
    </row>
    <row r="55" spans="1:1" x14ac:dyDescent="0.2">
      <c r="A55" s="171" t="s">
        <v>233</v>
      </c>
    </row>
    <row r="56" spans="1:1" x14ac:dyDescent="0.2">
      <c r="A56" s="171" t="s">
        <v>234</v>
      </c>
    </row>
    <row r="57" spans="1:1" x14ac:dyDescent="0.2">
      <c r="A57" s="171" t="s">
        <v>235</v>
      </c>
    </row>
    <row r="58" spans="1:1" x14ac:dyDescent="0.2">
      <c r="A58" s="171" t="s">
        <v>236</v>
      </c>
    </row>
    <row r="59" spans="1:1" x14ac:dyDescent="0.2">
      <c r="A59" s="171" t="s">
        <v>237</v>
      </c>
    </row>
    <row r="60" spans="1:1" x14ac:dyDescent="0.2">
      <c r="A60" s="171" t="s">
        <v>238</v>
      </c>
    </row>
    <row r="61" spans="1:1" x14ac:dyDescent="0.2">
      <c r="A61" s="171" t="s">
        <v>620</v>
      </c>
    </row>
    <row r="63" spans="1:1" ht="25.5" x14ac:dyDescent="0.2">
      <c r="A63" s="171" t="s">
        <v>239</v>
      </c>
    </row>
    <row r="65" spans="1:1" x14ac:dyDescent="0.2">
      <c r="A65" s="171" t="s">
        <v>240</v>
      </c>
    </row>
    <row r="66" spans="1:1" ht="25.5" x14ac:dyDescent="0.2">
      <c r="A66" s="171" t="s">
        <v>621</v>
      </c>
    </row>
    <row r="68" spans="1:1" x14ac:dyDescent="0.2">
      <c r="A68" s="171" t="s">
        <v>241</v>
      </c>
    </row>
    <row r="69" spans="1:1" x14ac:dyDescent="0.2">
      <c r="A69" s="171" t="s">
        <v>242</v>
      </c>
    </row>
  </sheetData>
  <pageMargins left="0.78740157480314965" right="0.78740157480314965" top="0.78740157480314965" bottom="0.39370078740157483" header="0.59055118110236227" footer="0"/>
  <pageSetup paperSize="9" fitToHeight="0" orientation="portrait" verticalDpi="0" r:id="rId1"/>
  <headerFooter>
    <oddHeader>&amp;R&amp;9Page &amp;P of &amp;N</oddHeader>
  </headerFooter>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A48"/>
  <sheetViews>
    <sheetView showGridLines="0" showRowColHeaders="0" workbookViewId="0">
      <pane ySplit="1" topLeftCell="A2" activePane="bottomLeft" state="frozen"/>
      <selection pane="bottomLeft" activeCell="B1" sqref="B1"/>
    </sheetView>
  </sheetViews>
  <sheetFormatPr defaultRowHeight="12.75" x14ac:dyDescent="0.2"/>
  <cols>
    <col min="1" max="1" width="92.7109375" customWidth="1"/>
  </cols>
  <sheetData>
    <row r="1" spans="1:1" x14ac:dyDescent="0.2">
      <c r="A1" s="359" t="s">
        <v>431</v>
      </c>
    </row>
    <row r="2" spans="1:1" x14ac:dyDescent="0.2">
      <c r="A2" s="360"/>
    </row>
    <row r="3" spans="1:1" x14ac:dyDescent="0.2">
      <c r="A3" s="360" t="s">
        <v>622</v>
      </c>
    </row>
    <row r="4" spans="1:1" hidden="1" x14ac:dyDescent="0.2">
      <c r="A4" s="360"/>
    </row>
    <row r="5" spans="1:1" ht="38.25" x14ac:dyDescent="0.2">
      <c r="A5" s="360" t="s">
        <v>399</v>
      </c>
    </row>
    <row r="6" spans="1:1" hidden="1" x14ac:dyDescent="0.2">
      <c r="A6" s="360"/>
    </row>
    <row r="7" spans="1:1" x14ac:dyDescent="0.2">
      <c r="A7" s="360" t="s">
        <v>400</v>
      </c>
    </row>
    <row r="8" spans="1:1" ht="38.25" x14ac:dyDescent="0.2">
      <c r="A8" s="360" t="s">
        <v>401</v>
      </c>
    </row>
    <row r="9" spans="1:1" ht="38.25" x14ac:dyDescent="0.2">
      <c r="A9" s="360" t="s">
        <v>402</v>
      </c>
    </row>
    <row r="10" spans="1:1" ht="25.5" x14ac:dyDescent="0.2">
      <c r="A10" s="360" t="s">
        <v>403</v>
      </c>
    </row>
    <row r="11" spans="1:1" x14ac:dyDescent="0.2">
      <c r="A11" s="360" t="s">
        <v>404</v>
      </c>
    </row>
    <row r="12" spans="1:1" x14ac:dyDescent="0.2">
      <c r="A12" s="360" t="s">
        <v>405</v>
      </c>
    </row>
    <row r="13" spans="1:1" hidden="1" x14ac:dyDescent="0.2">
      <c r="A13" s="360"/>
    </row>
    <row r="14" spans="1:1" x14ac:dyDescent="0.2">
      <c r="A14" s="360" t="s">
        <v>406</v>
      </c>
    </row>
    <row r="15" spans="1:1" x14ac:dyDescent="0.2">
      <c r="A15" s="360" t="s">
        <v>407</v>
      </c>
    </row>
    <row r="16" spans="1:1" ht="25.5" x14ac:dyDescent="0.2">
      <c r="A16" s="360" t="s">
        <v>408</v>
      </c>
    </row>
    <row r="17" spans="1:1" x14ac:dyDescent="0.2">
      <c r="A17" s="360" t="s">
        <v>409</v>
      </c>
    </row>
    <row r="18" spans="1:1" x14ac:dyDescent="0.2">
      <c r="A18" s="360" t="s">
        <v>410</v>
      </c>
    </row>
    <row r="19" spans="1:1" hidden="1" x14ac:dyDescent="0.2">
      <c r="A19" s="360"/>
    </row>
    <row r="20" spans="1:1" x14ac:dyDescent="0.2">
      <c r="A20" s="360" t="s">
        <v>411</v>
      </c>
    </row>
    <row r="21" spans="1:1" x14ac:dyDescent="0.2">
      <c r="A21" s="360" t="s">
        <v>624</v>
      </c>
    </row>
    <row r="22" spans="1:1" x14ac:dyDescent="0.2">
      <c r="A22" s="360" t="s">
        <v>412</v>
      </c>
    </row>
    <row r="23" spans="1:1" x14ac:dyDescent="0.2">
      <c r="A23" s="360" t="s">
        <v>625</v>
      </c>
    </row>
    <row r="24" spans="1:1" hidden="1" x14ac:dyDescent="0.2">
      <c r="A24" s="360"/>
    </row>
    <row r="25" spans="1:1" x14ac:dyDescent="0.2">
      <c r="A25" s="360" t="s">
        <v>413</v>
      </c>
    </row>
    <row r="26" spans="1:1" ht="38.25" x14ac:dyDescent="0.2">
      <c r="A26" s="360" t="s">
        <v>626</v>
      </c>
    </row>
    <row r="27" spans="1:1" ht="51" x14ac:dyDescent="0.2">
      <c r="A27" s="360" t="s">
        <v>627</v>
      </c>
    </row>
    <row r="28" spans="1:1" hidden="1" x14ac:dyDescent="0.2">
      <c r="A28" s="360"/>
    </row>
    <row r="29" spans="1:1" x14ac:dyDescent="0.2">
      <c r="A29" s="360" t="s">
        <v>414</v>
      </c>
    </row>
    <row r="30" spans="1:1" ht="25.5" x14ac:dyDescent="0.2">
      <c r="A30" s="360" t="s">
        <v>415</v>
      </c>
    </row>
    <row r="31" spans="1:1" hidden="1" x14ac:dyDescent="0.2">
      <c r="A31" s="360"/>
    </row>
    <row r="32" spans="1:1" x14ac:dyDescent="0.2">
      <c r="A32" s="360" t="s">
        <v>416</v>
      </c>
    </row>
    <row r="33" spans="1:1" x14ac:dyDescent="0.2">
      <c r="A33" s="360" t="s">
        <v>417</v>
      </c>
    </row>
    <row r="34" spans="1:1" x14ac:dyDescent="0.2">
      <c r="A34" s="360" t="s">
        <v>418</v>
      </c>
    </row>
    <row r="35" spans="1:1" ht="25.5" x14ac:dyDescent="0.2">
      <c r="A35" s="360" t="s">
        <v>419</v>
      </c>
    </row>
    <row r="36" spans="1:1" x14ac:dyDescent="0.2">
      <c r="A36" s="360" t="s">
        <v>420</v>
      </c>
    </row>
    <row r="37" spans="1:1" ht="38.25" x14ac:dyDescent="0.2">
      <c r="A37" s="360" t="s">
        <v>623</v>
      </c>
    </row>
    <row r="38" spans="1:1" ht="25.5" x14ac:dyDescent="0.2">
      <c r="A38" s="360" t="s">
        <v>421</v>
      </c>
    </row>
    <row r="39" spans="1:1" x14ac:dyDescent="0.2">
      <c r="A39" s="360" t="s">
        <v>422</v>
      </c>
    </row>
    <row r="40" spans="1:1" x14ac:dyDescent="0.2">
      <c r="A40" s="360" t="s">
        <v>423</v>
      </c>
    </row>
    <row r="41" spans="1:1" x14ac:dyDescent="0.2">
      <c r="A41" s="360" t="s">
        <v>424</v>
      </c>
    </row>
    <row r="42" spans="1:1" x14ac:dyDescent="0.2">
      <c r="A42" s="360" t="s">
        <v>425</v>
      </c>
    </row>
    <row r="43" spans="1:1" hidden="1" x14ac:dyDescent="0.2">
      <c r="A43" s="360"/>
    </row>
    <row r="44" spans="1:1" x14ac:dyDescent="0.2">
      <c r="A44" s="360" t="s">
        <v>426</v>
      </c>
    </row>
    <row r="45" spans="1:1" x14ac:dyDescent="0.2">
      <c r="A45" s="360" t="s">
        <v>427</v>
      </c>
    </row>
    <row r="46" spans="1:1" x14ac:dyDescent="0.2">
      <c r="A46" s="360" t="s">
        <v>428</v>
      </c>
    </row>
    <row r="47" spans="1:1" ht="25.5" x14ac:dyDescent="0.2">
      <c r="A47" s="360" t="s">
        <v>429</v>
      </c>
    </row>
    <row r="48" spans="1:1" ht="25.5" x14ac:dyDescent="0.2">
      <c r="A48" s="360" t="s">
        <v>430</v>
      </c>
    </row>
  </sheetData>
  <pageMargins left="0.78740157480314965" right="0.31496062992125984" top="0.78740157480314965" bottom="0.39370078740157483" header="0.59055118110236227" footer="0"/>
  <pageSetup paperSize="9" fitToHeight="0" orientation="portrait" verticalDpi="0" r:id="rId1"/>
  <headerFooter>
    <oddHeader>&amp;R&amp;9Page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Kalend</vt:lpstr>
      <vt:lpstr>Üldreiting</vt:lpstr>
      <vt:lpstr>1</vt:lpstr>
      <vt:lpstr>2</vt:lpstr>
      <vt:lpstr>3</vt:lpstr>
      <vt:lpstr>JT</vt:lpstr>
      <vt:lpstr>4</vt:lpstr>
      <vt:lpstr>5</vt:lpstr>
      <vt:lpstr>5b</vt:lpstr>
      <vt:lpstr>6</vt:lpstr>
      <vt:lpstr>7</vt:lpstr>
      <vt:lpstr>8</vt:lpstr>
      <vt:lpstr>9</vt:lpstr>
      <vt:lpstr>10</vt:lpstr>
      <vt:lpstr>nalja</vt:lpstr>
      <vt:lpstr>11</vt:lpstr>
      <vt:lpstr>12</vt:lpstr>
      <vt:lpstr>Juhend</vt:lpstr>
      <vt:lpstr>Arvestus</vt:lpstr>
      <vt:lpstr>Punktid</vt:lpstr>
      <vt:lpstr>Reg K juhend</vt:lpstr>
      <vt:lpstr>KV juhend</vt:lpstr>
      <vt:lpstr>'4'!Print_Area</vt:lpstr>
      <vt:lpstr>'6'!Print_Area</vt:lpstr>
      <vt:lpstr>'7'!Print_Area</vt:lpstr>
      <vt:lpstr>'1'!Print_Titles</vt:lpstr>
      <vt:lpstr>'10'!Print_Titles</vt:lpstr>
      <vt:lpstr>'11'!Print_Titles</vt:lpstr>
      <vt:lpstr>'12'!Print_Titles</vt:lpstr>
      <vt:lpstr>'2'!Print_Titles</vt:lpstr>
      <vt:lpstr>'3'!Print_Titles</vt:lpstr>
      <vt:lpstr>'4'!Print_Titles</vt:lpstr>
      <vt:lpstr>'5'!Print_Titles</vt:lpstr>
      <vt:lpstr>'5b'!Print_Titles</vt:lpstr>
      <vt:lpstr>'6'!Print_Titles</vt:lpstr>
      <vt:lpstr>'7'!Print_Titles</vt:lpstr>
      <vt:lpstr>'8'!Print_Titles</vt:lpstr>
      <vt:lpstr>'9'!Print_Titles</vt:lpstr>
      <vt:lpstr>JT!Print_Titles</vt:lpstr>
      <vt:lpstr>Kalend!Print_Titles</vt:lpstr>
      <vt:lpstr>nalja!Print_Titles</vt:lpstr>
      <vt:lpstr>Üldreiting!Print_Titles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2016-04-12T08:00:05Z</dcterms:created>
  <dcterms:modified xsi:type="dcterms:W3CDTF">2018-10-30T19:54:59Z</dcterms:modified>
</cp:coreProperties>
</file>